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D9B54F52-E1FB-4C61-9F91-B566FB97B22F}" xr6:coauthVersionLast="45" xr6:coauthVersionMax="45" xr10:uidLastSave="{00000000-0000-0000-0000-000000000000}"/>
  <bookViews>
    <workbookView xWindow="-120" yWindow="-120" windowWidth="20730" windowHeight="11310" tabRatio="847" firstSheet="2" activeTab="2" xr2:uid="{00000000-000D-0000-FFFF-FFFF00000000}"/>
  </bookViews>
  <sheets>
    <sheet name="THKL" sheetId="123" state="hidden" r:id="rId1"/>
    <sheet name="BIA" sheetId="143" r:id="rId2"/>
    <sheet name="THKLQT" sheetId="144" r:id="rId3"/>
    <sheet name="PHAN KHAI" sheetId="145" r:id="rId4"/>
    <sheet name="C.I.1.1" sheetId="106" r:id="rId5"/>
    <sheet name="C.I.1.2" sheetId="147" r:id="rId6"/>
    <sheet name="C.I.1.3" sheetId="148" r:id="rId7"/>
    <sheet name="C.I.1.4" sheetId="149" r:id="rId8"/>
    <sheet name="C.I.1.5" sheetId="150" r:id="rId9"/>
    <sheet name="C.I.1.6" sheetId="151" r:id="rId10"/>
    <sheet name="C.I.2.1.1" sheetId="218" r:id="rId11"/>
    <sheet name="C.I.2.2.1" sheetId="206" r:id="rId12"/>
    <sheet name="C.I.2.2.2" sheetId="222" r:id="rId13"/>
    <sheet name="C.I.2.2.3" sheetId="223" r:id="rId14"/>
    <sheet name="C.I.2.2.5" sheetId="224" r:id="rId15"/>
    <sheet name="C.I.2.2.6" sheetId="225" r:id="rId16"/>
    <sheet name="C.I.2.2.7" sheetId="192" r:id="rId17"/>
    <sheet name="C.I.2.2.8" sheetId="193" r:id="rId18"/>
    <sheet name="C.I.2.2.9" sheetId="194" r:id="rId19"/>
    <sheet name="C.I.2.2.10" sheetId="195" r:id="rId20"/>
    <sheet name="C.I.2.3.1" sheetId="207" r:id="rId21"/>
    <sheet name="C.I.3.1" sheetId="181" r:id="rId22"/>
    <sheet name="C.I.3.2" sheetId="182" r:id="rId23"/>
    <sheet name="C.I.3.3" sheetId="220" r:id="rId24"/>
    <sheet name="C.I.3.4" sheetId="221" r:id="rId25"/>
    <sheet name="C.II.1.1.1" sheetId="167" r:id="rId26"/>
    <sheet name="C.II.1.1.2" sheetId="153" r:id="rId27"/>
    <sheet name="C.II.1.1.3" sheetId="152" r:id="rId28"/>
    <sheet name="C.II.1.1.4" sheetId="228" state="hidden" r:id="rId29"/>
    <sheet name="C.II.1.1.5" sheetId="171" r:id="rId30"/>
    <sheet name="C.II.1.1.6" sheetId="172" r:id="rId31"/>
    <sheet name="C.II.1.1.7" sheetId="173" r:id="rId32"/>
    <sheet name="C.II.1.1.8" sheetId="154" r:id="rId33"/>
    <sheet name="C.II.1.1.9" sheetId="155" r:id="rId34"/>
    <sheet name="C.II.1.1.10" sheetId="156" r:id="rId35"/>
    <sheet name="C.II.1.1.11" sheetId="216" r:id="rId36"/>
    <sheet name="C.II.1.1.12" sheetId="158" r:id="rId37"/>
    <sheet name="C.II.1.1.13" sheetId="170" r:id="rId38"/>
    <sheet name="C.II.1.1.14" sheetId="217" r:id="rId39"/>
    <sheet name="C.II.1.1.15" sheetId="168" r:id="rId40"/>
    <sheet name="C.II.1.1.16" sheetId="169" r:id="rId41"/>
    <sheet name="C.II.1.2.1" sheetId="189" r:id="rId42"/>
    <sheet name="C.II.1.2.2" sheetId="205" r:id="rId43"/>
    <sheet name="C.II.1.2.3" sheetId="190" r:id="rId44"/>
    <sheet name="C.II.1.2.4" sheetId="200" r:id="rId45"/>
    <sheet name="C.II.1.2.5" sheetId="201" r:id="rId46"/>
    <sheet name="C.II.1.2.6" sheetId="202" r:id="rId47"/>
    <sheet name="C.II.1.2.7" sheetId="203" r:id="rId48"/>
    <sheet name="C.II.1.2.8" sheetId="204" r:id="rId49"/>
    <sheet name="C.II.1.3.1" sheetId="191" r:id="rId50"/>
    <sheet name="C.II.1.4.1" sheetId="196" r:id="rId51"/>
    <sheet name="C.II.1.4.2" sheetId="197" r:id="rId52"/>
    <sheet name="C.II.1.4.3" sheetId="198" r:id="rId53"/>
    <sheet name="C.II.1.4.4" sheetId="199" r:id="rId54"/>
    <sheet name="C.II.1.5.1" sheetId="159" r:id="rId55"/>
    <sheet name="C.II.1.5.2" sheetId="160" r:id="rId56"/>
    <sheet name="C.II.1.5.3" sheetId="163" r:id="rId57"/>
    <sheet name="C.II.1.5.4" sheetId="164" r:id="rId58"/>
    <sheet name="C.II.1.5.5" sheetId="165" r:id="rId59"/>
    <sheet name="C.II.1.6.1" sheetId="212" r:id="rId60"/>
    <sheet name="C.II.1.6.2" sheetId="213" r:id="rId61"/>
    <sheet name="C.II.1.7.1" sheetId="215" r:id="rId62"/>
    <sheet name="C.II.1.7.2" sheetId="214" r:id="rId63"/>
    <sheet name="C.II.1.7.3" sheetId="211" r:id="rId64"/>
    <sheet name="C.II.1.7.4" sheetId="208" r:id="rId65"/>
    <sheet name="C.II.1.7.5" sheetId="210" r:id="rId66"/>
    <sheet name="C.II.1.7.6" sheetId="209" r:id="rId67"/>
    <sheet name="C.II.2.1" sheetId="227" r:id="rId68"/>
    <sheet name="C.II.2.2" sheetId="226" r:id="rId69"/>
    <sheet name="C.II.2.3" sheetId="179" r:id="rId70"/>
    <sheet name="C.II.2.4" sheetId="174" r:id="rId71"/>
    <sheet name="C.II.2.5" sheetId="175" r:id="rId72"/>
    <sheet name="C.II.2.7" sheetId="176" r:id="rId73"/>
    <sheet name="C.II.2.8" sheetId="177" r:id="rId74"/>
    <sheet name="C.II.2.9" sheetId="178" r:id="rId75"/>
    <sheet name="C.II.2.11" sheetId="180" r:id="rId76"/>
    <sheet name="C.III.1.1" sheetId="185" r:id="rId77"/>
    <sheet name="C.III.1.2" sheetId="186" r:id="rId78"/>
    <sheet name="C.III.1.4" sheetId="184" r:id="rId79"/>
    <sheet name="C.III.1.5" sheetId="183" r:id="rId80"/>
    <sheet name="C.III.1.6" sheetId="187" r:id="rId81"/>
    <sheet name="C.III.2.1" sheetId="219" r:id="rId82"/>
  </sheets>
  <externalReferences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</externalReferences>
  <definedNames>
    <definedName name="_xlnm._FilterDatabase" localSheetId="4" hidden="1">'C.I.1.1'!$A$11:$Q$66</definedName>
    <definedName name="_xlnm._FilterDatabase" localSheetId="5" hidden="1">'C.I.1.2'!$A$11:$Q$43</definedName>
    <definedName name="_xlnm._FilterDatabase" localSheetId="6" hidden="1">'C.I.1.3'!$A$11:$Q$43</definedName>
    <definedName name="_xlnm._FilterDatabase" localSheetId="7" hidden="1">'C.I.1.4'!$A$11:$Q$44</definedName>
    <definedName name="_xlnm._FilterDatabase" localSheetId="8" hidden="1">'C.I.1.5'!$A$11:$Q$44</definedName>
    <definedName name="_xlnm._FilterDatabase" localSheetId="9" hidden="1">'C.I.1.6'!$A$11:$Q$44</definedName>
    <definedName name="_xlnm._FilterDatabase" localSheetId="10" hidden="1">'C.I.2.1.1'!$A$11:$Q$47</definedName>
    <definedName name="_xlnm._FilterDatabase" localSheetId="11" hidden="1">'C.I.2.2.1'!$A$11:$Q$48</definedName>
    <definedName name="_xlnm._FilterDatabase" localSheetId="19" hidden="1">'C.I.2.2.10'!$A$11:$Q$47</definedName>
    <definedName name="_xlnm._FilterDatabase" localSheetId="12" hidden="1">'C.I.2.2.2'!$A$11:$Q$45</definedName>
    <definedName name="_xlnm._FilterDatabase" localSheetId="13" hidden="1">'C.I.2.2.3'!$A$11:$Q$45</definedName>
    <definedName name="_xlnm._FilterDatabase" localSheetId="14" hidden="1">'C.I.2.2.5'!$A$11:$Q$45</definedName>
    <definedName name="_xlnm._FilterDatabase" localSheetId="15" hidden="1">'C.I.2.2.6'!$A$11:$Q$45</definedName>
    <definedName name="_xlnm._FilterDatabase" localSheetId="16" hidden="1">'C.I.2.2.7'!$A$11:$Q$47</definedName>
    <definedName name="_xlnm._FilterDatabase" localSheetId="17" hidden="1">'C.I.2.2.8'!$A$11:$Q$47</definedName>
    <definedName name="_xlnm._FilterDatabase" localSheetId="18" hidden="1">'C.I.2.2.9'!$A$11:$Q$47</definedName>
    <definedName name="_xlnm._FilterDatabase" localSheetId="20" hidden="1">'C.I.2.3.1'!$A$11:$Q$44</definedName>
    <definedName name="_xlnm._FilterDatabase" localSheetId="21" hidden="1">'C.I.3.1'!$A$11:$Q$44</definedName>
    <definedName name="_xlnm._FilterDatabase" localSheetId="22" hidden="1">'C.I.3.2'!$A$11:$Q$44</definedName>
    <definedName name="_xlnm._FilterDatabase" localSheetId="23" hidden="1">'C.I.3.3'!$A$11:$Q$44</definedName>
    <definedName name="_xlnm._FilterDatabase" localSheetId="24" hidden="1">'C.I.3.4'!$A$11:$Q$44</definedName>
    <definedName name="_xlnm._FilterDatabase" localSheetId="25" hidden="1">'C.II.1.1.1'!$A$11:$Q$51</definedName>
    <definedName name="_xlnm._FilterDatabase" localSheetId="34" hidden="1">'C.II.1.1.10'!$A$11:$Q$47</definedName>
    <definedName name="_xlnm._FilterDatabase" localSheetId="35" hidden="1">'C.II.1.1.11'!$A$11:$Q$51</definedName>
    <definedName name="_xlnm._FilterDatabase" localSheetId="36" hidden="1">'C.II.1.1.12'!$A$11:$Q$47</definedName>
    <definedName name="_xlnm._FilterDatabase" localSheetId="37" hidden="1">'C.II.1.1.13'!$A$11:$Q$47</definedName>
    <definedName name="_xlnm._FilterDatabase" localSheetId="38" hidden="1">'C.II.1.1.14'!$A$11:$Q$47</definedName>
    <definedName name="_xlnm._FilterDatabase" localSheetId="39" hidden="1">'C.II.1.1.15'!$A$11:$Q$47</definedName>
    <definedName name="_xlnm._FilterDatabase" localSheetId="40" hidden="1">'C.II.1.1.16'!$A$11:$Q$47</definedName>
    <definedName name="_xlnm._FilterDatabase" localSheetId="26" hidden="1">'C.II.1.1.2'!$A$11:$Q$47</definedName>
    <definedName name="_xlnm._FilterDatabase" localSheetId="27" hidden="1">'C.II.1.1.3'!$A$11:$Q$49</definedName>
    <definedName name="_xlnm._FilterDatabase" localSheetId="28" hidden="1">'C.II.1.1.4'!$A$11:$Q$45</definedName>
    <definedName name="_xlnm._FilterDatabase" localSheetId="29" hidden="1">'C.II.1.1.5'!$A$11:$Q$71</definedName>
    <definedName name="_xlnm._FilterDatabase" localSheetId="30" hidden="1">'C.II.1.1.6'!$A$11:$Q$73</definedName>
    <definedName name="_xlnm._FilterDatabase" localSheetId="31" hidden="1">'C.II.1.1.7'!$A$11:$Q$73</definedName>
    <definedName name="_xlnm._FilterDatabase" localSheetId="32" hidden="1">'C.II.1.1.8'!$A$11:$Q$47</definedName>
    <definedName name="_xlnm._FilterDatabase" localSheetId="33" hidden="1">'C.II.1.1.9'!$A$11:$Q$47</definedName>
    <definedName name="_xlnm._FilterDatabase" localSheetId="41" hidden="1">'C.II.1.2.1'!$A$11:$Q$63</definedName>
    <definedName name="_xlnm._FilterDatabase" localSheetId="42" hidden="1">'C.II.1.2.2'!$A$11:$Q$45</definedName>
    <definedName name="_xlnm._FilterDatabase" localSheetId="43" hidden="1">'C.II.1.2.3'!$A$11:$Q$63</definedName>
    <definedName name="_xlnm._FilterDatabase" localSheetId="44" hidden="1">'C.II.1.2.4'!$A$11:$Q$45</definedName>
    <definedName name="_xlnm._FilterDatabase" localSheetId="45" hidden="1">'C.II.1.2.5'!$A$11:$Q$45</definedName>
    <definedName name="_xlnm._FilterDatabase" localSheetId="46" hidden="1">'C.II.1.2.6'!$A$11:$Q$45</definedName>
    <definedName name="_xlnm._FilterDatabase" localSheetId="47" hidden="1">'C.II.1.2.7'!$A$11:$Q$45</definedName>
    <definedName name="_xlnm._FilterDatabase" localSheetId="48" hidden="1">'C.II.1.2.8'!$A$11:$Q$45</definedName>
    <definedName name="_xlnm._FilterDatabase" localSheetId="49" hidden="1">'C.II.1.3.1'!$A$11:$Q$45</definedName>
    <definedName name="_xlnm._FilterDatabase" localSheetId="50" hidden="1">'C.II.1.4.1'!$A$11:$Q$45</definedName>
    <definedName name="_xlnm._FilterDatabase" localSheetId="51" hidden="1">'C.II.1.4.2'!$A$11:$Q$63</definedName>
    <definedName name="_xlnm._FilterDatabase" localSheetId="52" hidden="1">'C.II.1.4.3'!$A$11:$Q$45</definedName>
    <definedName name="_xlnm._FilterDatabase" localSheetId="53" hidden="1">'C.II.1.4.4'!$A$11:$Q$45</definedName>
    <definedName name="_xlnm._FilterDatabase" localSheetId="54" hidden="1">'C.II.1.5.1'!$A$11:$Q$45</definedName>
    <definedName name="_xlnm._FilterDatabase" localSheetId="55" hidden="1">'C.II.1.5.2'!$A$11:$Q$45</definedName>
    <definedName name="_xlnm._FilterDatabase" localSheetId="56" hidden="1">'C.II.1.5.3'!$A$11:$Q$45</definedName>
    <definedName name="_xlnm._FilterDatabase" localSheetId="57" hidden="1">'C.II.1.5.4'!$A$11:$Q$45</definedName>
    <definedName name="_xlnm._FilterDatabase" localSheetId="58" hidden="1">'C.II.1.5.5'!$A$11:$Q$45</definedName>
    <definedName name="_xlnm._FilterDatabase" localSheetId="59" hidden="1">'C.II.1.6.1'!$A$11:$Q$45</definedName>
    <definedName name="_xlnm._FilterDatabase" localSheetId="60" hidden="1">'C.II.1.6.2'!$A$11:$Q$45</definedName>
    <definedName name="_xlnm._FilterDatabase" localSheetId="61" hidden="1">'C.II.1.7.1'!$A$11:$Q$44</definedName>
    <definedName name="_xlnm._FilterDatabase" localSheetId="62" hidden="1">'C.II.1.7.2'!$A$11:$Q$45</definedName>
    <definedName name="_xlnm._FilterDatabase" localSheetId="63" hidden="1">'C.II.1.7.3'!$A$11:$Q$115</definedName>
    <definedName name="_xlnm._FilterDatabase" localSheetId="64" hidden="1">'C.II.1.7.4'!$A$11:$Q$47</definedName>
    <definedName name="_xlnm._FilterDatabase" localSheetId="65" hidden="1">'C.II.1.7.5'!$A$11:$Q$161</definedName>
    <definedName name="_xlnm._FilterDatabase" localSheetId="66" hidden="1">'C.II.1.7.6'!$A$11:$Q$53</definedName>
    <definedName name="_xlnm._FilterDatabase" localSheetId="67" hidden="1">'C.II.2.1'!$A$11:$Q$44</definedName>
    <definedName name="_xlnm._FilterDatabase" localSheetId="75" hidden="1">'C.II.2.11'!$A$11:$Q$47</definedName>
    <definedName name="_xlnm._FilterDatabase" localSheetId="68" hidden="1">'C.II.2.2'!$A$11:$Q$45</definedName>
    <definedName name="_xlnm._FilterDatabase" localSheetId="69" hidden="1">'C.II.2.3'!$A$11:$Q$51</definedName>
    <definedName name="_xlnm._FilterDatabase" localSheetId="70" hidden="1">'C.II.2.4'!$A$11:$Q$47</definedName>
    <definedName name="_xlnm._FilterDatabase" localSheetId="71" hidden="1">'C.II.2.5'!$A$11:$Q$47</definedName>
    <definedName name="_xlnm._FilterDatabase" localSheetId="72" hidden="1">'C.II.2.7'!$A$11:$Q$47</definedName>
    <definedName name="_xlnm._FilterDatabase" localSheetId="73" hidden="1">'C.II.2.8'!$A$11:$Q$47</definedName>
    <definedName name="_xlnm._FilterDatabase" localSheetId="74" hidden="1">'C.II.2.9'!$A$11:$Q$63</definedName>
    <definedName name="_xlnm._FilterDatabase" localSheetId="76" hidden="1">'C.III.1.1'!$A$11:$Q$44</definedName>
    <definedName name="_xlnm._FilterDatabase" localSheetId="77" hidden="1">'C.III.1.2'!$A$11:$Q$44</definedName>
    <definedName name="_xlnm._FilterDatabase" localSheetId="78" hidden="1">'C.III.1.4'!$A$11:$Q$44</definedName>
    <definedName name="_xlnm._FilterDatabase" localSheetId="79" hidden="1">'C.III.1.5'!$A$11:$Q$44</definedName>
    <definedName name="_xlnm._FilterDatabase" localSheetId="80" hidden="1">'C.III.1.6'!$A$11:$Q$44</definedName>
    <definedName name="_xlnm._FilterDatabase" localSheetId="81" hidden="1">'C.III.2.1'!$A$11:$Q$44</definedName>
    <definedName name="_Order2" hidden="1">255</definedName>
    <definedName name="hamchuigoi3">THKL!$A$3:$M$62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_xlnm.Print_Area" localSheetId="4">'C.I.1.1'!$A$1:$K$95</definedName>
    <definedName name="_xlnm.Print_Area" localSheetId="5">'C.I.1.2'!$A$1:$K$72</definedName>
    <definedName name="_xlnm.Print_Area" localSheetId="6">'C.I.1.3'!$A$1:$K$72</definedName>
    <definedName name="_xlnm.Print_Area" localSheetId="7">'C.I.1.4'!$A$1:$K$73</definedName>
    <definedName name="_xlnm.Print_Area" localSheetId="8">'C.I.1.5'!$A$1:$K$73</definedName>
    <definedName name="_xlnm.Print_Area" localSheetId="9">'C.I.1.6'!$A$1:$K$73</definedName>
    <definedName name="_xlnm.Print_Area" localSheetId="10">'C.I.2.1.1'!$A$1:$K$76</definedName>
    <definedName name="_xlnm.Print_Area" localSheetId="11">'C.I.2.2.1'!$A$1:$K$77</definedName>
    <definedName name="_xlnm.Print_Area" localSheetId="19">'C.I.2.2.10'!$A$1:$K$76</definedName>
    <definedName name="_xlnm.Print_Area" localSheetId="12">'C.I.2.2.2'!$A$1:$K$74</definedName>
    <definedName name="_xlnm.Print_Area" localSheetId="13">'C.I.2.2.3'!$A$1:$K$74</definedName>
    <definedName name="_xlnm.Print_Area" localSheetId="14">'C.I.2.2.5'!$A$1:$K$74</definedName>
    <definedName name="_xlnm.Print_Area" localSheetId="15">'C.I.2.2.6'!$A$1:$K$74</definedName>
    <definedName name="_xlnm.Print_Area" localSheetId="16">'C.I.2.2.7'!$A$1:$K$76</definedName>
    <definedName name="_xlnm.Print_Area" localSheetId="17">'C.I.2.2.8'!$A$1:$K$76</definedName>
    <definedName name="_xlnm.Print_Area" localSheetId="18">'C.I.2.2.9'!$A$1:$K$76</definedName>
    <definedName name="_xlnm.Print_Area" localSheetId="20">'C.I.2.3.1'!$A$1:$K$73</definedName>
    <definedName name="_xlnm.Print_Area" localSheetId="21">'C.I.3.1'!$A$1:$K$73</definedName>
    <definedName name="_xlnm.Print_Area" localSheetId="22">'C.I.3.2'!$A$1:$K$73</definedName>
    <definedName name="_xlnm.Print_Area" localSheetId="23">'C.I.3.3'!$A$1:$K$73</definedName>
    <definedName name="_xlnm.Print_Area" localSheetId="24">'C.I.3.4'!$A$1:$K$73</definedName>
    <definedName name="_xlnm.Print_Area" localSheetId="25">'C.II.1.1.1'!$A$1:$K$80</definedName>
    <definedName name="_xlnm.Print_Area" localSheetId="34">'C.II.1.1.10'!$A$1:$K$76</definedName>
    <definedName name="_xlnm.Print_Area" localSheetId="35">'C.II.1.1.11'!$A$1:$K$80</definedName>
    <definedName name="_xlnm.Print_Area" localSheetId="36">'C.II.1.1.12'!$A$1:$K$76</definedName>
    <definedName name="_xlnm.Print_Area" localSheetId="37">'C.II.1.1.13'!$A$1:$K$76</definedName>
    <definedName name="_xlnm.Print_Area" localSheetId="38">'C.II.1.1.14'!$A$1:$K$76</definedName>
    <definedName name="_xlnm.Print_Area" localSheetId="39">'C.II.1.1.15'!$A$1:$K$76</definedName>
    <definedName name="_xlnm.Print_Area" localSheetId="40">'C.II.1.1.16'!$A$1:$K$76</definedName>
    <definedName name="_xlnm.Print_Area" localSheetId="26">'C.II.1.1.2'!$A$1:$K$76</definedName>
    <definedName name="_xlnm.Print_Area" localSheetId="27">'C.II.1.1.3'!$A$1:$K$78</definedName>
    <definedName name="_xlnm.Print_Area" localSheetId="28">'C.II.1.1.4'!$A$1:$K$74</definedName>
    <definedName name="_xlnm.Print_Area" localSheetId="29">'C.II.1.1.5'!$A$1:$K$100</definedName>
    <definedName name="_xlnm.Print_Area" localSheetId="30">'C.II.1.1.6'!$A$1:$K$102</definedName>
    <definedName name="_xlnm.Print_Area" localSheetId="31">'C.II.1.1.7'!$A$1:$K$102</definedName>
    <definedName name="_xlnm.Print_Area" localSheetId="32">'C.II.1.1.8'!$A$1:$K$76</definedName>
    <definedName name="_xlnm.Print_Area" localSheetId="33">'C.II.1.1.9'!$A$1:$K$76</definedName>
    <definedName name="_xlnm.Print_Area" localSheetId="41">'C.II.1.2.1'!$A$1:$K$92</definedName>
    <definedName name="_xlnm.Print_Area" localSheetId="42">'C.II.1.2.2'!$A$1:$K$74</definedName>
    <definedName name="_xlnm.Print_Area" localSheetId="43">'C.II.1.2.3'!$A$1:$K$92</definedName>
    <definedName name="_xlnm.Print_Area" localSheetId="44">'C.II.1.2.4'!$A$1:$K$74</definedName>
    <definedName name="_xlnm.Print_Area" localSheetId="45">'C.II.1.2.5'!$A$1:$K$74</definedName>
    <definedName name="_xlnm.Print_Area" localSheetId="46">'C.II.1.2.6'!$A$1:$K$74</definedName>
    <definedName name="_xlnm.Print_Area" localSheetId="47">'C.II.1.2.7'!$A$1:$K$74</definedName>
    <definedName name="_xlnm.Print_Area" localSheetId="48">'C.II.1.2.8'!$A$1:$K$74</definedName>
    <definedName name="_xlnm.Print_Area" localSheetId="49">'C.II.1.3.1'!$A$1:$K$74</definedName>
    <definedName name="_xlnm.Print_Area" localSheetId="50">'C.II.1.4.1'!$A$1:$K$74</definedName>
    <definedName name="_xlnm.Print_Area" localSheetId="51">'C.II.1.4.2'!$A$1:$K$92</definedName>
    <definedName name="_xlnm.Print_Area" localSheetId="52">'C.II.1.4.3'!$A$1:$K$74</definedName>
    <definedName name="_xlnm.Print_Area" localSheetId="53">'C.II.1.4.4'!$A$1:$K$74</definedName>
    <definedName name="_xlnm.Print_Area" localSheetId="54">'C.II.1.5.1'!$A$1:$K$74</definedName>
    <definedName name="_xlnm.Print_Area" localSheetId="55">'C.II.1.5.2'!$A$1:$K$74</definedName>
    <definedName name="_xlnm.Print_Area" localSheetId="56">'C.II.1.5.3'!$A$1:$K$74</definedName>
    <definedName name="_xlnm.Print_Area" localSheetId="57">'C.II.1.5.4'!$A$1:$K$74</definedName>
    <definedName name="_xlnm.Print_Area" localSheetId="58">'C.II.1.5.5'!$A$1:$K$74</definedName>
    <definedName name="_xlnm.Print_Area" localSheetId="59">'C.II.1.6.1'!$A$1:$K$74</definedName>
    <definedName name="_xlnm.Print_Area" localSheetId="60">'C.II.1.6.2'!$A$1:$K$74</definedName>
    <definedName name="_xlnm.Print_Area" localSheetId="61">'C.II.1.7.1'!$A$1:$K$73</definedName>
    <definedName name="_xlnm.Print_Area" localSheetId="62">'C.II.1.7.2'!$A$1:$K$74</definedName>
    <definedName name="_xlnm.Print_Area" localSheetId="63">'C.II.1.7.3'!$A$1:$K$144</definedName>
    <definedName name="_xlnm.Print_Area" localSheetId="64">'C.II.1.7.4'!$A$1:$K$76</definedName>
    <definedName name="_xlnm.Print_Area" localSheetId="65">'C.II.1.7.5'!$A$1:$K$190</definedName>
    <definedName name="_xlnm.Print_Area" localSheetId="66">'C.II.1.7.6'!$A$1:$K$82</definedName>
    <definedName name="_xlnm.Print_Area" localSheetId="67">'C.II.2.1'!$A$1:$K$73</definedName>
    <definedName name="_xlnm.Print_Area" localSheetId="75">'C.II.2.11'!$A$1:$K$76</definedName>
    <definedName name="_xlnm.Print_Area" localSheetId="68">'C.II.2.2'!$A$1:$K$74</definedName>
    <definedName name="_xlnm.Print_Area" localSheetId="69">'C.II.2.3'!$A$1:$K$80</definedName>
    <definedName name="_xlnm.Print_Area" localSheetId="70">'C.II.2.4'!$A$1:$K$76</definedName>
    <definedName name="_xlnm.Print_Area" localSheetId="71">'C.II.2.5'!$A$1:$K$76</definedName>
    <definedName name="_xlnm.Print_Area" localSheetId="72">'C.II.2.7'!$A$1:$K$76</definedName>
    <definedName name="_xlnm.Print_Area" localSheetId="73">'C.II.2.8'!$A$1:$K$76</definedName>
    <definedName name="_xlnm.Print_Area" localSheetId="74">'C.II.2.9'!$A$1:$K$92</definedName>
    <definedName name="_xlnm.Print_Area" localSheetId="76">'C.III.1.1'!$A$1:$K$73</definedName>
    <definedName name="_xlnm.Print_Area" localSheetId="77">'C.III.1.2'!$A$1:$K$73</definedName>
    <definedName name="_xlnm.Print_Area" localSheetId="78">'C.III.1.4'!$A$1:$K$73</definedName>
    <definedName name="_xlnm.Print_Area" localSheetId="79">'C.III.1.5'!$A$1:$K$73</definedName>
    <definedName name="_xlnm.Print_Area" localSheetId="80">'C.III.1.6'!$A$1:$K$73</definedName>
    <definedName name="_xlnm.Print_Area" localSheetId="81">'C.III.2.1'!$A$1:$K$73</definedName>
    <definedName name="_xlnm.Print_Area" localSheetId="3">'PHAN KHAI'!$B$1:$AF$188</definedName>
    <definedName name="_xlnm.Print_Area" localSheetId="0">THKL!$B$1:$M$62</definedName>
    <definedName name="_xlnm.Print_Area" localSheetId="2">THKLQT!$B$1:$K$185</definedName>
    <definedName name="_xlnm.Print_Titles" localSheetId="4">'C.I.1.1'!$9:$11</definedName>
    <definedName name="_xlnm.Print_Titles" localSheetId="5">'C.I.1.2'!$9:$11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3" i="149" l="1"/>
  <c r="F12" i="149"/>
  <c r="E60" i="144" l="1"/>
  <c r="I13" i="204"/>
  <c r="I12" i="204"/>
  <c r="H13" i="204"/>
  <c r="H12" i="204"/>
  <c r="G13" i="204"/>
  <c r="G12" i="204"/>
  <c r="F15" i="204"/>
  <c r="E128" i="144"/>
  <c r="I12" i="203"/>
  <c r="I13" i="203"/>
  <c r="H13" i="203"/>
  <c r="F15" i="203"/>
  <c r="E125" i="144"/>
  <c r="F15" i="201"/>
  <c r="I13" i="200"/>
  <c r="I12" i="200"/>
  <c r="H13" i="200"/>
  <c r="F15" i="200"/>
  <c r="E123" i="144"/>
  <c r="H33" i="190"/>
  <c r="F33" i="190"/>
  <c r="H76" i="189"/>
  <c r="I33" i="189"/>
  <c r="H33" i="189"/>
  <c r="F33" i="189"/>
  <c r="F15" i="205"/>
  <c r="F15" i="196"/>
  <c r="H77" i="197"/>
  <c r="H31" i="197"/>
  <c r="G33" i="197"/>
  <c r="F33" i="197"/>
  <c r="F15" i="198"/>
  <c r="F15" i="199"/>
  <c r="E148" i="144"/>
  <c r="F15" i="212"/>
  <c r="E145" i="144"/>
  <c r="F15" i="164"/>
  <c r="F15" i="163"/>
  <c r="F15" i="160"/>
  <c r="F15" i="159"/>
  <c r="F23" i="209"/>
  <c r="F17" i="208"/>
  <c r="F131" i="210"/>
  <c r="F85" i="211"/>
  <c r="G85" i="211" l="1"/>
  <c r="E174" i="144" l="1"/>
  <c r="G23" i="209"/>
  <c r="H23" i="209" s="1"/>
  <c r="H64" i="209" s="1"/>
  <c r="G131" i="210"/>
  <c r="H131" i="210" s="1"/>
  <c r="I131" i="210" l="1"/>
  <c r="H172" i="210"/>
  <c r="P15" i="180"/>
  <c r="I15" i="180" s="1"/>
  <c r="F13" i="226" l="1"/>
  <c r="I13" i="226"/>
  <c r="D38" i="228"/>
  <c r="P63" i="228"/>
  <c r="O63" i="228"/>
  <c r="B63" i="228"/>
  <c r="P62" i="228"/>
  <c r="O62" i="228"/>
  <c r="H62" i="228" s="1"/>
  <c r="B62" i="228"/>
  <c r="P61" i="228"/>
  <c r="H61" i="228" s="1"/>
  <c r="O61" i="228"/>
  <c r="B61" i="228"/>
  <c r="P60" i="228"/>
  <c r="O60" i="228"/>
  <c r="H60" i="228" s="1"/>
  <c r="B60" i="228"/>
  <c r="P59" i="228"/>
  <c r="O59" i="228"/>
  <c r="B59" i="228"/>
  <c r="P58" i="228"/>
  <c r="O58" i="228"/>
  <c r="B58" i="228"/>
  <c r="P57" i="228"/>
  <c r="O57" i="228"/>
  <c r="B57" i="228"/>
  <c r="P56" i="228"/>
  <c r="O56" i="228"/>
  <c r="H56" i="228" s="1"/>
  <c r="B56" i="228"/>
  <c r="P55" i="228"/>
  <c r="O55" i="228"/>
  <c r="B55" i="228"/>
  <c r="P54" i="228"/>
  <c r="O54" i="228"/>
  <c r="H54" i="228" s="1"/>
  <c r="B54" i="228"/>
  <c r="P53" i="228"/>
  <c r="O53" i="228"/>
  <c r="B53" i="228"/>
  <c r="P52" i="228"/>
  <c r="H52" i="228" s="1"/>
  <c r="O52" i="228"/>
  <c r="B52" i="228"/>
  <c r="P51" i="228"/>
  <c r="O51" i="228"/>
  <c r="B51" i="228"/>
  <c r="P50" i="228"/>
  <c r="O50" i="228"/>
  <c r="B50" i="228"/>
  <c r="P49" i="228"/>
  <c r="H49" i="228" s="1"/>
  <c r="O49" i="228"/>
  <c r="B49" i="228"/>
  <c r="P48" i="228"/>
  <c r="O48" i="228"/>
  <c r="H48" i="228" s="1"/>
  <c r="B48" i="228"/>
  <c r="P47" i="228"/>
  <c r="O47" i="228"/>
  <c r="B47" i="228"/>
  <c r="P46" i="228"/>
  <c r="O46" i="228"/>
  <c r="B46" i="228"/>
  <c r="P45" i="228"/>
  <c r="H45" i="228" s="1"/>
  <c r="O45" i="228"/>
  <c r="B45" i="228"/>
  <c r="P44" i="228"/>
  <c r="O44" i="228"/>
  <c r="H44" i="228" s="1"/>
  <c r="B44" i="228"/>
  <c r="P43" i="228"/>
  <c r="O43" i="228"/>
  <c r="B43" i="228"/>
  <c r="P42" i="228"/>
  <c r="O42" i="228"/>
  <c r="H42" i="228"/>
  <c r="B42" i="228"/>
  <c r="P41" i="228"/>
  <c r="O41" i="228"/>
  <c r="B41" i="228"/>
  <c r="P40" i="228"/>
  <c r="O40" i="228"/>
  <c r="B40" i="228"/>
  <c r="A40" i="228"/>
  <c r="A41" i="228" s="1"/>
  <c r="A42" i="228" s="1"/>
  <c r="A43" i="228" s="1"/>
  <c r="A44" i="228" s="1"/>
  <c r="A45" i="228" s="1"/>
  <c r="A46" i="228" s="1"/>
  <c r="A47" i="228" s="1"/>
  <c r="A48" i="228" s="1"/>
  <c r="A49" i="228" s="1"/>
  <c r="A50" i="228" s="1"/>
  <c r="A51" i="228" s="1"/>
  <c r="A52" i="228" s="1"/>
  <c r="A53" i="228" s="1"/>
  <c r="A54" i="228" s="1"/>
  <c r="A55" i="228" s="1"/>
  <c r="A56" i="228" s="1"/>
  <c r="A57" i="228" s="1"/>
  <c r="A58" i="228" s="1"/>
  <c r="A59" i="228" s="1"/>
  <c r="A60" i="228" s="1"/>
  <c r="A61" i="228" s="1"/>
  <c r="A62" i="228" s="1"/>
  <c r="A63" i="228" s="1"/>
  <c r="P39" i="228"/>
  <c r="H39" i="228" s="1"/>
  <c r="O39" i="228"/>
  <c r="B39" i="228"/>
  <c r="P38" i="228"/>
  <c r="O38" i="228"/>
  <c r="H38" i="228" s="1"/>
  <c r="B38" i="228"/>
  <c r="A31" i="228"/>
  <c r="P15" i="228"/>
  <c r="J15" i="228"/>
  <c r="F15" i="228"/>
  <c r="J12" i="228"/>
  <c r="A12" i="228"/>
  <c r="L7" i="228"/>
  <c r="E7" i="228" s="1"/>
  <c r="E34" i="228" s="1"/>
  <c r="N6" i="228"/>
  <c r="T13" i="228" s="1"/>
  <c r="L6" i="228"/>
  <c r="A5" i="228"/>
  <c r="A32" i="228" s="1"/>
  <c r="F103" i="144"/>
  <c r="G103" i="144" s="1"/>
  <c r="H103" i="144" s="1"/>
  <c r="H55" i="228" l="1"/>
  <c r="A6" i="228"/>
  <c r="A33" i="228" s="1"/>
  <c r="H40" i="228"/>
  <c r="H41" i="228"/>
  <c r="H46" i="228"/>
  <c r="H47" i="228"/>
  <c r="H53" i="228"/>
  <c r="H59" i="228"/>
  <c r="H12" i="228"/>
  <c r="H43" i="228"/>
  <c r="H57" i="228"/>
  <c r="H63" i="228"/>
  <c r="I12" i="228"/>
  <c r="D39" i="228"/>
  <c r="D40" i="228" s="1"/>
  <c r="D41" i="228" s="1"/>
  <c r="D42" i="228" s="1"/>
  <c r="D43" i="228" s="1"/>
  <c r="D44" i="228" s="1"/>
  <c r="D45" i="228" s="1"/>
  <c r="D46" i="228" s="1"/>
  <c r="D47" i="228" s="1"/>
  <c r="D48" i="228" s="1"/>
  <c r="D49" i="228" s="1"/>
  <c r="D50" i="228" s="1"/>
  <c r="D51" i="228" s="1"/>
  <c r="D52" i="228" s="1"/>
  <c r="D53" i="228" s="1"/>
  <c r="D54" i="228" s="1"/>
  <c r="D55" i="228" s="1"/>
  <c r="D56" i="228" s="1"/>
  <c r="D57" i="228" s="1"/>
  <c r="D58" i="228" s="1"/>
  <c r="D59" i="228" s="1"/>
  <c r="D60" i="228" s="1"/>
  <c r="D61" i="228" s="1"/>
  <c r="H58" i="228"/>
  <c r="T12" i="228"/>
  <c r="I15" i="226"/>
  <c r="G15" i="226"/>
  <c r="H51" i="228" l="1"/>
  <c r="H15" i="228"/>
  <c r="D62" i="228"/>
  <c r="D63" i="228"/>
  <c r="I15" i="228"/>
  <c r="A7" i="228" s="1"/>
  <c r="A34" i="228" s="1"/>
  <c r="H50" i="228"/>
  <c r="G15" i="228"/>
  <c r="Q15" i="178"/>
  <c r="Q17" i="178" s="1"/>
  <c r="Q19" i="178" s="1"/>
  <c r="Q21" i="178" s="1"/>
  <c r="Q23" i="178" s="1"/>
  <c r="Q25" i="178" s="1"/>
  <c r="Q27" i="178" s="1"/>
  <c r="Q29" i="178" s="1"/>
  <c r="Q31" i="178" s="1"/>
  <c r="Q14" i="178"/>
  <c r="Q16" i="178" s="1"/>
  <c r="Q18" i="178" s="1"/>
  <c r="Q20" i="178" s="1"/>
  <c r="Q22" i="178" s="1"/>
  <c r="Q24" i="178" s="1"/>
  <c r="Q26" i="178" s="1"/>
  <c r="Q28" i="178" s="1"/>
  <c r="Q30" i="178" s="1"/>
  <c r="H64" i="228" l="1"/>
  <c r="J31" i="178"/>
  <c r="I31" i="178"/>
  <c r="H31" i="178"/>
  <c r="G31" i="178"/>
  <c r="F31" i="178"/>
  <c r="B31" i="178"/>
  <c r="J30" i="178"/>
  <c r="I30" i="178"/>
  <c r="H30" i="178"/>
  <c r="G30" i="178"/>
  <c r="F30" i="178"/>
  <c r="B30" i="178"/>
  <c r="J29" i="178"/>
  <c r="I29" i="178"/>
  <c r="H29" i="178"/>
  <c r="G29" i="178"/>
  <c r="F29" i="178"/>
  <c r="B29" i="178"/>
  <c r="J28" i="178"/>
  <c r="I28" i="178"/>
  <c r="H28" i="178"/>
  <c r="G28" i="178"/>
  <c r="F28" i="178"/>
  <c r="B28" i="178"/>
  <c r="J27" i="178"/>
  <c r="I27" i="178"/>
  <c r="H27" i="178"/>
  <c r="G27" i="178"/>
  <c r="F27" i="178"/>
  <c r="B27" i="178"/>
  <c r="J26" i="178"/>
  <c r="I26" i="178"/>
  <c r="H26" i="178"/>
  <c r="G26" i="178"/>
  <c r="F26" i="178"/>
  <c r="B26" i="178"/>
  <c r="J25" i="178"/>
  <c r="I25" i="178"/>
  <c r="H25" i="178"/>
  <c r="G25" i="178"/>
  <c r="F25" i="178"/>
  <c r="B25" i="178"/>
  <c r="J24" i="178"/>
  <c r="I24" i="178"/>
  <c r="H24" i="178"/>
  <c r="G24" i="178"/>
  <c r="F24" i="178"/>
  <c r="B24" i="178"/>
  <c r="J23" i="178"/>
  <c r="I23" i="178"/>
  <c r="H23" i="178"/>
  <c r="G23" i="178"/>
  <c r="F23" i="178"/>
  <c r="B23" i="178"/>
  <c r="J13" i="178"/>
  <c r="I13" i="178"/>
  <c r="H13" i="178"/>
  <c r="G13" i="178"/>
  <c r="F13" i="178"/>
  <c r="B13" i="178"/>
  <c r="B22" i="178" l="1"/>
  <c r="F22" i="178"/>
  <c r="G22" i="178"/>
  <c r="H22" i="178"/>
  <c r="I22" i="178"/>
  <c r="J22" i="178"/>
  <c r="J21" i="178"/>
  <c r="I21" i="178"/>
  <c r="H21" i="178"/>
  <c r="G21" i="178"/>
  <c r="F21" i="178"/>
  <c r="B21" i="178"/>
  <c r="J20" i="178"/>
  <c r="I20" i="178"/>
  <c r="H20" i="178"/>
  <c r="G20" i="178"/>
  <c r="F20" i="178"/>
  <c r="B20" i="178"/>
  <c r="J19" i="178"/>
  <c r="I19" i="178"/>
  <c r="H19" i="178"/>
  <c r="G19" i="178"/>
  <c r="F19" i="178"/>
  <c r="B19" i="178"/>
  <c r="J18" i="178"/>
  <c r="I18" i="178"/>
  <c r="H18" i="178"/>
  <c r="G18" i="178"/>
  <c r="F18" i="178"/>
  <c r="B18" i="178"/>
  <c r="J17" i="178"/>
  <c r="I17" i="178"/>
  <c r="H17" i="178"/>
  <c r="G17" i="178"/>
  <c r="F17" i="178"/>
  <c r="B17" i="178"/>
  <c r="H12" i="199" l="1"/>
  <c r="J31" i="197"/>
  <c r="G31" i="197"/>
  <c r="J30" i="197"/>
  <c r="H30" i="197"/>
  <c r="G30" i="197"/>
  <c r="I30" i="197" s="1"/>
  <c r="J29" i="197"/>
  <c r="H29" i="197"/>
  <c r="G29" i="197"/>
  <c r="J28" i="197"/>
  <c r="H28" i="197"/>
  <c r="G28" i="197"/>
  <c r="I28" i="197" s="1"/>
  <c r="J27" i="197"/>
  <c r="H27" i="197"/>
  <c r="G27" i="197"/>
  <c r="J26" i="197"/>
  <c r="H26" i="197"/>
  <c r="G26" i="197"/>
  <c r="I26" i="197" s="1"/>
  <c r="J25" i="197"/>
  <c r="H25" i="197"/>
  <c r="G25" i="197"/>
  <c r="J24" i="197"/>
  <c r="H24" i="197"/>
  <c r="G24" i="197"/>
  <c r="I24" i="197" s="1"/>
  <c r="Q23" i="197"/>
  <c r="B23" i="197" s="1"/>
  <c r="J23" i="197"/>
  <c r="H23" i="197"/>
  <c r="G23" i="197"/>
  <c r="I23" i="197" s="1"/>
  <c r="J22" i="197"/>
  <c r="H22" i="197"/>
  <c r="G22" i="197"/>
  <c r="B22" i="197"/>
  <c r="Q13" i="197"/>
  <c r="B13" i="197" s="1"/>
  <c r="J21" i="197"/>
  <c r="H21" i="197"/>
  <c r="G21" i="197"/>
  <c r="I21" i="197" s="1"/>
  <c r="J20" i="197"/>
  <c r="H20" i="197"/>
  <c r="G20" i="197"/>
  <c r="J19" i="197"/>
  <c r="H19" i="197"/>
  <c r="G19" i="197"/>
  <c r="I19" i="197" s="1"/>
  <c r="J18" i="197"/>
  <c r="H18" i="197"/>
  <c r="G18" i="197"/>
  <c r="J17" i="197"/>
  <c r="H17" i="197"/>
  <c r="G17" i="197"/>
  <c r="I17" i="197" s="1"/>
  <c r="J16" i="197"/>
  <c r="H16" i="197"/>
  <c r="G16" i="197"/>
  <c r="J15" i="197"/>
  <c r="H15" i="197"/>
  <c r="G15" i="197"/>
  <c r="I15" i="197" s="1"/>
  <c r="J14" i="197"/>
  <c r="H14" i="197"/>
  <c r="G14" i="197"/>
  <c r="J13" i="197"/>
  <c r="H13" i="197"/>
  <c r="G13" i="197"/>
  <c r="I13" i="197" s="1"/>
  <c r="I14" i="197" l="1"/>
  <c r="I18" i="197"/>
  <c r="I25" i="197"/>
  <c r="I29" i="197"/>
  <c r="I16" i="197"/>
  <c r="I20" i="197"/>
  <c r="I22" i="197"/>
  <c r="I27" i="197"/>
  <c r="Q24" i="197"/>
  <c r="Q25" i="197" s="1"/>
  <c r="Q26" i="197" s="1"/>
  <c r="Q14" i="197"/>
  <c r="B24" i="197" l="1"/>
  <c r="B25" i="197"/>
  <c r="B14" i="197"/>
  <c r="Q15" i="197"/>
  <c r="Q27" i="197"/>
  <c r="B26" i="197"/>
  <c r="B15" i="197" l="1"/>
  <c r="Q16" i="197"/>
  <c r="B27" i="197"/>
  <c r="Q28" i="197"/>
  <c r="B16" i="197" l="1"/>
  <c r="Q17" i="197"/>
  <c r="Q29" i="197"/>
  <c r="B28" i="197"/>
  <c r="Q18" i="197" l="1"/>
  <c r="B17" i="197"/>
  <c r="Q30" i="197"/>
  <c r="B29" i="197"/>
  <c r="B18" i="197" l="1"/>
  <c r="Q19" i="197"/>
  <c r="Q31" i="197"/>
  <c r="B31" i="197" s="1"/>
  <c r="B30" i="197"/>
  <c r="Q20" i="197" l="1"/>
  <c r="B19" i="197"/>
  <c r="Q21" i="197" l="1"/>
  <c r="B21" i="197" s="1"/>
  <c r="B20" i="197"/>
  <c r="T17" i="179" l="1"/>
  <c r="T18" i="179"/>
  <c r="C18" i="179" s="1"/>
  <c r="T19" i="179"/>
  <c r="C19" i="179" s="1"/>
  <c r="T16" i="179"/>
  <c r="C16" i="179" s="1"/>
  <c r="J19" i="179"/>
  <c r="I19" i="179"/>
  <c r="H19" i="179"/>
  <c r="G19" i="179"/>
  <c r="F19" i="179"/>
  <c r="B19" i="179"/>
  <c r="J18" i="179"/>
  <c r="I18" i="179"/>
  <c r="H18" i="179"/>
  <c r="G18" i="179"/>
  <c r="F18" i="179"/>
  <c r="B18" i="179"/>
  <c r="J17" i="179"/>
  <c r="I17" i="179"/>
  <c r="H17" i="179"/>
  <c r="G17" i="179"/>
  <c r="F17" i="179"/>
  <c r="C17" i="179"/>
  <c r="B17" i="179"/>
  <c r="J16" i="179"/>
  <c r="I16" i="179"/>
  <c r="H16" i="179"/>
  <c r="G16" i="179"/>
  <c r="F16" i="179"/>
  <c r="B16" i="179"/>
  <c r="T13" i="179"/>
  <c r="T14" i="179"/>
  <c r="T15" i="179"/>
  <c r="T12" i="179"/>
  <c r="L7" i="226"/>
  <c r="E7" i="226" s="1"/>
  <c r="E34" i="226" s="1"/>
  <c r="L7" i="227"/>
  <c r="E7" i="227" s="1"/>
  <c r="E33" i="227" s="1"/>
  <c r="N6" i="227"/>
  <c r="P62" i="227"/>
  <c r="O62" i="227"/>
  <c r="B62" i="227"/>
  <c r="P61" i="227"/>
  <c r="O61" i="227"/>
  <c r="B61" i="227"/>
  <c r="P60" i="227"/>
  <c r="O60" i="227"/>
  <c r="B60" i="227"/>
  <c r="P59" i="227"/>
  <c r="O59" i="227"/>
  <c r="B59" i="227"/>
  <c r="P58" i="227"/>
  <c r="O58" i="227"/>
  <c r="B58" i="227"/>
  <c r="P57" i="227"/>
  <c r="O57" i="227"/>
  <c r="B57" i="227"/>
  <c r="P56" i="227"/>
  <c r="O56" i="227"/>
  <c r="B56" i="227"/>
  <c r="P55" i="227"/>
  <c r="O55" i="227"/>
  <c r="B55" i="227"/>
  <c r="P54" i="227"/>
  <c r="O54" i="227"/>
  <c r="B54" i="227"/>
  <c r="P53" i="227"/>
  <c r="O53" i="227"/>
  <c r="B53" i="227"/>
  <c r="P52" i="227"/>
  <c r="O52" i="227"/>
  <c r="B52" i="227"/>
  <c r="P51" i="227"/>
  <c r="O51" i="227"/>
  <c r="B51" i="227"/>
  <c r="P50" i="227"/>
  <c r="O50" i="227"/>
  <c r="B50" i="227"/>
  <c r="P49" i="227"/>
  <c r="O49" i="227"/>
  <c r="B49" i="227"/>
  <c r="P48" i="227"/>
  <c r="O48" i="227"/>
  <c r="B48" i="227"/>
  <c r="P47" i="227"/>
  <c r="O47" i="227"/>
  <c r="B47" i="227"/>
  <c r="P46" i="227"/>
  <c r="O46" i="227"/>
  <c r="B46" i="227"/>
  <c r="P45" i="227"/>
  <c r="O45" i="227"/>
  <c r="B45" i="227"/>
  <c r="P44" i="227"/>
  <c r="O44" i="227"/>
  <c r="B44" i="227"/>
  <c r="P43" i="227"/>
  <c r="O43" i="227"/>
  <c r="B43" i="227"/>
  <c r="P42" i="227"/>
  <c r="O42" i="227"/>
  <c r="B42" i="227"/>
  <c r="P41" i="227"/>
  <c r="O41" i="227"/>
  <c r="B41" i="227"/>
  <c r="P40" i="227"/>
  <c r="O40" i="227"/>
  <c r="B40" i="227"/>
  <c r="P39" i="227"/>
  <c r="O39" i="227"/>
  <c r="B39" i="227"/>
  <c r="A39" i="227"/>
  <c r="A40" i="227" s="1"/>
  <c r="A41" i="227" s="1"/>
  <c r="A42" i="227" s="1"/>
  <c r="A43" i="227" s="1"/>
  <c r="A44" i="227" s="1"/>
  <c r="A45" i="227" s="1"/>
  <c r="A46" i="227" s="1"/>
  <c r="A47" i="227" s="1"/>
  <c r="A48" i="227" s="1"/>
  <c r="A49" i="227" s="1"/>
  <c r="A50" i="227" s="1"/>
  <c r="A51" i="227" s="1"/>
  <c r="A52" i="227" s="1"/>
  <c r="A53" i="227" s="1"/>
  <c r="A54" i="227" s="1"/>
  <c r="A55" i="227" s="1"/>
  <c r="A56" i="227" s="1"/>
  <c r="A57" i="227" s="1"/>
  <c r="A58" i="227" s="1"/>
  <c r="A59" i="227" s="1"/>
  <c r="A60" i="227" s="1"/>
  <c r="A61" i="227" s="1"/>
  <c r="A62" i="227" s="1"/>
  <c r="P38" i="227"/>
  <c r="O38" i="227"/>
  <c r="B38" i="227"/>
  <c r="P37" i="227"/>
  <c r="O37" i="227"/>
  <c r="B37" i="227"/>
  <c r="A30" i="227"/>
  <c r="P14" i="227"/>
  <c r="J14" i="227"/>
  <c r="I159" i="144" s="1"/>
  <c r="J12" i="227"/>
  <c r="I12" i="227"/>
  <c r="I14" i="227" s="1"/>
  <c r="A7" i="227" s="1"/>
  <c r="A33" i="227" s="1"/>
  <c r="H12" i="227"/>
  <c r="H14" i="227" s="1"/>
  <c r="G159" i="144" s="1"/>
  <c r="G12" i="227"/>
  <c r="G14" i="227" s="1"/>
  <c r="F159" i="144" s="1"/>
  <c r="F12" i="227"/>
  <c r="F14" i="227" s="1"/>
  <c r="E159" i="144" s="1"/>
  <c r="B12" i="227"/>
  <c r="H62" i="227" s="1"/>
  <c r="L6" i="227"/>
  <c r="N5" i="227"/>
  <c r="A5" i="227" s="1"/>
  <c r="A31" i="227" s="1"/>
  <c r="N6" i="226"/>
  <c r="P63" i="226"/>
  <c r="O63" i="226"/>
  <c r="B63" i="226"/>
  <c r="P62" i="226"/>
  <c r="O62" i="226"/>
  <c r="B62" i="226"/>
  <c r="P61" i="226"/>
  <c r="O61" i="226"/>
  <c r="B61" i="226"/>
  <c r="P60" i="226"/>
  <c r="O60" i="226"/>
  <c r="B60" i="226"/>
  <c r="P59" i="226"/>
  <c r="O59" i="226"/>
  <c r="B59" i="226"/>
  <c r="P58" i="226"/>
  <c r="O58" i="226"/>
  <c r="B58" i="226"/>
  <c r="P57" i="226"/>
  <c r="O57" i="226"/>
  <c r="B57" i="226"/>
  <c r="P56" i="226"/>
  <c r="O56" i="226"/>
  <c r="B56" i="226"/>
  <c r="P55" i="226"/>
  <c r="O55" i="226"/>
  <c r="B55" i="226"/>
  <c r="P54" i="226"/>
  <c r="O54" i="226"/>
  <c r="B54" i="226"/>
  <c r="P53" i="226"/>
  <c r="O53" i="226"/>
  <c r="B53" i="226"/>
  <c r="P52" i="226"/>
  <c r="O52" i="226"/>
  <c r="B52" i="226"/>
  <c r="P51" i="226"/>
  <c r="O51" i="226"/>
  <c r="B51" i="226"/>
  <c r="P50" i="226"/>
  <c r="O50" i="226"/>
  <c r="B50" i="226"/>
  <c r="P49" i="226"/>
  <c r="O49" i="226"/>
  <c r="B49" i="226"/>
  <c r="P48" i="226"/>
  <c r="O48" i="226"/>
  <c r="B48" i="226"/>
  <c r="P47" i="226"/>
  <c r="O47" i="226"/>
  <c r="B47" i="226"/>
  <c r="P46" i="226"/>
  <c r="O46" i="226"/>
  <c r="B46" i="226"/>
  <c r="P45" i="226"/>
  <c r="O45" i="226"/>
  <c r="B45" i="226"/>
  <c r="P44" i="226"/>
  <c r="O44" i="226"/>
  <c r="B44" i="226"/>
  <c r="P43" i="226"/>
  <c r="O43" i="226"/>
  <c r="B43" i="226"/>
  <c r="P42" i="226"/>
  <c r="O42" i="226"/>
  <c r="B42" i="226"/>
  <c r="P41" i="226"/>
  <c r="O41" i="226"/>
  <c r="B41" i="226"/>
  <c r="P40" i="226"/>
  <c r="O40" i="226"/>
  <c r="B40" i="226"/>
  <c r="A40" i="226"/>
  <c r="A41" i="226" s="1"/>
  <c r="A42" i="226" s="1"/>
  <c r="A43" i="226" s="1"/>
  <c r="A44" i="226" s="1"/>
  <c r="A45" i="226" s="1"/>
  <c r="A46" i="226" s="1"/>
  <c r="A47" i="226" s="1"/>
  <c r="A48" i="226" s="1"/>
  <c r="A49" i="226" s="1"/>
  <c r="A50" i="226" s="1"/>
  <c r="A51" i="226" s="1"/>
  <c r="A52" i="226" s="1"/>
  <c r="A53" i="226" s="1"/>
  <c r="A54" i="226" s="1"/>
  <c r="A55" i="226" s="1"/>
  <c r="A56" i="226" s="1"/>
  <c r="A57" i="226" s="1"/>
  <c r="A58" i="226" s="1"/>
  <c r="A59" i="226" s="1"/>
  <c r="A60" i="226" s="1"/>
  <c r="A61" i="226" s="1"/>
  <c r="A62" i="226" s="1"/>
  <c r="A63" i="226" s="1"/>
  <c r="P39" i="226"/>
  <c r="O39" i="226"/>
  <c r="B39" i="226"/>
  <c r="P38" i="226"/>
  <c r="O38" i="226"/>
  <c r="B38" i="226"/>
  <c r="A31" i="226"/>
  <c r="P15" i="226"/>
  <c r="J15" i="226"/>
  <c r="I160" i="144" s="1"/>
  <c r="J13" i="226"/>
  <c r="H13" i="226"/>
  <c r="G13" i="226"/>
  <c r="B13" i="226"/>
  <c r="J12" i="226"/>
  <c r="I12" i="226"/>
  <c r="H12" i="226"/>
  <c r="G12" i="226"/>
  <c r="F12" i="226"/>
  <c r="E160" i="144" s="1"/>
  <c r="B12" i="226"/>
  <c r="L6" i="226"/>
  <c r="N5" i="226"/>
  <c r="A5" i="226" s="1"/>
  <c r="A32" i="226" s="1"/>
  <c r="H12" i="197"/>
  <c r="H61" i="226" l="1"/>
  <c r="A6" i="227"/>
  <c r="A32" i="227" s="1"/>
  <c r="H63" i="226"/>
  <c r="A12" i="226"/>
  <c r="H49" i="226"/>
  <c r="H41" i="226"/>
  <c r="H38" i="226"/>
  <c r="H55" i="226"/>
  <c r="H44" i="226"/>
  <c r="H58" i="226"/>
  <c r="H15" i="226"/>
  <c r="H39" i="226"/>
  <c r="H43" i="226"/>
  <c r="H46" i="226"/>
  <c r="H52" i="226"/>
  <c r="H57" i="226"/>
  <c r="H60" i="226"/>
  <c r="A13" i="226"/>
  <c r="H45" i="226"/>
  <c r="H48" i="226"/>
  <c r="H54" i="226"/>
  <c r="H59" i="226"/>
  <c r="H62" i="226"/>
  <c r="H40" i="226"/>
  <c r="H42" i="226"/>
  <c r="H47" i="226"/>
  <c r="H53" i="226"/>
  <c r="H56" i="226"/>
  <c r="H159" i="144"/>
  <c r="F160" i="144"/>
  <c r="H50" i="226"/>
  <c r="H37" i="227"/>
  <c r="H41" i="227"/>
  <c r="H46" i="227"/>
  <c r="H49" i="227"/>
  <c r="H52" i="227"/>
  <c r="H55" i="227"/>
  <c r="H60" i="227"/>
  <c r="A12" i="227"/>
  <c r="H38" i="227"/>
  <c r="H40" i="227"/>
  <c r="H43" i="227"/>
  <c r="H48" i="227"/>
  <c r="Q159" i="145" s="1"/>
  <c r="H54" i="227"/>
  <c r="H57" i="227"/>
  <c r="H42" i="227"/>
  <c r="H45" i="227"/>
  <c r="H51" i="227"/>
  <c r="H56" i="227"/>
  <c r="H59" i="227"/>
  <c r="H39" i="227"/>
  <c r="H44" i="227"/>
  <c r="H47" i="227"/>
  <c r="H53" i="227"/>
  <c r="H58" i="227"/>
  <c r="H61" i="227"/>
  <c r="H50" i="227"/>
  <c r="T12" i="227"/>
  <c r="C12" i="227" s="1"/>
  <c r="D37" i="227"/>
  <c r="D38" i="227" s="1"/>
  <c r="D39" i="227" s="1"/>
  <c r="D40" i="227" s="1"/>
  <c r="D41" i="227" s="1"/>
  <c r="D42" i="227" s="1"/>
  <c r="D43" i="227" s="1"/>
  <c r="D44" i="227" s="1"/>
  <c r="D45" i="227" s="1"/>
  <c r="D46" i="227" s="1"/>
  <c r="D47" i="227" s="1"/>
  <c r="D48" i="227" s="1"/>
  <c r="D49" i="227" s="1"/>
  <c r="D50" i="227" s="1"/>
  <c r="D51" i="227" s="1"/>
  <c r="D52" i="227" s="1"/>
  <c r="D53" i="227" s="1"/>
  <c r="D54" i="227" s="1"/>
  <c r="D55" i="227" s="1"/>
  <c r="D56" i="227" s="1"/>
  <c r="D57" i="227" s="1"/>
  <c r="D58" i="227" s="1"/>
  <c r="D59" i="227" s="1"/>
  <c r="D60" i="227" s="1"/>
  <c r="A6" i="226"/>
  <c r="A33" i="226" s="1"/>
  <c r="T12" i="226"/>
  <c r="C12" i="226" s="1"/>
  <c r="T13" i="226"/>
  <c r="C13" i="226" s="1"/>
  <c r="D38" i="226"/>
  <c r="D39" i="226" s="1"/>
  <c r="D40" i="226" s="1"/>
  <c r="D41" i="226" s="1"/>
  <c r="D42" i="226" s="1"/>
  <c r="D43" i="226" s="1"/>
  <c r="D44" i="226" s="1"/>
  <c r="D45" i="226" s="1"/>
  <c r="D46" i="226" s="1"/>
  <c r="D47" i="226" s="1"/>
  <c r="D48" i="226" s="1"/>
  <c r="D49" i="226" s="1"/>
  <c r="D50" i="226" s="1"/>
  <c r="D51" i="226" s="1"/>
  <c r="D52" i="226" s="1"/>
  <c r="D53" i="226" s="1"/>
  <c r="D54" i="226" s="1"/>
  <c r="D55" i="226" s="1"/>
  <c r="D56" i="226" s="1"/>
  <c r="D57" i="226" s="1"/>
  <c r="D58" i="226" s="1"/>
  <c r="D59" i="226" s="1"/>
  <c r="D60" i="226" s="1"/>
  <c r="D61" i="226" s="1"/>
  <c r="H51" i="226"/>
  <c r="G160" i="144" l="1"/>
  <c r="N15" i="226"/>
  <c r="H64" i="226"/>
  <c r="A7" i="226"/>
  <c r="A34" i="226" s="1"/>
  <c r="H160" i="144"/>
  <c r="H63" i="227"/>
  <c r="D61" i="227"/>
  <c r="D62" i="227"/>
  <c r="D62" i="226"/>
  <c r="D63" i="226"/>
  <c r="P13" i="201" l="1"/>
  <c r="P12" i="201"/>
  <c r="G15" i="217" l="1"/>
  <c r="G14" i="217"/>
  <c r="F18" i="216" l="1"/>
  <c r="F14" i="216"/>
  <c r="F19" i="216"/>
  <c r="F15" i="216"/>
  <c r="F17" i="216"/>
  <c r="G17" i="216" s="1"/>
  <c r="H17" i="216" s="1"/>
  <c r="I17" i="216" s="1"/>
  <c r="F13" i="216"/>
  <c r="F12" i="216"/>
  <c r="G12" i="216" s="1"/>
  <c r="F16" i="216"/>
  <c r="G16" i="216" s="1"/>
  <c r="B14" i="216"/>
  <c r="J15" i="216"/>
  <c r="B15" i="216"/>
  <c r="J14" i="216"/>
  <c r="J13" i="216"/>
  <c r="B13" i="216"/>
  <c r="J16" i="216"/>
  <c r="B16" i="216"/>
  <c r="G18" i="216" l="1"/>
  <c r="H18" i="216" s="1"/>
  <c r="I18" i="216" s="1"/>
  <c r="G14" i="216"/>
  <c r="H14" i="216" s="1"/>
  <c r="I14" i="216" s="1"/>
  <c r="H16" i="216"/>
  <c r="I16" i="216" s="1"/>
  <c r="G19" i="216"/>
  <c r="H19" i="216" s="1"/>
  <c r="I19" i="216" s="1"/>
  <c r="G15" i="216"/>
  <c r="H15" i="216" s="1"/>
  <c r="I15" i="216" s="1"/>
  <c r="H12" i="216"/>
  <c r="I12" i="216" s="1"/>
  <c r="G13" i="216"/>
  <c r="H13" i="216" s="1"/>
  <c r="I13" i="216" s="1"/>
  <c r="F17" i="218"/>
  <c r="F12" i="218"/>
  <c r="M23" i="195" l="1"/>
  <c r="F16" i="206" l="1"/>
  <c r="I16" i="206" s="1"/>
  <c r="F15" i="206"/>
  <c r="I15" i="206" s="1"/>
  <c r="F14" i="206"/>
  <c r="I14" i="206" s="1"/>
  <c r="F13" i="206"/>
  <c r="I13" i="206" s="1"/>
  <c r="F12" i="206"/>
  <c r="J16" i="206"/>
  <c r="G16" i="206"/>
  <c r="H16" i="206" s="1"/>
  <c r="B16" i="206"/>
  <c r="F15" i="225" l="1"/>
  <c r="E42" i="144" s="1"/>
  <c r="L7" i="225"/>
  <c r="E7" i="225" s="1"/>
  <c r="E34" i="225" s="1"/>
  <c r="N6" i="225"/>
  <c r="T13" i="225" s="1"/>
  <c r="C13" i="225" s="1"/>
  <c r="P63" i="225"/>
  <c r="O63" i="225"/>
  <c r="B63" i="225"/>
  <c r="P62" i="225"/>
  <c r="O62" i="225"/>
  <c r="B62" i="225"/>
  <c r="P61" i="225"/>
  <c r="O61" i="225"/>
  <c r="B61" i="225"/>
  <c r="P60" i="225"/>
  <c r="O60" i="225"/>
  <c r="B60" i="225"/>
  <c r="P59" i="225"/>
  <c r="O59" i="225"/>
  <c r="B59" i="225"/>
  <c r="P58" i="225"/>
  <c r="O58" i="225"/>
  <c r="B58" i="225"/>
  <c r="P57" i="225"/>
  <c r="O57" i="225"/>
  <c r="B57" i="225"/>
  <c r="P56" i="225"/>
  <c r="O56" i="225"/>
  <c r="B56" i="225"/>
  <c r="P55" i="225"/>
  <c r="O55" i="225"/>
  <c r="B55" i="225"/>
  <c r="P54" i="225"/>
  <c r="O54" i="225"/>
  <c r="B54" i="225"/>
  <c r="P53" i="225"/>
  <c r="O53" i="225"/>
  <c r="B53" i="225"/>
  <c r="P52" i="225"/>
  <c r="O52" i="225"/>
  <c r="B52" i="225"/>
  <c r="P51" i="225"/>
  <c r="O51" i="225"/>
  <c r="B51" i="225"/>
  <c r="P50" i="225"/>
  <c r="O50" i="225"/>
  <c r="B50" i="225"/>
  <c r="P49" i="225"/>
  <c r="O49" i="225"/>
  <c r="B49" i="225"/>
  <c r="P48" i="225"/>
  <c r="O48" i="225"/>
  <c r="B48" i="225"/>
  <c r="P47" i="225"/>
  <c r="O47" i="225"/>
  <c r="B47" i="225"/>
  <c r="P46" i="225"/>
  <c r="O46" i="225"/>
  <c r="B46" i="225"/>
  <c r="P45" i="225"/>
  <c r="O45" i="225"/>
  <c r="B45" i="225"/>
  <c r="P44" i="225"/>
  <c r="O44" i="225"/>
  <c r="B44" i="225"/>
  <c r="P43" i="225"/>
  <c r="O43" i="225"/>
  <c r="B43" i="225"/>
  <c r="P42" i="225"/>
  <c r="O42" i="225"/>
  <c r="B42" i="225"/>
  <c r="P41" i="225"/>
  <c r="O41" i="225"/>
  <c r="B41" i="225"/>
  <c r="P40" i="225"/>
  <c r="O40" i="225"/>
  <c r="B40" i="225"/>
  <c r="A40" i="225"/>
  <c r="A41" i="225" s="1"/>
  <c r="A42" i="225" s="1"/>
  <c r="A43" i="225" s="1"/>
  <c r="A44" i="225" s="1"/>
  <c r="A45" i="225" s="1"/>
  <c r="A46" i="225" s="1"/>
  <c r="A47" i="225" s="1"/>
  <c r="A48" i="225" s="1"/>
  <c r="A49" i="225" s="1"/>
  <c r="A50" i="225" s="1"/>
  <c r="A51" i="225" s="1"/>
  <c r="A52" i="225" s="1"/>
  <c r="A53" i="225" s="1"/>
  <c r="A54" i="225" s="1"/>
  <c r="A55" i="225" s="1"/>
  <c r="A56" i="225" s="1"/>
  <c r="A57" i="225" s="1"/>
  <c r="A58" i="225" s="1"/>
  <c r="A59" i="225" s="1"/>
  <c r="A60" i="225" s="1"/>
  <c r="A61" i="225" s="1"/>
  <c r="A62" i="225" s="1"/>
  <c r="A63" i="225" s="1"/>
  <c r="P39" i="225"/>
  <c r="O39" i="225"/>
  <c r="B39" i="225"/>
  <c r="P38" i="225"/>
  <c r="O38" i="225"/>
  <c r="B38" i="225"/>
  <c r="A31" i="225"/>
  <c r="P15" i="225"/>
  <c r="J13" i="225"/>
  <c r="I13" i="225"/>
  <c r="H13" i="225"/>
  <c r="G13" i="225"/>
  <c r="F13" i="225"/>
  <c r="B13" i="225"/>
  <c r="J12" i="225"/>
  <c r="I12" i="225"/>
  <c r="H12" i="225"/>
  <c r="G12" i="225"/>
  <c r="F12" i="225"/>
  <c r="B12" i="225"/>
  <c r="L6" i="225"/>
  <c r="N5" i="225"/>
  <c r="A5" i="225" s="1"/>
  <c r="A32" i="225" s="1"/>
  <c r="F15" i="223"/>
  <c r="E39" i="144" s="1"/>
  <c r="L7" i="223"/>
  <c r="E7" i="223" s="1"/>
  <c r="E34" i="223" s="1"/>
  <c r="F15" i="224"/>
  <c r="L7" i="224"/>
  <c r="E7" i="224" s="1"/>
  <c r="E34" i="224" s="1"/>
  <c r="N6" i="224"/>
  <c r="P63" i="224"/>
  <c r="O63" i="224"/>
  <c r="B63" i="224"/>
  <c r="P62" i="224"/>
  <c r="O62" i="224"/>
  <c r="B62" i="224"/>
  <c r="P61" i="224"/>
  <c r="O61" i="224"/>
  <c r="B61" i="224"/>
  <c r="P60" i="224"/>
  <c r="O60" i="224"/>
  <c r="B60" i="224"/>
  <c r="P59" i="224"/>
  <c r="O59" i="224"/>
  <c r="B59" i="224"/>
  <c r="P58" i="224"/>
  <c r="O58" i="224"/>
  <c r="B58" i="224"/>
  <c r="P57" i="224"/>
  <c r="O57" i="224"/>
  <c r="B57" i="224"/>
  <c r="P56" i="224"/>
  <c r="O56" i="224"/>
  <c r="B56" i="224"/>
  <c r="P55" i="224"/>
  <c r="O55" i="224"/>
  <c r="B55" i="224"/>
  <c r="P54" i="224"/>
  <c r="O54" i="224"/>
  <c r="B54" i="224"/>
  <c r="P53" i="224"/>
  <c r="O53" i="224"/>
  <c r="B53" i="224"/>
  <c r="P52" i="224"/>
  <c r="O52" i="224"/>
  <c r="B52" i="224"/>
  <c r="P51" i="224"/>
  <c r="O51" i="224"/>
  <c r="B51" i="224"/>
  <c r="P50" i="224"/>
  <c r="O50" i="224"/>
  <c r="B50" i="224"/>
  <c r="P49" i="224"/>
  <c r="O49" i="224"/>
  <c r="B49" i="224"/>
  <c r="P48" i="224"/>
  <c r="O48" i="224"/>
  <c r="B48" i="224"/>
  <c r="P47" i="224"/>
  <c r="O47" i="224"/>
  <c r="B47" i="224"/>
  <c r="P46" i="224"/>
  <c r="O46" i="224"/>
  <c r="B46" i="224"/>
  <c r="P45" i="224"/>
  <c r="O45" i="224"/>
  <c r="B45" i="224"/>
  <c r="P44" i="224"/>
  <c r="O44" i="224"/>
  <c r="B44" i="224"/>
  <c r="P43" i="224"/>
  <c r="O43" i="224"/>
  <c r="B43" i="224"/>
  <c r="P42" i="224"/>
  <c r="O42" i="224"/>
  <c r="B42" i="224"/>
  <c r="P41" i="224"/>
  <c r="O41" i="224"/>
  <c r="B41" i="224"/>
  <c r="P40" i="224"/>
  <c r="O40" i="224"/>
  <c r="B40" i="224"/>
  <c r="A40" i="224"/>
  <c r="A41" i="224" s="1"/>
  <c r="A42" i="224" s="1"/>
  <c r="A43" i="224" s="1"/>
  <c r="A44" i="224" s="1"/>
  <c r="A45" i="224" s="1"/>
  <c r="A46" i="224" s="1"/>
  <c r="A47" i="224" s="1"/>
  <c r="A48" i="224" s="1"/>
  <c r="A49" i="224" s="1"/>
  <c r="A50" i="224" s="1"/>
  <c r="A51" i="224" s="1"/>
  <c r="A52" i="224" s="1"/>
  <c r="A53" i="224" s="1"/>
  <c r="A54" i="224" s="1"/>
  <c r="A55" i="224" s="1"/>
  <c r="A56" i="224" s="1"/>
  <c r="A57" i="224" s="1"/>
  <c r="A58" i="224" s="1"/>
  <c r="A59" i="224" s="1"/>
  <c r="A60" i="224" s="1"/>
  <c r="A61" i="224" s="1"/>
  <c r="A62" i="224" s="1"/>
  <c r="A63" i="224" s="1"/>
  <c r="P39" i="224"/>
  <c r="O39" i="224"/>
  <c r="B39" i="224"/>
  <c r="P38" i="224"/>
  <c r="O38" i="224"/>
  <c r="B38" i="224"/>
  <c r="A31" i="224"/>
  <c r="P15" i="224"/>
  <c r="J13" i="224"/>
  <c r="I13" i="224"/>
  <c r="H13" i="224"/>
  <c r="G13" i="224"/>
  <c r="F13" i="224"/>
  <c r="B13" i="224"/>
  <c r="J12" i="224"/>
  <c r="I12" i="224"/>
  <c r="H12" i="224"/>
  <c r="G12" i="224"/>
  <c r="F12" i="224"/>
  <c r="B12" i="224"/>
  <c r="A12" i="224" s="1"/>
  <c r="L6" i="224"/>
  <c r="N5" i="224"/>
  <c r="A5" i="224" s="1"/>
  <c r="A32" i="224" s="1"/>
  <c r="N6" i="223"/>
  <c r="P63" i="223"/>
  <c r="O63" i="223"/>
  <c r="B63" i="223"/>
  <c r="P62" i="223"/>
  <c r="O62" i="223"/>
  <c r="B62" i="223"/>
  <c r="P61" i="223"/>
  <c r="O61" i="223"/>
  <c r="B61" i="223"/>
  <c r="P60" i="223"/>
  <c r="O60" i="223"/>
  <c r="B60" i="223"/>
  <c r="P59" i="223"/>
  <c r="O59" i="223"/>
  <c r="B59" i="223"/>
  <c r="P58" i="223"/>
  <c r="O58" i="223"/>
  <c r="B58" i="223"/>
  <c r="P57" i="223"/>
  <c r="O57" i="223"/>
  <c r="B57" i="223"/>
  <c r="P56" i="223"/>
  <c r="O56" i="223"/>
  <c r="B56" i="223"/>
  <c r="P55" i="223"/>
  <c r="O55" i="223"/>
  <c r="B55" i="223"/>
  <c r="P54" i="223"/>
  <c r="O54" i="223"/>
  <c r="B54" i="223"/>
  <c r="P53" i="223"/>
  <c r="O53" i="223"/>
  <c r="B53" i="223"/>
  <c r="P52" i="223"/>
  <c r="O52" i="223"/>
  <c r="B52" i="223"/>
  <c r="P51" i="223"/>
  <c r="O51" i="223"/>
  <c r="B51" i="223"/>
  <c r="P50" i="223"/>
  <c r="O50" i="223"/>
  <c r="B50" i="223"/>
  <c r="P49" i="223"/>
  <c r="O49" i="223"/>
  <c r="B49" i="223"/>
  <c r="P48" i="223"/>
  <c r="O48" i="223"/>
  <c r="B48" i="223"/>
  <c r="P47" i="223"/>
  <c r="O47" i="223"/>
  <c r="B47" i="223"/>
  <c r="P46" i="223"/>
  <c r="O46" i="223"/>
  <c r="B46" i="223"/>
  <c r="P45" i="223"/>
  <c r="O45" i="223"/>
  <c r="B45" i="223"/>
  <c r="P44" i="223"/>
  <c r="O44" i="223"/>
  <c r="B44" i="223"/>
  <c r="P43" i="223"/>
  <c r="O43" i="223"/>
  <c r="B43" i="223"/>
  <c r="P42" i="223"/>
  <c r="O42" i="223"/>
  <c r="B42" i="223"/>
  <c r="P41" i="223"/>
  <c r="O41" i="223"/>
  <c r="B41" i="223"/>
  <c r="P40" i="223"/>
  <c r="O40" i="223"/>
  <c r="B40" i="223"/>
  <c r="A40" i="223"/>
  <c r="A41" i="223" s="1"/>
  <c r="A42" i="223" s="1"/>
  <c r="A43" i="223" s="1"/>
  <c r="A44" i="223" s="1"/>
  <c r="A45" i="223" s="1"/>
  <c r="A46" i="223" s="1"/>
  <c r="A47" i="223" s="1"/>
  <c r="A48" i="223" s="1"/>
  <c r="A49" i="223" s="1"/>
  <c r="A50" i="223" s="1"/>
  <c r="A51" i="223" s="1"/>
  <c r="A52" i="223" s="1"/>
  <c r="A53" i="223" s="1"/>
  <c r="A54" i="223" s="1"/>
  <c r="A55" i="223" s="1"/>
  <c r="A56" i="223" s="1"/>
  <c r="A57" i="223" s="1"/>
  <c r="A58" i="223" s="1"/>
  <c r="A59" i="223" s="1"/>
  <c r="A60" i="223" s="1"/>
  <c r="A61" i="223" s="1"/>
  <c r="A62" i="223" s="1"/>
  <c r="A63" i="223" s="1"/>
  <c r="P39" i="223"/>
  <c r="O39" i="223"/>
  <c r="B39" i="223"/>
  <c r="P38" i="223"/>
  <c r="O38" i="223"/>
  <c r="B38" i="223"/>
  <c r="A31" i="223"/>
  <c r="P15" i="223"/>
  <c r="J13" i="223"/>
  <c r="I13" i="223"/>
  <c r="H13" i="223"/>
  <c r="G13" i="223"/>
  <c r="F13" i="223"/>
  <c r="B13" i="223"/>
  <c r="J12" i="223"/>
  <c r="I12" i="223"/>
  <c r="H12" i="223"/>
  <c r="G12" i="223"/>
  <c r="F12" i="223"/>
  <c r="B12" i="223"/>
  <c r="A12" i="223" s="1"/>
  <c r="L6" i="223"/>
  <c r="N5" i="223"/>
  <c r="A5" i="223" s="1"/>
  <c r="A32" i="223" s="1"/>
  <c r="F15" i="222"/>
  <c r="E38" i="144" s="1"/>
  <c r="H40" i="224" l="1"/>
  <c r="H57" i="223"/>
  <c r="H43" i="223"/>
  <c r="H44" i="223"/>
  <c r="H47" i="223"/>
  <c r="H51" i="223"/>
  <c r="H55" i="223"/>
  <c r="H59" i="223"/>
  <c r="H63" i="223"/>
  <c r="H42" i="224"/>
  <c r="H45" i="223"/>
  <c r="G15" i="223"/>
  <c r="F39" i="144" s="1"/>
  <c r="H53" i="223"/>
  <c r="H61" i="223"/>
  <c r="H60" i="223"/>
  <c r="H43" i="224"/>
  <c r="H46" i="224"/>
  <c r="H47" i="224"/>
  <c r="H50" i="224"/>
  <c r="H51" i="224"/>
  <c r="H54" i="224"/>
  <c r="H55" i="224"/>
  <c r="H59" i="224"/>
  <c r="H62" i="224"/>
  <c r="H39" i="225"/>
  <c r="H63" i="225"/>
  <c r="H39" i="223"/>
  <c r="H52" i="223"/>
  <c r="A6" i="223"/>
  <c r="A33" i="223" s="1"/>
  <c r="A13" i="223"/>
  <c r="H46" i="223"/>
  <c r="H54" i="223"/>
  <c r="H62" i="223"/>
  <c r="G15" i="224"/>
  <c r="F41" i="144" s="1"/>
  <c r="H63" i="224"/>
  <c r="H40" i="225"/>
  <c r="H41" i="225"/>
  <c r="H44" i="225"/>
  <c r="H45" i="225"/>
  <c r="H48" i="225"/>
  <c r="H49" i="225"/>
  <c r="H52" i="225"/>
  <c r="H53" i="225"/>
  <c r="H56" i="225"/>
  <c r="H57" i="225"/>
  <c r="H60" i="225"/>
  <c r="H61" i="225"/>
  <c r="H49" i="223"/>
  <c r="H15" i="223"/>
  <c r="G39" i="144" s="1"/>
  <c r="H40" i="223"/>
  <c r="H56" i="223"/>
  <c r="H45" i="224"/>
  <c r="H48" i="224"/>
  <c r="H49" i="224"/>
  <c r="H52" i="224"/>
  <c r="H53" i="224"/>
  <c r="H56" i="224"/>
  <c r="H57" i="224"/>
  <c r="H60" i="224"/>
  <c r="H61" i="224"/>
  <c r="H41" i="223"/>
  <c r="H48" i="223"/>
  <c r="I15" i="223"/>
  <c r="J15" i="223"/>
  <c r="I39" i="144" s="1"/>
  <c r="H38" i="223"/>
  <c r="H42" i="223"/>
  <c r="H50" i="223"/>
  <c r="A13" i="224"/>
  <c r="H39" i="224"/>
  <c r="H41" i="224"/>
  <c r="A6" i="224"/>
  <c r="A33" i="224" s="1"/>
  <c r="A13" i="225"/>
  <c r="I15" i="225"/>
  <c r="G15" i="225"/>
  <c r="F42" i="144" s="1"/>
  <c r="H42" i="225"/>
  <c r="H43" i="225"/>
  <c r="H46" i="225"/>
  <c r="H47" i="225"/>
  <c r="H50" i="225"/>
  <c r="H51" i="225"/>
  <c r="H54" i="225"/>
  <c r="H55" i="225"/>
  <c r="H58" i="225"/>
  <c r="Z42" i="145" s="1"/>
  <c r="H59" i="225"/>
  <c r="H62" i="225"/>
  <c r="H15" i="225"/>
  <c r="G42" i="144" s="1"/>
  <c r="J15" i="225"/>
  <c r="I42" i="144" s="1"/>
  <c r="A6" i="225"/>
  <c r="A33" i="225" s="1"/>
  <c r="T12" i="225"/>
  <c r="C12" i="225" s="1"/>
  <c r="H38" i="225"/>
  <c r="A12" i="225"/>
  <c r="D38" i="225"/>
  <c r="D39" i="225" s="1"/>
  <c r="D40" i="225" s="1"/>
  <c r="D41" i="225" s="1"/>
  <c r="D42" i="225" s="1"/>
  <c r="D43" i="225" s="1"/>
  <c r="D44" i="225" s="1"/>
  <c r="D45" i="225" s="1"/>
  <c r="D46" i="225" s="1"/>
  <c r="D47" i="225" s="1"/>
  <c r="D48" i="225" s="1"/>
  <c r="D49" i="225" s="1"/>
  <c r="D50" i="225" s="1"/>
  <c r="D51" i="225" s="1"/>
  <c r="D52" i="225" s="1"/>
  <c r="D53" i="225" s="1"/>
  <c r="D54" i="225" s="1"/>
  <c r="D55" i="225" s="1"/>
  <c r="D56" i="225" s="1"/>
  <c r="D57" i="225" s="1"/>
  <c r="D58" i="225" s="1"/>
  <c r="D59" i="225" s="1"/>
  <c r="D60" i="225" s="1"/>
  <c r="D61" i="225" s="1"/>
  <c r="I15" i="224"/>
  <c r="J15" i="224"/>
  <c r="I41" i="144" s="1"/>
  <c r="H58" i="224"/>
  <c r="Z41" i="145" s="1"/>
  <c r="H15" i="224"/>
  <c r="G41" i="144" s="1"/>
  <c r="T12" i="224"/>
  <c r="C12" i="224" s="1"/>
  <c r="H38" i="224"/>
  <c r="H44" i="224"/>
  <c r="T13" i="224"/>
  <c r="C13" i="224" s="1"/>
  <c r="D38" i="224"/>
  <c r="D39" i="224" s="1"/>
  <c r="D40" i="224" s="1"/>
  <c r="D41" i="224" s="1"/>
  <c r="D42" i="224" s="1"/>
  <c r="D43" i="224" s="1"/>
  <c r="D44" i="224" s="1"/>
  <c r="D45" i="224" s="1"/>
  <c r="D46" i="224" s="1"/>
  <c r="D47" i="224" s="1"/>
  <c r="D48" i="224" s="1"/>
  <c r="D49" i="224" s="1"/>
  <c r="D50" i="224" s="1"/>
  <c r="D51" i="224" s="1"/>
  <c r="D52" i="224" s="1"/>
  <c r="D53" i="224" s="1"/>
  <c r="D54" i="224" s="1"/>
  <c r="D55" i="224" s="1"/>
  <c r="D56" i="224" s="1"/>
  <c r="D57" i="224" s="1"/>
  <c r="D58" i="224" s="1"/>
  <c r="D59" i="224" s="1"/>
  <c r="D60" i="224" s="1"/>
  <c r="D61" i="224" s="1"/>
  <c r="H58" i="223"/>
  <c r="Z39" i="145" s="1"/>
  <c r="T13" i="223"/>
  <c r="C13" i="223" s="1"/>
  <c r="T12" i="223"/>
  <c r="C12" i="223" s="1"/>
  <c r="D38" i="223"/>
  <c r="D39" i="223" s="1"/>
  <c r="D40" i="223" s="1"/>
  <c r="D41" i="223" s="1"/>
  <c r="D42" i="223" s="1"/>
  <c r="D43" i="223" s="1"/>
  <c r="D44" i="223" s="1"/>
  <c r="D45" i="223" s="1"/>
  <c r="D46" i="223" s="1"/>
  <c r="D47" i="223" s="1"/>
  <c r="D48" i="223" s="1"/>
  <c r="D49" i="223" s="1"/>
  <c r="D50" i="223" s="1"/>
  <c r="D51" i="223" s="1"/>
  <c r="D52" i="223" s="1"/>
  <c r="D53" i="223" s="1"/>
  <c r="D54" i="223" s="1"/>
  <c r="D55" i="223" s="1"/>
  <c r="D56" i="223" s="1"/>
  <c r="D57" i="223" s="1"/>
  <c r="D58" i="223" s="1"/>
  <c r="D59" i="223" s="1"/>
  <c r="D60" i="223" s="1"/>
  <c r="D61" i="223" s="1"/>
  <c r="N6" i="222"/>
  <c r="T12" i="222" s="1"/>
  <c r="C12" i="222" s="1"/>
  <c r="P63" i="222"/>
  <c r="O63" i="222"/>
  <c r="B63" i="222"/>
  <c r="P62" i="222"/>
  <c r="O62" i="222"/>
  <c r="B62" i="222"/>
  <c r="P61" i="222"/>
  <c r="O61" i="222"/>
  <c r="B61" i="222"/>
  <c r="P60" i="222"/>
  <c r="O60" i="222"/>
  <c r="B60" i="222"/>
  <c r="P59" i="222"/>
  <c r="O59" i="222"/>
  <c r="B59" i="222"/>
  <c r="P58" i="222"/>
  <c r="O58" i="222"/>
  <c r="B58" i="222"/>
  <c r="P57" i="222"/>
  <c r="O57" i="222"/>
  <c r="B57" i="222"/>
  <c r="P56" i="222"/>
  <c r="O56" i="222"/>
  <c r="B56" i="222"/>
  <c r="P55" i="222"/>
  <c r="O55" i="222"/>
  <c r="B55" i="222"/>
  <c r="P54" i="222"/>
  <c r="O54" i="222"/>
  <c r="B54" i="222"/>
  <c r="P53" i="222"/>
  <c r="O53" i="222"/>
  <c r="B53" i="222"/>
  <c r="P52" i="222"/>
  <c r="O52" i="222"/>
  <c r="B52" i="222"/>
  <c r="P51" i="222"/>
  <c r="O51" i="222"/>
  <c r="B51" i="222"/>
  <c r="P50" i="222"/>
  <c r="O50" i="222"/>
  <c r="B50" i="222"/>
  <c r="P49" i="222"/>
  <c r="O49" i="222"/>
  <c r="B49" i="222"/>
  <c r="P48" i="222"/>
  <c r="O48" i="222"/>
  <c r="B48" i="222"/>
  <c r="P47" i="222"/>
  <c r="O47" i="222"/>
  <c r="B47" i="222"/>
  <c r="P46" i="222"/>
  <c r="O46" i="222"/>
  <c r="B46" i="222"/>
  <c r="P45" i="222"/>
  <c r="O45" i="222"/>
  <c r="B45" i="222"/>
  <c r="P44" i="222"/>
  <c r="O44" i="222"/>
  <c r="B44" i="222"/>
  <c r="P43" i="222"/>
  <c r="O43" i="222"/>
  <c r="B43" i="222"/>
  <c r="P42" i="222"/>
  <c r="O42" i="222"/>
  <c r="B42" i="222"/>
  <c r="P41" i="222"/>
  <c r="O41" i="222"/>
  <c r="B41" i="222"/>
  <c r="P40" i="222"/>
  <c r="O40" i="222"/>
  <c r="B40" i="222"/>
  <c r="A40" i="222"/>
  <c r="A41" i="222" s="1"/>
  <c r="A42" i="222" s="1"/>
  <c r="A43" i="222" s="1"/>
  <c r="A44" i="222" s="1"/>
  <c r="A45" i="222" s="1"/>
  <c r="A46" i="222" s="1"/>
  <c r="A47" i="222" s="1"/>
  <c r="A48" i="222" s="1"/>
  <c r="A49" i="222" s="1"/>
  <c r="A50" i="222" s="1"/>
  <c r="A51" i="222" s="1"/>
  <c r="A52" i="222" s="1"/>
  <c r="A53" i="222" s="1"/>
  <c r="A54" i="222" s="1"/>
  <c r="A55" i="222" s="1"/>
  <c r="A56" i="222" s="1"/>
  <c r="A57" i="222" s="1"/>
  <c r="A58" i="222" s="1"/>
  <c r="A59" i="222" s="1"/>
  <c r="A60" i="222" s="1"/>
  <c r="A61" i="222" s="1"/>
  <c r="A62" i="222" s="1"/>
  <c r="A63" i="222" s="1"/>
  <c r="P39" i="222"/>
  <c r="O39" i="222"/>
  <c r="B39" i="222"/>
  <c r="P38" i="222"/>
  <c r="O38" i="222"/>
  <c r="B38" i="222"/>
  <c r="A31" i="222"/>
  <c r="P15" i="222"/>
  <c r="J13" i="222"/>
  <c r="I13" i="222"/>
  <c r="H13" i="222"/>
  <c r="G13" i="222"/>
  <c r="F13" i="222"/>
  <c r="B13" i="222"/>
  <c r="J12" i="222"/>
  <c r="I12" i="222"/>
  <c r="H12" i="222"/>
  <c r="G12" i="222"/>
  <c r="F12" i="222"/>
  <c r="B12" i="222"/>
  <c r="L7" i="222"/>
  <c r="E7" i="222" s="1"/>
  <c r="E34" i="222" s="1"/>
  <c r="L6" i="222"/>
  <c r="N5" i="222"/>
  <c r="A5" i="222" s="1"/>
  <c r="A32" i="222" s="1"/>
  <c r="H39" i="222" l="1"/>
  <c r="H15" i="222"/>
  <c r="G38" i="144" s="1"/>
  <c r="H41" i="222"/>
  <c r="H57" i="222"/>
  <c r="H64" i="225"/>
  <c r="A7" i="224"/>
  <c r="A34" i="224" s="1"/>
  <c r="H41" i="144"/>
  <c r="A7" i="223"/>
  <c r="A34" i="223" s="1"/>
  <c r="H39" i="144"/>
  <c r="H42" i="222"/>
  <c r="H64" i="223"/>
  <c r="I15" i="222"/>
  <c r="A7" i="222" s="1"/>
  <c r="A34" i="222" s="1"/>
  <c r="A7" i="225"/>
  <c r="A34" i="225" s="1"/>
  <c r="H42" i="144"/>
  <c r="A13" i="222"/>
  <c r="H53" i="222"/>
  <c r="D62" i="225"/>
  <c r="D63" i="225"/>
  <c r="H64" i="224"/>
  <c r="D62" i="224"/>
  <c r="D63" i="224"/>
  <c r="D62" i="223"/>
  <c r="D63" i="223"/>
  <c r="H58" i="222"/>
  <c r="Z38" i="145" s="1"/>
  <c r="H45" i="222"/>
  <c r="H49" i="222"/>
  <c r="H47" i="222"/>
  <c r="H51" i="222"/>
  <c r="H43" i="222"/>
  <c r="H61" i="222"/>
  <c r="H50" i="222"/>
  <c r="H55" i="222"/>
  <c r="H59" i="222"/>
  <c r="H63" i="222"/>
  <c r="H44" i="222"/>
  <c r="H52" i="222"/>
  <c r="H60" i="222"/>
  <c r="H46" i="222"/>
  <c r="H54" i="222"/>
  <c r="H62" i="222"/>
  <c r="J15" i="222"/>
  <c r="I38" i="144" s="1"/>
  <c r="G15" i="222"/>
  <c r="F38" i="144" s="1"/>
  <c r="H38" i="222"/>
  <c r="H40" i="222"/>
  <c r="H48" i="222"/>
  <c r="H56" i="222"/>
  <c r="A6" i="222"/>
  <c r="A33" i="222" s="1"/>
  <c r="A12" i="222"/>
  <c r="D38" i="222"/>
  <c r="D39" i="222" s="1"/>
  <c r="D40" i="222" s="1"/>
  <c r="D41" i="222" s="1"/>
  <c r="D42" i="222" s="1"/>
  <c r="D43" i="222" s="1"/>
  <c r="D44" i="222" s="1"/>
  <c r="D45" i="222" s="1"/>
  <c r="D46" i="222" s="1"/>
  <c r="D47" i="222" s="1"/>
  <c r="D48" i="222" s="1"/>
  <c r="D49" i="222" s="1"/>
  <c r="D50" i="222" s="1"/>
  <c r="D51" i="222" s="1"/>
  <c r="D52" i="222" s="1"/>
  <c r="D53" i="222" s="1"/>
  <c r="D54" i="222" s="1"/>
  <c r="D55" i="222" s="1"/>
  <c r="D56" i="222" s="1"/>
  <c r="D57" i="222" s="1"/>
  <c r="D58" i="222" s="1"/>
  <c r="D59" i="222" s="1"/>
  <c r="D60" i="222" s="1"/>
  <c r="D61" i="222" s="1"/>
  <c r="T13" i="222"/>
  <c r="C13" i="222" s="1"/>
  <c r="F15" i="208"/>
  <c r="F14" i="208"/>
  <c r="H38" i="144" l="1"/>
  <c r="H64" i="222"/>
  <c r="D62" i="222"/>
  <c r="D63" i="222"/>
  <c r="G35" i="173"/>
  <c r="G32" i="173"/>
  <c r="G28" i="171"/>
  <c r="G15" i="173" l="1"/>
  <c r="G14" i="173"/>
  <c r="G13" i="173"/>
  <c r="G12" i="173"/>
  <c r="G34" i="173"/>
  <c r="G33" i="173"/>
  <c r="G41" i="173"/>
  <c r="G40" i="173"/>
  <c r="G39" i="173"/>
  <c r="G38" i="173"/>
  <c r="G37" i="173"/>
  <c r="G36" i="173"/>
  <c r="F34" i="173"/>
  <c r="H34" i="173" s="1"/>
  <c r="I34" i="173" s="1"/>
  <c r="P34" i="173"/>
  <c r="J34" i="173" s="1"/>
  <c r="O34" i="173"/>
  <c r="F41" i="173"/>
  <c r="P41" i="173"/>
  <c r="J41" i="173" s="1"/>
  <c r="O41" i="173"/>
  <c r="H41" i="173" l="1"/>
  <c r="I41" i="173" s="1"/>
  <c r="F34" i="172" l="1"/>
  <c r="G34" i="172"/>
  <c r="G33" i="172"/>
  <c r="G41" i="172"/>
  <c r="F41" i="172"/>
  <c r="G40" i="172"/>
  <c r="G39" i="172"/>
  <c r="G38" i="172"/>
  <c r="G37" i="172"/>
  <c r="G36" i="172"/>
  <c r="G35" i="172"/>
  <c r="P41" i="172"/>
  <c r="J41" i="172" s="1"/>
  <c r="O41" i="172"/>
  <c r="P34" i="172"/>
  <c r="J34" i="172" s="1"/>
  <c r="O34" i="172"/>
  <c r="H34" i="172" l="1"/>
  <c r="I34" i="172" s="1"/>
  <c r="H41" i="172"/>
  <c r="I41" i="172" s="1"/>
  <c r="G34" i="171" l="1"/>
  <c r="G35" i="171"/>
  <c r="G36" i="171"/>
  <c r="G37" i="171"/>
  <c r="F37" i="171"/>
  <c r="J37" i="171"/>
  <c r="H37" i="171" l="1"/>
  <c r="I37" i="171" s="1"/>
  <c r="G30" i="171"/>
  <c r="G29" i="171"/>
  <c r="F30" i="171"/>
  <c r="J30" i="171" l="1"/>
  <c r="H30" i="171"/>
  <c r="I30" i="171" s="1"/>
  <c r="F40" i="173" l="1"/>
  <c r="F39" i="173"/>
  <c r="H39" i="173" s="1"/>
  <c r="I39" i="173" s="1"/>
  <c r="F38" i="173"/>
  <c r="H38" i="173" s="1"/>
  <c r="I38" i="173" s="1"/>
  <c r="F37" i="173"/>
  <c r="H37" i="173" s="1"/>
  <c r="I37" i="173" s="1"/>
  <c r="F36" i="173"/>
  <c r="H36" i="173" s="1"/>
  <c r="I36" i="173" s="1"/>
  <c r="F35" i="173"/>
  <c r="H35" i="173" s="1"/>
  <c r="I35" i="173" s="1"/>
  <c r="P40" i="173"/>
  <c r="J40" i="173" s="1"/>
  <c r="O40" i="173"/>
  <c r="H40" i="173"/>
  <c r="I40" i="173" s="1"/>
  <c r="P39" i="173"/>
  <c r="J39" i="173" s="1"/>
  <c r="O39" i="173"/>
  <c r="P38" i="173"/>
  <c r="J38" i="173" s="1"/>
  <c r="O38" i="173"/>
  <c r="P37" i="173"/>
  <c r="J37" i="173" s="1"/>
  <c r="O37" i="173"/>
  <c r="P36" i="173"/>
  <c r="J36" i="173" s="1"/>
  <c r="O36" i="173"/>
  <c r="Q35" i="173"/>
  <c r="B35" i="173" s="1"/>
  <c r="P35" i="173"/>
  <c r="J35" i="173" s="1"/>
  <c r="O35" i="173"/>
  <c r="F40" i="172"/>
  <c r="F39" i="172"/>
  <c r="F38" i="172"/>
  <c r="F37" i="172"/>
  <c r="H37" i="172" s="1"/>
  <c r="I37" i="172" s="1"/>
  <c r="F36" i="172"/>
  <c r="F35" i="172"/>
  <c r="H35" i="172" s="1"/>
  <c r="I35" i="172" s="1"/>
  <c r="P40" i="172"/>
  <c r="J40" i="172" s="1"/>
  <c r="O40" i="172"/>
  <c r="P39" i="172"/>
  <c r="J39" i="172" s="1"/>
  <c r="O39" i="172"/>
  <c r="P38" i="172"/>
  <c r="J38" i="172" s="1"/>
  <c r="O38" i="172"/>
  <c r="H38" i="172"/>
  <c r="I38" i="172" s="1"/>
  <c r="P37" i="172"/>
  <c r="J37" i="172" s="1"/>
  <c r="O37" i="172"/>
  <c r="P36" i="172"/>
  <c r="J36" i="172" s="1"/>
  <c r="O36" i="172"/>
  <c r="Q35" i="172"/>
  <c r="B35" i="172" s="1"/>
  <c r="P35" i="172"/>
  <c r="J35" i="172" s="1"/>
  <c r="O35" i="172"/>
  <c r="F36" i="171"/>
  <c r="F35" i="171"/>
  <c r="H35" i="171" s="1"/>
  <c r="I35" i="171" s="1"/>
  <c r="F34" i="171"/>
  <c r="H34" i="171" s="1"/>
  <c r="I34" i="171" s="1"/>
  <c r="F33" i="171"/>
  <c r="F32" i="171"/>
  <c r="F31" i="171"/>
  <c r="H31" i="171" s="1"/>
  <c r="I31" i="171" s="1"/>
  <c r="J36" i="171"/>
  <c r="J35" i="171"/>
  <c r="J34" i="171"/>
  <c r="J33" i="171"/>
  <c r="G33" i="171"/>
  <c r="Q32" i="171"/>
  <c r="Q33" i="171" s="1"/>
  <c r="Q37" i="173" s="1"/>
  <c r="B37" i="173" s="1"/>
  <c r="J32" i="171"/>
  <c r="G32" i="171"/>
  <c r="J31" i="171"/>
  <c r="B31" i="171"/>
  <c r="G32" i="172"/>
  <c r="G31" i="173"/>
  <c r="G31" i="172"/>
  <c r="G27" i="171"/>
  <c r="G30" i="173"/>
  <c r="G30" i="172"/>
  <c r="G26" i="171"/>
  <c r="G29" i="173"/>
  <c r="G29" i="172"/>
  <c r="G25" i="171"/>
  <c r="Q25" i="171"/>
  <c r="Q29" i="173" s="1"/>
  <c r="B29" i="173" s="1"/>
  <c r="G28" i="173"/>
  <c r="G28" i="172"/>
  <c r="F33" i="173"/>
  <c r="F32" i="173"/>
  <c r="H32" i="173" s="1"/>
  <c r="I32" i="173" s="1"/>
  <c r="F31" i="173"/>
  <c r="H31" i="173" s="1"/>
  <c r="I31" i="173" s="1"/>
  <c r="F30" i="173"/>
  <c r="F29" i="173"/>
  <c r="F28" i="173"/>
  <c r="P33" i="173"/>
  <c r="J33" i="173" s="1"/>
  <c r="O33" i="173"/>
  <c r="H33" i="173"/>
  <c r="I33" i="173" s="1"/>
  <c r="P32" i="173"/>
  <c r="J32" i="173" s="1"/>
  <c r="O32" i="173"/>
  <c r="P31" i="173"/>
  <c r="J31" i="173" s="1"/>
  <c r="O31" i="173"/>
  <c r="P30" i="173"/>
  <c r="J30" i="173" s="1"/>
  <c r="O30" i="173"/>
  <c r="P29" i="173"/>
  <c r="J29" i="173" s="1"/>
  <c r="O29" i="173"/>
  <c r="Q28" i="173"/>
  <c r="B28" i="173" s="1"/>
  <c r="P28" i="173"/>
  <c r="J28" i="173" s="1"/>
  <c r="O28" i="173"/>
  <c r="F33" i="172"/>
  <c r="F32" i="172"/>
  <c r="F31" i="172"/>
  <c r="F30" i="172"/>
  <c r="F29" i="172"/>
  <c r="F28" i="172"/>
  <c r="P33" i="172"/>
  <c r="J33" i="172" s="1"/>
  <c r="O33" i="172"/>
  <c r="P32" i="172"/>
  <c r="J32" i="172" s="1"/>
  <c r="O32" i="172"/>
  <c r="P31" i="172"/>
  <c r="J31" i="172" s="1"/>
  <c r="O31" i="172"/>
  <c r="P30" i="172"/>
  <c r="J30" i="172" s="1"/>
  <c r="O30" i="172"/>
  <c r="P29" i="172"/>
  <c r="J29" i="172" s="1"/>
  <c r="O29" i="172"/>
  <c r="Q28" i="172"/>
  <c r="B28" i="172" s="1"/>
  <c r="P28" i="172"/>
  <c r="J28" i="172" s="1"/>
  <c r="O28" i="172"/>
  <c r="F29" i="171"/>
  <c r="F28" i="171"/>
  <c r="H28" i="171" s="1"/>
  <c r="I28" i="171" s="1"/>
  <c r="F27" i="171"/>
  <c r="F26" i="171"/>
  <c r="F25" i="171"/>
  <c r="F24" i="171"/>
  <c r="H24" i="171" s="1"/>
  <c r="I24" i="171" s="1"/>
  <c r="J29" i="171"/>
  <c r="J28" i="171"/>
  <c r="J27" i="171"/>
  <c r="J26" i="171"/>
  <c r="J25" i="171"/>
  <c r="J24" i="171"/>
  <c r="B24" i="171"/>
  <c r="G27" i="173"/>
  <c r="G27" i="172"/>
  <c r="G23" i="171"/>
  <c r="G26" i="173"/>
  <c r="G26" i="172"/>
  <c r="H31" i="172" l="1"/>
  <c r="I31" i="172" s="1"/>
  <c r="H32" i="172"/>
  <c r="I32" i="172" s="1"/>
  <c r="H32" i="171"/>
  <c r="I32" i="171" s="1"/>
  <c r="B32" i="171"/>
  <c r="H36" i="171"/>
  <c r="I36" i="171" s="1"/>
  <c r="H33" i="171"/>
  <c r="I33" i="171" s="1"/>
  <c r="H29" i="173"/>
  <c r="I29" i="173" s="1"/>
  <c r="H39" i="172"/>
  <c r="I39" i="172" s="1"/>
  <c r="H30" i="173"/>
  <c r="I30" i="173" s="1"/>
  <c r="H28" i="173"/>
  <c r="I28" i="173" s="1"/>
  <c r="H36" i="172"/>
  <c r="I36" i="172" s="1"/>
  <c r="H33" i="172"/>
  <c r="I33" i="172" s="1"/>
  <c r="Q36" i="173"/>
  <c r="B36" i="173" s="1"/>
  <c r="H29" i="171"/>
  <c r="I29" i="171" s="1"/>
  <c r="Q37" i="172"/>
  <c r="B37" i="172" s="1"/>
  <c r="Q26" i="171"/>
  <c r="Q36" i="172"/>
  <c r="B36" i="172" s="1"/>
  <c r="H40" i="172"/>
  <c r="I40" i="172" s="1"/>
  <c r="B33" i="171"/>
  <c r="Q34" i="171"/>
  <c r="H28" i="172"/>
  <c r="I28" i="172" s="1"/>
  <c r="H29" i="172"/>
  <c r="I29" i="172" s="1"/>
  <c r="H27" i="171"/>
  <c r="I27" i="171" s="1"/>
  <c r="H26" i="171"/>
  <c r="I26" i="171" s="1"/>
  <c r="H30" i="172"/>
  <c r="I30" i="172" s="1"/>
  <c r="H25" i="171"/>
  <c r="I25" i="171" s="1"/>
  <c r="B25" i="171"/>
  <c r="Q29" i="172"/>
  <c r="B29" i="172" s="1"/>
  <c r="Q30" i="173" l="1"/>
  <c r="B30" i="173" s="1"/>
  <c r="B26" i="171"/>
  <c r="Q27" i="171"/>
  <c r="Q30" i="172"/>
  <c r="B30" i="172" s="1"/>
  <c r="Q38" i="173"/>
  <c r="B38" i="173" s="1"/>
  <c r="Q38" i="172"/>
  <c r="B38" i="172" s="1"/>
  <c r="B34" i="171"/>
  <c r="Q35" i="171"/>
  <c r="Q39" i="172" l="1"/>
  <c r="B39" i="172" s="1"/>
  <c r="Q39" i="173"/>
  <c r="B39" i="173" s="1"/>
  <c r="Q28" i="171"/>
  <c r="Q31" i="173"/>
  <c r="B31" i="173" s="1"/>
  <c r="Q31" i="172"/>
  <c r="B31" i="172" s="1"/>
  <c r="B27" i="171"/>
  <c r="Q36" i="171"/>
  <c r="Q37" i="171" s="1"/>
  <c r="B35" i="171"/>
  <c r="G25" i="173"/>
  <c r="G25" i="172"/>
  <c r="G24" i="173"/>
  <c r="G24" i="172"/>
  <c r="G23" i="173"/>
  <c r="G23" i="172"/>
  <c r="G22" i="173"/>
  <c r="F27" i="173"/>
  <c r="H27" i="173" s="1"/>
  <c r="I27" i="173" s="1"/>
  <c r="F26" i="173"/>
  <c r="H26" i="173" s="1"/>
  <c r="I26" i="173" s="1"/>
  <c r="F25" i="173"/>
  <c r="F24" i="173"/>
  <c r="H24" i="173" s="1"/>
  <c r="I24" i="173" s="1"/>
  <c r="F23" i="173"/>
  <c r="F22" i="173"/>
  <c r="Q27" i="173"/>
  <c r="B27" i="173" s="1"/>
  <c r="P27" i="173"/>
  <c r="J27" i="173" s="1"/>
  <c r="O27" i="173"/>
  <c r="Q26" i="173"/>
  <c r="B26" i="173" s="1"/>
  <c r="P26" i="173"/>
  <c r="J26" i="173" s="1"/>
  <c r="O26" i="173"/>
  <c r="Q25" i="173"/>
  <c r="B25" i="173" s="1"/>
  <c r="P25" i="173"/>
  <c r="J25" i="173" s="1"/>
  <c r="O25" i="173"/>
  <c r="Q24" i="173"/>
  <c r="B24" i="173" s="1"/>
  <c r="P24" i="173"/>
  <c r="J24" i="173" s="1"/>
  <c r="O24" i="173"/>
  <c r="Q23" i="173"/>
  <c r="B23" i="173" s="1"/>
  <c r="P23" i="173"/>
  <c r="J23" i="173" s="1"/>
  <c r="O23" i="173"/>
  <c r="Q22" i="173"/>
  <c r="B22" i="173" s="1"/>
  <c r="P22" i="173"/>
  <c r="J22" i="173" s="1"/>
  <c r="O22" i="173"/>
  <c r="G22" i="172"/>
  <c r="F27" i="172"/>
  <c r="H27" i="172" s="1"/>
  <c r="I27" i="172" s="1"/>
  <c r="F26" i="172"/>
  <c r="F25" i="172"/>
  <c r="F24" i="172"/>
  <c r="H24" i="172" s="1"/>
  <c r="I24" i="172" s="1"/>
  <c r="F23" i="172"/>
  <c r="F22" i="172"/>
  <c r="Q27" i="172"/>
  <c r="B27" i="172" s="1"/>
  <c r="P27" i="172"/>
  <c r="J27" i="172" s="1"/>
  <c r="O27" i="172"/>
  <c r="Q26" i="172"/>
  <c r="B26" i="172" s="1"/>
  <c r="P26" i="172"/>
  <c r="J26" i="172" s="1"/>
  <c r="O26" i="172"/>
  <c r="Q25" i="172"/>
  <c r="B25" i="172" s="1"/>
  <c r="P25" i="172"/>
  <c r="J25" i="172" s="1"/>
  <c r="O25" i="172"/>
  <c r="Q24" i="172"/>
  <c r="B24" i="172" s="1"/>
  <c r="P24" i="172"/>
  <c r="J24" i="172" s="1"/>
  <c r="O24" i="172"/>
  <c r="Q23" i="172"/>
  <c r="B23" i="172" s="1"/>
  <c r="P23" i="172"/>
  <c r="J23" i="172" s="1"/>
  <c r="O23" i="172"/>
  <c r="Q22" i="172"/>
  <c r="B22" i="172" s="1"/>
  <c r="P22" i="172"/>
  <c r="J22" i="172" s="1"/>
  <c r="O22" i="172"/>
  <c r="H22" i="173" l="1"/>
  <c r="I22" i="173" s="1"/>
  <c r="B37" i="171"/>
  <c r="Q41" i="173"/>
  <c r="B41" i="173" s="1"/>
  <c r="Q41" i="172"/>
  <c r="B41" i="172" s="1"/>
  <c r="H23" i="173"/>
  <c r="I23" i="173" s="1"/>
  <c r="B36" i="171"/>
  <c r="Q40" i="173"/>
  <c r="B40" i="173" s="1"/>
  <c r="Q40" i="172"/>
  <c r="B40" i="172" s="1"/>
  <c r="Q29" i="171"/>
  <c r="Q30" i="171" s="1"/>
  <c r="Q32" i="173"/>
  <c r="B32" i="173" s="1"/>
  <c r="B28" i="171"/>
  <c r="Q32" i="172"/>
  <c r="B32" i="172" s="1"/>
  <c r="H25" i="173"/>
  <c r="I25" i="173" s="1"/>
  <c r="H22" i="172"/>
  <c r="I22" i="172" s="1"/>
  <c r="H23" i="172"/>
  <c r="I23" i="172" s="1"/>
  <c r="H25" i="172"/>
  <c r="I25" i="172" s="1"/>
  <c r="H26" i="172"/>
  <c r="I26" i="172" s="1"/>
  <c r="Q34" i="173" l="1"/>
  <c r="B34" i="173" s="1"/>
  <c r="Q34" i="172"/>
  <c r="B34" i="172" s="1"/>
  <c r="B30" i="171"/>
  <c r="Q33" i="172"/>
  <c r="B33" i="172" s="1"/>
  <c r="B29" i="171"/>
  <c r="Q33" i="173"/>
  <c r="B33" i="173" s="1"/>
  <c r="F23" i="171"/>
  <c r="H23" i="171" s="1"/>
  <c r="I23" i="171" s="1"/>
  <c r="F22" i="171"/>
  <c r="F21" i="171"/>
  <c r="F20" i="171"/>
  <c r="F19" i="171"/>
  <c r="F18" i="171"/>
  <c r="H18" i="171" s="1"/>
  <c r="I18" i="171" s="1"/>
  <c r="J23" i="171"/>
  <c r="B23" i="171"/>
  <c r="J22" i="171"/>
  <c r="G22" i="171"/>
  <c r="B22" i="171"/>
  <c r="J21" i="171"/>
  <c r="G21" i="171"/>
  <c r="B21" i="171"/>
  <c r="J20" i="171"/>
  <c r="G20" i="171"/>
  <c r="B20" i="171"/>
  <c r="J19" i="171"/>
  <c r="G19" i="171"/>
  <c r="B19" i="171"/>
  <c r="J18" i="171"/>
  <c r="B18" i="171"/>
  <c r="G16" i="173"/>
  <c r="G16" i="172"/>
  <c r="F16" i="173"/>
  <c r="Q17" i="173"/>
  <c r="B17" i="173" s="1"/>
  <c r="P17" i="173"/>
  <c r="J17" i="173" s="1"/>
  <c r="O17" i="173"/>
  <c r="G17" i="173"/>
  <c r="F17" i="173"/>
  <c r="F16" i="172"/>
  <c r="Q17" i="172"/>
  <c r="B17" i="172" s="1"/>
  <c r="P17" i="172"/>
  <c r="J17" i="172" s="1"/>
  <c r="O17" i="172"/>
  <c r="G17" i="172"/>
  <c r="F17" i="172"/>
  <c r="F12" i="171"/>
  <c r="F13" i="171"/>
  <c r="G13" i="171"/>
  <c r="J13" i="171"/>
  <c r="B13" i="171"/>
  <c r="G21" i="173"/>
  <c r="F21" i="173"/>
  <c r="Q21" i="173"/>
  <c r="B21" i="173" s="1"/>
  <c r="P21" i="173"/>
  <c r="J21" i="173" s="1"/>
  <c r="O21" i="173"/>
  <c r="G21" i="172"/>
  <c r="F21" i="172"/>
  <c r="Q21" i="172"/>
  <c r="B21" i="172" s="1"/>
  <c r="P21" i="172"/>
  <c r="J21" i="172" s="1"/>
  <c r="O21" i="172"/>
  <c r="G17" i="171"/>
  <c r="F17" i="171"/>
  <c r="J17" i="171"/>
  <c r="B17" i="171"/>
  <c r="G20" i="173"/>
  <c r="F20" i="173"/>
  <c r="Q20" i="173"/>
  <c r="B20" i="173" s="1"/>
  <c r="P20" i="173"/>
  <c r="J20" i="173" s="1"/>
  <c r="O20" i="173"/>
  <c r="G20" i="172"/>
  <c r="F20" i="172"/>
  <c r="Q20" i="172"/>
  <c r="B20" i="172" s="1"/>
  <c r="P20" i="172"/>
  <c r="J20" i="172" s="1"/>
  <c r="O20" i="172"/>
  <c r="G16" i="171"/>
  <c r="F16" i="171"/>
  <c r="J16" i="171"/>
  <c r="B16" i="171"/>
  <c r="G19" i="173"/>
  <c r="F19" i="173"/>
  <c r="Q19" i="173"/>
  <c r="B19" i="173" s="1"/>
  <c r="P19" i="173"/>
  <c r="J19" i="173" s="1"/>
  <c r="O19" i="173"/>
  <c r="G19" i="172"/>
  <c r="F19" i="172"/>
  <c r="Q19" i="172"/>
  <c r="B19" i="172" s="1"/>
  <c r="P19" i="172"/>
  <c r="J19" i="172" s="1"/>
  <c r="O19" i="172"/>
  <c r="G15" i="171"/>
  <c r="F15" i="171"/>
  <c r="J15" i="171"/>
  <c r="B15" i="171"/>
  <c r="G18" i="173"/>
  <c r="G18" i="172"/>
  <c r="O16" i="172"/>
  <c r="P16" i="172"/>
  <c r="Q16" i="172"/>
  <c r="O18" i="172"/>
  <c r="P18" i="172"/>
  <c r="J18" i="172" s="1"/>
  <c r="Q18" i="172"/>
  <c r="B18" i="172" s="1"/>
  <c r="Q16" i="173"/>
  <c r="P16" i="173"/>
  <c r="O16" i="173"/>
  <c r="O18" i="173"/>
  <c r="P18" i="173"/>
  <c r="J18" i="173" s="1"/>
  <c r="Q18" i="173"/>
  <c r="B18" i="173" s="1"/>
  <c r="F18" i="173"/>
  <c r="F18" i="172"/>
  <c r="F14" i="171"/>
  <c r="G14" i="171"/>
  <c r="J14" i="171"/>
  <c r="B14" i="171"/>
  <c r="F12" i="172"/>
  <c r="G12" i="172"/>
  <c r="H18" i="173" l="1"/>
  <c r="I18" i="173" s="1"/>
  <c r="H14" i="171"/>
  <c r="I14" i="171" s="1"/>
  <c r="H13" i="171"/>
  <c r="I13" i="171" s="1"/>
  <c r="H21" i="171"/>
  <c r="I21" i="171" s="1"/>
  <c r="G43" i="173"/>
  <c r="H19" i="171"/>
  <c r="I19" i="171" s="1"/>
  <c r="H17" i="173"/>
  <c r="I17" i="173" s="1"/>
  <c r="H17" i="172"/>
  <c r="I17" i="172" s="1"/>
  <c r="H22" i="171"/>
  <c r="I22" i="171" s="1"/>
  <c r="H20" i="171"/>
  <c r="I20" i="171" s="1"/>
  <c r="H19" i="172"/>
  <c r="I19" i="172" s="1"/>
  <c r="H16" i="172"/>
  <c r="I16" i="172" s="1"/>
  <c r="H18" i="172"/>
  <c r="I18" i="172" s="1"/>
  <c r="H12" i="172"/>
  <c r="I12" i="172" s="1"/>
  <c r="H12" i="171"/>
  <c r="I12" i="171" s="1"/>
  <c r="H21" i="173"/>
  <c r="I21" i="173" s="1"/>
  <c r="H21" i="172"/>
  <c r="I21" i="172" s="1"/>
  <c r="H17" i="171"/>
  <c r="I17" i="171" s="1"/>
  <c r="H16" i="171"/>
  <c r="I16" i="171" s="1"/>
  <c r="H20" i="173"/>
  <c r="I20" i="173" s="1"/>
  <c r="H20" i="172"/>
  <c r="I20" i="172" s="1"/>
  <c r="H19" i="173"/>
  <c r="I19" i="173" s="1"/>
  <c r="H15" i="171"/>
  <c r="I15" i="171" s="1"/>
  <c r="H16" i="173"/>
  <c r="I16" i="173" s="1"/>
  <c r="Q39" i="171" l="1"/>
  <c r="B39" i="171" s="1"/>
  <c r="P39" i="171"/>
  <c r="P38" i="171"/>
  <c r="J38" i="171" s="1"/>
  <c r="B38" i="171"/>
  <c r="J39" i="171" l="1"/>
  <c r="G16" i="152" l="1"/>
  <c r="F15" i="173" l="1"/>
  <c r="H15" i="173" l="1"/>
  <c r="I15" i="173" s="1"/>
  <c r="G15" i="172"/>
  <c r="F15" i="172"/>
  <c r="F39" i="171" l="1"/>
  <c r="G39" i="171"/>
  <c r="H15" i="172"/>
  <c r="I15" i="172" s="1"/>
  <c r="H39" i="171" l="1"/>
  <c r="I39" i="171" s="1"/>
  <c r="F14" i="173"/>
  <c r="G14" i="172"/>
  <c r="F14" i="172"/>
  <c r="H14" i="173" l="1"/>
  <c r="I14" i="173" s="1"/>
  <c r="H14" i="172"/>
  <c r="I14" i="172" s="1"/>
  <c r="F12" i="173" l="1"/>
  <c r="H12" i="173" l="1"/>
  <c r="I12" i="173" s="1"/>
  <c r="G38" i="171"/>
  <c r="F38" i="171"/>
  <c r="H38" i="171" l="1"/>
  <c r="I38" i="171" s="1"/>
  <c r="F13" i="173"/>
  <c r="H13" i="173" l="1"/>
  <c r="I13" i="173" s="1"/>
  <c r="F43" i="173"/>
  <c r="F13" i="172"/>
  <c r="G13" i="172"/>
  <c r="H13" i="172" l="1"/>
  <c r="I13" i="172" s="1"/>
  <c r="F15" i="156"/>
  <c r="F14" i="156"/>
  <c r="F12" i="156"/>
  <c r="F13" i="156"/>
  <c r="F14" i="155"/>
  <c r="F15" i="155"/>
  <c r="F12" i="155"/>
  <c r="F13" i="155"/>
  <c r="F15" i="154"/>
  <c r="F14" i="154"/>
  <c r="F12" i="154"/>
  <c r="F13" i="154"/>
  <c r="F16" i="152" l="1"/>
  <c r="H16" i="152" s="1"/>
  <c r="I16" i="152" s="1"/>
  <c r="F17" i="152"/>
  <c r="F15" i="152"/>
  <c r="F14" i="152"/>
  <c r="G15" i="152" l="1"/>
  <c r="H15" i="152" s="1"/>
  <c r="I15" i="152" s="1"/>
  <c r="G17" i="152"/>
  <c r="H17" i="152" s="1"/>
  <c r="I17" i="152" s="1"/>
  <c r="G14" i="152"/>
  <c r="H14" i="152" s="1"/>
  <c r="I14" i="152" s="1"/>
  <c r="G13" i="163"/>
  <c r="I13" i="163" s="1"/>
  <c r="G13" i="169" l="1"/>
  <c r="I13" i="169" s="1"/>
  <c r="F15" i="169"/>
  <c r="F13" i="169"/>
  <c r="G13" i="158"/>
  <c r="I13" i="158" s="1"/>
  <c r="G14" i="158"/>
  <c r="I14" i="158" s="1"/>
  <c r="G15" i="158"/>
  <c r="I15" i="158" s="1"/>
  <c r="G12" i="158"/>
  <c r="I12" i="158" s="1"/>
  <c r="F17" i="158"/>
  <c r="E112" i="144" s="1"/>
  <c r="M14" i="158"/>
  <c r="G12" i="167"/>
  <c r="G15" i="167"/>
  <c r="G18" i="167"/>
  <c r="I16" i="167"/>
  <c r="J17" i="169" l="1"/>
  <c r="L7" i="221"/>
  <c r="E7" i="221" s="1"/>
  <c r="E33" i="221" s="1"/>
  <c r="N6" i="221"/>
  <c r="T12" i="221" s="1"/>
  <c r="C12" i="221" s="1"/>
  <c r="L7" i="220"/>
  <c r="E7" i="220" s="1"/>
  <c r="E33" i="220" s="1"/>
  <c r="N6" i="220"/>
  <c r="P62" i="221"/>
  <c r="O62" i="221"/>
  <c r="B62" i="221"/>
  <c r="P61" i="221"/>
  <c r="O61" i="221"/>
  <c r="B61" i="221"/>
  <c r="P60" i="221"/>
  <c r="O60" i="221"/>
  <c r="B60" i="221"/>
  <c r="P59" i="221"/>
  <c r="O59" i="221"/>
  <c r="B59" i="221"/>
  <c r="P58" i="221"/>
  <c r="O58" i="221"/>
  <c r="B58" i="221"/>
  <c r="P57" i="221"/>
  <c r="O57" i="221"/>
  <c r="B57" i="221"/>
  <c r="P56" i="221"/>
  <c r="O56" i="221"/>
  <c r="B56" i="221"/>
  <c r="P55" i="221"/>
  <c r="O55" i="221"/>
  <c r="B55" i="221"/>
  <c r="P54" i="221"/>
  <c r="O54" i="221"/>
  <c r="B54" i="221"/>
  <c r="P53" i="221"/>
  <c r="O53" i="221"/>
  <c r="B53" i="221"/>
  <c r="P52" i="221"/>
  <c r="O52" i="221"/>
  <c r="B52" i="221"/>
  <c r="P51" i="221"/>
  <c r="O51" i="221"/>
  <c r="B51" i="221"/>
  <c r="P50" i="221"/>
  <c r="O50" i="221"/>
  <c r="B50" i="221"/>
  <c r="P49" i="221"/>
  <c r="O49" i="221"/>
  <c r="B49" i="221"/>
  <c r="P48" i="221"/>
  <c r="O48" i="221"/>
  <c r="B48" i="221"/>
  <c r="P47" i="221"/>
  <c r="O47" i="221"/>
  <c r="B47" i="221"/>
  <c r="P46" i="221"/>
  <c r="O46" i="221"/>
  <c r="B46" i="221"/>
  <c r="P45" i="221"/>
  <c r="O45" i="221"/>
  <c r="B45" i="221"/>
  <c r="P44" i="221"/>
  <c r="O44" i="221"/>
  <c r="B44" i="221"/>
  <c r="P43" i="221"/>
  <c r="O43" i="221"/>
  <c r="B43" i="221"/>
  <c r="P42" i="221"/>
  <c r="O42" i="221"/>
  <c r="B42" i="221"/>
  <c r="P41" i="221"/>
  <c r="O41" i="221"/>
  <c r="B41" i="221"/>
  <c r="P40" i="221"/>
  <c r="O40" i="221"/>
  <c r="B40" i="221"/>
  <c r="P39" i="221"/>
  <c r="O39" i="221"/>
  <c r="B39" i="221"/>
  <c r="A39" i="221"/>
  <c r="A40" i="221" s="1"/>
  <c r="A41" i="221" s="1"/>
  <c r="A42" i="221" s="1"/>
  <c r="A43" i="221" s="1"/>
  <c r="A44" i="221" s="1"/>
  <c r="A45" i="221" s="1"/>
  <c r="A46" i="221" s="1"/>
  <c r="A47" i="221" s="1"/>
  <c r="A48" i="221" s="1"/>
  <c r="A49" i="221" s="1"/>
  <c r="A50" i="221" s="1"/>
  <c r="A51" i="221" s="1"/>
  <c r="A52" i="221" s="1"/>
  <c r="A53" i="221" s="1"/>
  <c r="A54" i="221" s="1"/>
  <c r="A55" i="221" s="1"/>
  <c r="A56" i="221" s="1"/>
  <c r="A57" i="221" s="1"/>
  <c r="A58" i="221" s="1"/>
  <c r="A59" i="221" s="1"/>
  <c r="A60" i="221" s="1"/>
  <c r="A61" i="221" s="1"/>
  <c r="A62" i="221" s="1"/>
  <c r="P38" i="221"/>
  <c r="O38" i="221"/>
  <c r="B38" i="221"/>
  <c r="P37" i="221"/>
  <c r="O37" i="221"/>
  <c r="B37" i="221"/>
  <c r="A30" i="221"/>
  <c r="P14" i="221"/>
  <c r="J12" i="221"/>
  <c r="J14" i="221" s="1"/>
  <c r="I95" i="144" s="1"/>
  <c r="I12" i="221"/>
  <c r="I14" i="221" s="1"/>
  <c r="A7" i="221" s="1"/>
  <c r="A33" i="221" s="1"/>
  <c r="H12" i="221"/>
  <c r="H14" i="221" s="1"/>
  <c r="G95" i="144" s="1"/>
  <c r="G12" i="221"/>
  <c r="G14" i="221" s="1"/>
  <c r="F95" i="144" s="1"/>
  <c r="F12" i="221"/>
  <c r="F14" i="221" s="1"/>
  <c r="B12" i="221"/>
  <c r="L6" i="221"/>
  <c r="N5" i="221"/>
  <c r="A5" i="221" s="1"/>
  <c r="A31" i="221" s="1"/>
  <c r="N5" i="220"/>
  <c r="A5" i="220" s="1"/>
  <c r="A31" i="220" s="1"/>
  <c r="P62" i="220"/>
  <c r="O62" i="220"/>
  <c r="B62" i="220"/>
  <c r="P61" i="220"/>
  <c r="O61" i="220"/>
  <c r="B61" i="220"/>
  <c r="P60" i="220"/>
  <c r="O60" i="220"/>
  <c r="B60" i="220"/>
  <c r="P59" i="220"/>
  <c r="O59" i="220"/>
  <c r="B59" i="220"/>
  <c r="P58" i="220"/>
  <c r="O58" i="220"/>
  <c r="B58" i="220"/>
  <c r="P57" i="220"/>
  <c r="O57" i="220"/>
  <c r="B57" i="220"/>
  <c r="P56" i="220"/>
  <c r="O56" i="220"/>
  <c r="B56" i="220"/>
  <c r="P55" i="220"/>
  <c r="O55" i="220"/>
  <c r="B55" i="220"/>
  <c r="P54" i="220"/>
  <c r="O54" i="220"/>
  <c r="B54" i="220"/>
  <c r="P53" i="220"/>
  <c r="O53" i="220"/>
  <c r="B53" i="220"/>
  <c r="P52" i="220"/>
  <c r="O52" i="220"/>
  <c r="B52" i="220"/>
  <c r="P51" i="220"/>
  <c r="O51" i="220"/>
  <c r="B51" i="220"/>
  <c r="P50" i="220"/>
  <c r="O50" i="220"/>
  <c r="B50" i="220"/>
  <c r="P49" i="220"/>
  <c r="O49" i="220"/>
  <c r="B49" i="220"/>
  <c r="P48" i="220"/>
  <c r="O48" i="220"/>
  <c r="B48" i="220"/>
  <c r="P47" i="220"/>
  <c r="O47" i="220"/>
  <c r="B47" i="220"/>
  <c r="P46" i="220"/>
  <c r="O46" i="220"/>
  <c r="B46" i="220"/>
  <c r="P45" i="220"/>
  <c r="O45" i="220"/>
  <c r="B45" i="220"/>
  <c r="P44" i="220"/>
  <c r="O44" i="220"/>
  <c r="B44" i="220"/>
  <c r="P43" i="220"/>
  <c r="O43" i="220"/>
  <c r="B43" i="220"/>
  <c r="P42" i="220"/>
  <c r="O42" i="220"/>
  <c r="B42" i="220"/>
  <c r="P41" i="220"/>
  <c r="O41" i="220"/>
  <c r="B41" i="220"/>
  <c r="P40" i="220"/>
  <c r="O40" i="220"/>
  <c r="B40" i="220"/>
  <c r="P39" i="220"/>
  <c r="O39" i="220"/>
  <c r="B39" i="220"/>
  <c r="A39" i="220"/>
  <c r="A40" i="220" s="1"/>
  <c r="A41" i="220" s="1"/>
  <c r="A42" i="220" s="1"/>
  <c r="A43" i="220" s="1"/>
  <c r="A44" i="220" s="1"/>
  <c r="A45" i="220" s="1"/>
  <c r="A46" i="220" s="1"/>
  <c r="A47" i="220" s="1"/>
  <c r="A48" i="220" s="1"/>
  <c r="A49" i="220" s="1"/>
  <c r="A50" i="220" s="1"/>
  <c r="A51" i="220" s="1"/>
  <c r="A52" i="220" s="1"/>
  <c r="A53" i="220" s="1"/>
  <c r="A54" i="220" s="1"/>
  <c r="A55" i="220" s="1"/>
  <c r="A56" i="220" s="1"/>
  <c r="A57" i="220" s="1"/>
  <c r="A58" i="220" s="1"/>
  <c r="A59" i="220" s="1"/>
  <c r="A60" i="220" s="1"/>
  <c r="A61" i="220" s="1"/>
  <c r="A62" i="220" s="1"/>
  <c r="P38" i="220"/>
  <c r="O38" i="220"/>
  <c r="B38" i="220"/>
  <c r="P37" i="220"/>
  <c r="O37" i="220"/>
  <c r="B37" i="220"/>
  <c r="A30" i="220"/>
  <c r="P14" i="220"/>
  <c r="J12" i="220"/>
  <c r="J14" i="220" s="1"/>
  <c r="I93" i="144" s="1"/>
  <c r="I12" i="220"/>
  <c r="I14" i="220" s="1"/>
  <c r="A7" i="220" s="1"/>
  <c r="A33" i="220" s="1"/>
  <c r="H12" i="220"/>
  <c r="H14" i="220" s="1"/>
  <c r="G93" i="144" s="1"/>
  <c r="G12" i="220"/>
  <c r="G14" i="220" s="1"/>
  <c r="F93" i="144" s="1"/>
  <c r="F12" i="220"/>
  <c r="F14" i="220" s="1"/>
  <c r="B12" i="220"/>
  <c r="L6" i="220"/>
  <c r="A6" i="220" l="1"/>
  <c r="A32" i="220" s="1"/>
  <c r="H57" i="220"/>
  <c r="H39" i="220"/>
  <c r="H59" i="220"/>
  <c r="H45" i="220"/>
  <c r="H95" i="144"/>
  <c r="H51" i="220"/>
  <c r="H93" i="144"/>
  <c r="H41" i="220"/>
  <c r="H37" i="220"/>
  <c r="F93" i="145" s="1"/>
  <c r="H38" i="220"/>
  <c r="H62" i="221"/>
  <c r="H40" i="220"/>
  <c r="A12" i="220"/>
  <c r="H44" i="220"/>
  <c r="H54" i="220"/>
  <c r="H38" i="221"/>
  <c r="H40" i="221"/>
  <c r="H43" i="221"/>
  <c r="H48" i="221"/>
  <c r="H51" i="221"/>
  <c r="H56" i="221"/>
  <c r="H59" i="221"/>
  <c r="A12" i="221"/>
  <c r="H42" i="221"/>
  <c r="H45" i="221"/>
  <c r="H50" i="221"/>
  <c r="H53" i="221"/>
  <c r="H58" i="221"/>
  <c r="H61" i="221"/>
  <c r="H39" i="221"/>
  <c r="H44" i="221"/>
  <c r="H47" i="221"/>
  <c r="H52" i="221"/>
  <c r="H55" i="221"/>
  <c r="H60" i="221"/>
  <c r="H37" i="221"/>
  <c r="F95" i="145" s="1"/>
  <c r="H41" i="221"/>
  <c r="H46" i="221"/>
  <c r="H49" i="221"/>
  <c r="H54" i="221"/>
  <c r="H57" i="221"/>
  <c r="H42" i="220"/>
  <c r="H48" i="220"/>
  <c r="H53" i="220"/>
  <c r="H56" i="220"/>
  <c r="H61" i="220"/>
  <c r="H62" i="220"/>
  <c r="H50" i="220"/>
  <c r="H55" i="220"/>
  <c r="H58" i="220"/>
  <c r="H43" i="220"/>
  <c r="H46" i="220"/>
  <c r="H49" i="220"/>
  <c r="H52" i="220"/>
  <c r="H60" i="220"/>
  <c r="A6" i="221"/>
  <c r="A32" i="221" s="1"/>
  <c r="D37" i="221"/>
  <c r="D38" i="221" s="1"/>
  <c r="D39" i="221" s="1"/>
  <c r="D40" i="221" s="1"/>
  <c r="D41" i="221" s="1"/>
  <c r="D42" i="221" s="1"/>
  <c r="D43" i="221" s="1"/>
  <c r="D44" i="221" s="1"/>
  <c r="D45" i="221" s="1"/>
  <c r="D46" i="221" s="1"/>
  <c r="D47" i="221" s="1"/>
  <c r="D48" i="221" s="1"/>
  <c r="D49" i="221" s="1"/>
  <c r="D50" i="221" s="1"/>
  <c r="D51" i="221" s="1"/>
  <c r="D52" i="221" s="1"/>
  <c r="D53" i="221" s="1"/>
  <c r="D54" i="221" s="1"/>
  <c r="D55" i="221" s="1"/>
  <c r="D56" i="221" s="1"/>
  <c r="D57" i="221" s="1"/>
  <c r="D58" i="221" s="1"/>
  <c r="D59" i="221" s="1"/>
  <c r="D60" i="221" s="1"/>
  <c r="D37" i="220"/>
  <c r="D38" i="220" s="1"/>
  <c r="D39" i="220" s="1"/>
  <c r="D40" i="220" s="1"/>
  <c r="D41" i="220" s="1"/>
  <c r="D42" i="220" s="1"/>
  <c r="D43" i="220" s="1"/>
  <c r="D44" i="220" s="1"/>
  <c r="D45" i="220" s="1"/>
  <c r="D46" i="220" s="1"/>
  <c r="D47" i="220" s="1"/>
  <c r="D48" i="220" s="1"/>
  <c r="D49" i="220" s="1"/>
  <c r="D50" i="220" s="1"/>
  <c r="D51" i="220" s="1"/>
  <c r="D52" i="220" s="1"/>
  <c r="D53" i="220" s="1"/>
  <c r="D54" i="220" s="1"/>
  <c r="D55" i="220" s="1"/>
  <c r="D56" i="220" s="1"/>
  <c r="D57" i="220" s="1"/>
  <c r="D58" i="220" s="1"/>
  <c r="D59" i="220" s="1"/>
  <c r="D60" i="220" s="1"/>
  <c r="D61" i="220" s="1"/>
  <c r="T12" i="220"/>
  <c r="C12" i="220" s="1"/>
  <c r="H47" i="220"/>
  <c r="J17" i="208"/>
  <c r="I154" i="144" s="1"/>
  <c r="J85" i="211"/>
  <c r="J131" i="210"/>
  <c r="J23" i="209"/>
  <c r="J21" i="179"/>
  <c r="J17" i="174"/>
  <c r="J17" i="175"/>
  <c r="J17" i="176"/>
  <c r="J33" i="178"/>
  <c r="H63" i="221" l="1"/>
  <c r="H63" i="220"/>
  <c r="D61" i="221"/>
  <c r="D62" i="221"/>
  <c r="D62" i="220"/>
  <c r="L7" i="219" l="1"/>
  <c r="E7" i="219" s="1"/>
  <c r="E33" i="219" s="1"/>
  <c r="N6" i="219"/>
  <c r="T12" i="219" s="1"/>
  <c r="C12" i="219" s="1"/>
  <c r="N5" i="219"/>
  <c r="A5" i="219" s="1"/>
  <c r="A31" i="219" s="1"/>
  <c r="P62" i="219"/>
  <c r="O62" i="219"/>
  <c r="B62" i="219"/>
  <c r="P61" i="219"/>
  <c r="O61" i="219"/>
  <c r="B61" i="219"/>
  <c r="P60" i="219"/>
  <c r="O60" i="219"/>
  <c r="B60" i="219"/>
  <c r="P59" i="219"/>
  <c r="O59" i="219"/>
  <c r="B59" i="219"/>
  <c r="P58" i="219"/>
  <c r="O58" i="219"/>
  <c r="B58" i="219"/>
  <c r="P57" i="219"/>
  <c r="O57" i="219"/>
  <c r="B57" i="219"/>
  <c r="P56" i="219"/>
  <c r="O56" i="219"/>
  <c r="B56" i="219"/>
  <c r="P55" i="219"/>
  <c r="O55" i="219"/>
  <c r="B55" i="219"/>
  <c r="P54" i="219"/>
  <c r="O54" i="219"/>
  <c r="B54" i="219"/>
  <c r="P53" i="219"/>
  <c r="O53" i="219"/>
  <c r="B53" i="219"/>
  <c r="P52" i="219"/>
  <c r="O52" i="219"/>
  <c r="B52" i="219"/>
  <c r="P51" i="219"/>
  <c r="O51" i="219"/>
  <c r="B51" i="219"/>
  <c r="P50" i="219"/>
  <c r="O50" i="219"/>
  <c r="B50" i="219"/>
  <c r="P49" i="219"/>
  <c r="O49" i="219"/>
  <c r="B49" i="219"/>
  <c r="P48" i="219"/>
  <c r="O48" i="219"/>
  <c r="B48" i="219"/>
  <c r="P47" i="219"/>
  <c r="O47" i="219"/>
  <c r="B47" i="219"/>
  <c r="P46" i="219"/>
  <c r="O46" i="219"/>
  <c r="B46" i="219"/>
  <c r="P45" i="219"/>
  <c r="O45" i="219"/>
  <c r="B45" i="219"/>
  <c r="P44" i="219"/>
  <c r="O44" i="219"/>
  <c r="B44" i="219"/>
  <c r="P43" i="219"/>
  <c r="O43" i="219"/>
  <c r="B43" i="219"/>
  <c r="P42" i="219"/>
  <c r="O42" i="219"/>
  <c r="B42" i="219"/>
  <c r="P41" i="219"/>
  <c r="O41" i="219"/>
  <c r="B41" i="219"/>
  <c r="P40" i="219"/>
  <c r="O40" i="219"/>
  <c r="B40" i="219"/>
  <c r="P39" i="219"/>
  <c r="O39" i="219"/>
  <c r="B39" i="219"/>
  <c r="A39" i="219"/>
  <c r="A40" i="219" s="1"/>
  <c r="A41" i="219" s="1"/>
  <c r="A42" i="219" s="1"/>
  <c r="A43" i="219" s="1"/>
  <c r="A44" i="219" s="1"/>
  <c r="A45" i="219" s="1"/>
  <c r="A46" i="219" s="1"/>
  <c r="A47" i="219" s="1"/>
  <c r="A48" i="219" s="1"/>
  <c r="A49" i="219" s="1"/>
  <c r="A50" i="219" s="1"/>
  <c r="A51" i="219" s="1"/>
  <c r="A52" i="219" s="1"/>
  <c r="A53" i="219" s="1"/>
  <c r="A54" i="219" s="1"/>
  <c r="A55" i="219" s="1"/>
  <c r="A56" i="219" s="1"/>
  <c r="A57" i="219" s="1"/>
  <c r="A58" i="219" s="1"/>
  <c r="A59" i="219" s="1"/>
  <c r="A60" i="219" s="1"/>
  <c r="A61" i="219" s="1"/>
  <c r="A62" i="219" s="1"/>
  <c r="P38" i="219"/>
  <c r="O38" i="219"/>
  <c r="B38" i="219"/>
  <c r="P37" i="219"/>
  <c r="O37" i="219"/>
  <c r="B37" i="219"/>
  <c r="A30" i="219"/>
  <c r="P14" i="219"/>
  <c r="J12" i="219"/>
  <c r="J14" i="219" s="1"/>
  <c r="I181" i="144" s="1"/>
  <c r="I12" i="219"/>
  <c r="I14" i="219" s="1"/>
  <c r="A7" i="219" s="1"/>
  <c r="A33" i="219" s="1"/>
  <c r="H12" i="219"/>
  <c r="H14" i="219" s="1"/>
  <c r="G181" i="144" s="1"/>
  <c r="G12" i="219"/>
  <c r="G14" i="219" s="1"/>
  <c r="F181" i="144" s="1"/>
  <c r="F12" i="219"/>
  <c r="F14" i="219" s="1"/>
  <c r="B12" i="219"/>
  <c r="A12" i="219" s="1"/>
  <c r="L6" i="219"/>
  <c r="H45" i="219" l="1"/>
  <c r="H49" i="219"/>
  <c r="D37" i="219"/>
  <c r="D38" i="219" s="1"/>
  <c r="D39" i="219" s="1"/>
  <c r="D40" i="219" s="1"/>
  <c r="D41" i="219" s="1"/>
  <c r="D42" i="219" s="1"/>
  <c r="D43" i="219" s="1"/>
  <c r="D44" i="219" s="1"/>
  <c r="D45" i="219" s="1"/>
  <c r="D46" i="219" s="1"/>
  <c r="D47" i="219" s="1"/>
  <c r="D48" i="219" s="1"/>
  <c r="D49" i="219" s="1"/>
  <c r="D50" i="219" s="1"/>
  <c r="D51" i="219" s="1"/>
  <c r="D52" i="219" s="1"/>
  <c r="D53" i="219" s="1"/>
  <c r="D54" i="219" s="1"/>
  <c r="D55" i="219" s="1"/>
  <c r="D56" i="219" s="1"/>
  <c r="D57" i="219" s="1"/>
  <c r="D58" i="219" s="1"/>
  <c r="D59" i="219" s="1"/>
  <c r="D60" i="219" s="1"/>
  <c r="D61" i="219" s="1"/>
  <c r="H43" i="219"/>
  <c r="H37" i="219"/>
  <c r="F181" i="145" s="1"/>
  <c r="H40" i="219"/>
  <c r="H46" i="219"/>
  <c r="H59" i="219"/>
  <c r="H181" i="144"/>
  <c r="H38" i="219"/>
  <c r="H42" i="219"/>
  <c r="H48" i="219"/>
  <c r="H53" i="219"/>
  <c r="H56" i="219"/>
  <c r="H61" i="219"/>
  <c r="H62" i="219"/>
  <c r="H39" i="219"/>
  <c r="H41" i="219"/>
  <c r="H44" i="219"/>
  <c r="H50" i="219"/>
  <c r="H55" i="219"/>
  <c r="H58" i="219"/>
  <c r="H52" i="219"/>
  <c r="H57" i="219"/>
  <c r="H60" i="219"/>
  <c r="H51" i="219"/>
  <c r="H54" i="219"/>
  <c r="A6" i="219"/>
  <c r="A32" i="219" s="1"/>
  <c r="H47" i="219"/>
  <c r="I116" i="144"/>
  <c r="I156" i="144"/>
  <c r="I155" i="144"/>
  <c r="I153" i="144"/>
  <c r="I161" i="144"/>
  <c r="I162" i="144"/>
  <c r="I163" i="144"/>
  <c r="I165" i="144"/>
  <c r="I167" i="144"/>
  <c r="D62" i="219" l="1"/>
  <c r="H63" i="219"/>
  <c r="E35" i="144"/>
  <c r="G12" i="218"/>
  <c r="H12" i="218" s="1"/>
  <c r="I12" i="218" s="1"/>
  <c r="J12" i="218" s="1"/>
  <c r="L7" i="218" l="1"/>
  <c r="E7" i="218" s="1"/>
  <c r="E36" i="218" s="1"/>
  <c r="N6" i="218"/>
  <c r="N5" i="218"/>
  <c r="A5" i="218" s="1"/>
  <c r="A34" i="218" s="1"/>
  <c r="P65" i="218"/>
  <c r="O65" i="218"/>
  <c r="B65" i="218"/>
  <c r="P64" i="218"/>
  <c r="O64" i="218"/>
  <c r="B64" i="218"/>
  <c r="P63" i="218"/>
  <c r="O63" i="218"/>
  <c r="B63" i="218"/>
  <c r="P62" i="218"/>
  <c r="O62" i="218"/>
  <c r="B62" i="218"/>
  <c r="P61" i="218"/>
  <c r="O61" i="218"/>
  <c r="B61" i="218"/>
  <c r="P60" i="218"/>
  <c r="O60" i="218"/>
  <c r="B60" i="218"/>
  <c r="P59" i="218"/>
  <c r="O59" i="218"/>
  <c r="B59" i="218"/>
  <c r="P58" i="218"/>
  <c r="O58" i="218"/>
  <c r="B58" i="218"/>
  <c r="P57" i="218"/>
  <c r="O57" i="218"/>
  <c r="B57" i="218"/>
  <c r="P56" i="218"/>
  <c r="O56" i="218"/>
  <c r="B56" i="218"/>
  <c r="P55" i="218"/>
  <c r="O55" i="218"/>
  <c r="B55" i="218"/>
  <c r="P54" i="218"/>
  <c r="O54" i="218"/>
  <c r="B54" i="218"/>
  <c r="P53" i="218"/>
  <c r="O53" i="218"/>
  <c r="B53" i="218"/>
  <c r="P52" i="218"/>
  <c r="O52" i="218"/>
  <c r="B52" i="218"/>
  <c r="P51" i="218"/>
  <c r="O51" i="218"/>
  <c r="B51" i="218"/>
  <c r="P50" i="218"/>
  <c r="O50" i="218"/>
  <c r="B50" i="218"/>
  <c r="P49" i="218"/>
  <c r="O49" i="218"/>
  <c r="B49" i="218"/>
  <c r="P48" i="218"/>
  <c r="O48" i="218"/>
  <c r="B48" i="218"/>
  <c r="P47" i="218"/>
  <c r="O47" i="218"/>
  <c r="B47" i="218"/>
  <c r="P46" i="218"/>
  <c r="O46" i="218"/>
  <c r="B46" i="218"/>
  <c r="P45" i="218"/>
  <c r="O45" i="218"/>
  <c r="B45" i="218"/>
  <c r="P44" i="218"/>
  <c r="O44" i="218"/>
  <c r="B44" i="218"/>
  <c r="P43" i="218"/>
  <c r="O43" i="218"/>
  <c r="B43" i="218"/>
  <c r="P42" i="218"/>
  <c r="O42" i="218"/>
  <c r="B42" i="218"/>
  <c r="A42" i="218"/>
  <c r="A43" i="218" s="1"/>
  <c r="A44" i="218" s="1"/>
  <c r="A45" i="218" s="1"/>
  <c r="A46" i="218" s="1"/>
  <c r="A47" i="218" s="1"/>
  <c r="A48" i="218" s="1"/>
  <c r="A49" i="218" s="1"/>
  <c r="A50" i="218" s="1"/>
  <c r="A51" i="218" s="1"/>
  <c r="A52" i="218" s="1"/>
  <c r="A53" i="218" s="1"/>
  <c r="A54" i="218" s="1"/>
  <c r="A55" i="218" s="1"/>
  <c r="A56" i="218" s="1"/>
  <c r="A57" i="218" s="1"/>
  <c r="A58" i="218" s="1"/>
  <c r="A59" i="218" s="1"/>
  <c r="A60" i="218" s="1"/>
  <c r="A61" i="218" s="1"/>
  <c r="A62" i="218" s="1"/>
  <c r="A63" i="218" s="1"/>
  <c r="A64" i="218" s="1"/>
  <c r="A65" i="218" s="1"/>
  <c r="P41" i="218"/>
  <c r="O41" i="218"/>
  <c r="B41" i="218"/>
  <c r="P40" i="218"/>
  <c r="O40" i="218"/>
  <c r="B40" i="218"/>
  <c r="A33" i="218"/>
  <c r="P17" i="218"/>
  <c r="J15" i="218"/>
  <c r="I15" i="218"/>
  <c r="H15" i="218"/>
  <c r="G15" i="218"/>
  <c r="F15" i="218"/>
  <c r="B15" i="218"/>
  <c r="J14" i="218"/>
  <c r="I14" i="218"/>
  <c r="H14" i="218"/>
  <c r="G14" i="218"/>
  <c r="F14" i="218"/>
  <c r="B14" i="218"/>
  <c r="J13" i="218"/>
  <c r="I13" i="218"/>
  <c r="H13" i="218"/>
  <c r="G13" i="218"/>
  <c r="F13" i="218"/>
  <c r="B13" i="218"/>
  <c r="B12" i="218"/>
  <c r="A15" i="218" s="1"/>
  <c r="L6" i="218"/>
  <c r="F15" i="217"/>
  <c r="H15" i="217" s="1"/>
  <c r="I15" i="217" s="1"/>
  <c r="F14" i="217"/>
  <c r="H14" i="217" s="1"/>
  <c r="I14" i="217" s="1"/>
  <c r="F13" i="217"/>
  <c r="H13" i="217" s="1"/>
  <c r="I13" i="217" s="1"/>
  <c r="F12" i="217"/>
  <c r="H12" i="217" s="1"/>
  <c r="I12" i="217" s="1"/>
  <c r="L7" i="217"/>
  <c r="E7" i="217" s="1"/>
  <c r="E36" i="217" s="1"/>
  <c r="N6" i="217"/>
  <c r="P65" i="217"/>
  <c r="O65" i="217"/>
  <c r="B65" i="217"/>
  <c r="P64" i="217"/>
  <c r="O64" i="217"/>
  <c r="B64" i="217"/>
  <c r="P63" i="217"/>
  <c r="O63" i="217"/>
  <c r="B63" i="217"/>
  <c r="P62" i="217"/>
  <c r="O62" i="217"/>
  <c r="B62" i="217"/>
  <c r="P61" i="217"/>
  <c r="O61" i="217"/>
  <c r="B61" i="217"/>
  <c r="P60" i="217"/>
  <c r="O60" i="217"/>
  <c r="B60" i="217"/>
  <c r="P59" i="217"/>
  <c r="O59" i="217"/>
  <c r="B59" i="217"/>
  <c r="P58" i="217"/>
  <c r="O58" i="217"/>
  <c r="B58" i="217"/>
  <c r="P57" i="217"/>
  <c r="O57" i="217"/>
  <c r="B57" i="217"/>
  <c r="P56" i="217"/>
  <c r="O56" i="217"/>
  <c r="B56" i="217"/>
  <c r="P55" i="217"/>
  <c r="O55" i="217"/>
  <c r="B55" i="217"/>
  <c r="P54" i="217"/>
  <c r="O54" i="217"/>
  <c r="B54" i="217"/>
  <c r="P53" i="217"/>
  <c r="O53" i="217"/>
  <c r="B53" i="217"/>
  <c r="P52" i="217"/>
  <c r="O52" i="217"/>
  <c r="B52" i="217"/>
  <c r="P51" i="217"/>
  <c r="O51" i="217"/>
  <c r="B51" i="217"/>
  <c r="P50" i="217"/>
  <c r="O50" i="217"/>
  <c r="B50" i="217"/>
  <c r="P49" i="217"/>
  <c r="O49" i="217"/>
  <c r="B49" i="217"/>
  <c r="P48" i="217"/>
  <c r="O48" i="217"/>
  <c r="B48" i="217"/>
  <c r="P47" i="217"/>
  <c r="O47" i="217"/>
  <c r="B47" i="217"/>
  <c r="P46" i="217"/>
  <c r="O46" i="217"/>
  <c r="B46" i="217"/>
  <c r="P45" i="217"/>
  <c r="O45" i="217"/>
  <c r="B45" i="217"/>
  <c r="P44" i="217"/>
  <c r="O44" i="217"/>
  <c r="B44" i="217"/>
  <c r="P43" i="217"/>
  <c r="O43" i="217"/>
  <c r="B43" i="217"/>
  <c r="P42" i="217"/>
  <c r="O42" i="217"/>
  <c r="B42" i="217"/>
  <c r="A42" i="217"/>
  <c r="A43" i="217" s="1"/>
  <c r="A44" i="217" s="1"/>
  <c r="A45" i="217" s="1"/>
  <c r="A46" i="217" s="1"/>
  <c r="A47" i="217" s="1"/>
  <c r="A48" i="217" s="1"/>
  <c r="A49" i="217" s="1"/>
  <c r="A50" i="217" s="1"/>
  <c r="A51" i="217" s="1"/>
  <c r="A52" i="217" s="1"/>
  <c r="A53" i="217" s="1"/>
  <c r="A54" i="217" s="1"/>
  <c r="A55" i="217" s="1"/>
  <c r="A56" i="217" s="1"/>
  <c r="A57" i="217" s="1"/>
  <c r="A58" i="217" s="1"/>
  <c r="A59" i="217" s="1"/>
  <c r="A60" i="217" s="1"/>
  <c r="A61" i="217" s="1"/>
  <c r="A62" i="217" s="1"/>
  <c r="A63" i="217" s="1"/>
  <c r="A64" i="217" s="1"/>
  <c r="A65" i="217" s="1"/>
  <c r="P41" i="217"/>
  <c r="O41" i="217"/>
  <c r="B41" i="217"/>
  <c r="P40" i="217"/>
  <c r="O40" i="217"/>
  <c r="B40" i="217"/>
  <c r="A33" i="217"/>
  <c r="P17" i="217"/>
  <c r="J15" i="217"/>
  <c r="B15" i="217"/>
  <c r="J14" i="217"/>
  <c r="B14" i="217"/>
  <c r="J13" i="217"/>
  <c r="B13" i="217"/>
  <c r="J12" i="217"/>
  <c r="B12" i="217"/>
  <c r="L6" i="217"/>
  <c r="A5" i="217"/>
  <c r="A34" i="217" s="1"/>
  <c r="N6" i="216"/>
  <c r="L7" i="216"/>
  <c r="E7" i="216" s="1"/>
  <c r="E40" i="216" s="1"/>
  <c r="P69" i="216"/>
  <c r="O69" i="216"/>
  <c r="B69" i="216"/>
  <c r="P68" i="216"/>
  <c r="O68" i="216"/>
  <c r="B68" i="216"/>
  <c r="P67" i="216"/>
  <c r="O67" i="216"/>
  <c r="B67" i="216"/>
  <c r="P66" i="216"/>
  <c r="O66" i="216"/>
  <c r="B66" i="216"/>
  <c r="P65" i="216"/>
  <c r="O65" i="216"/>
  <c r="B65" i="216"/>
  <c r="P64" i="216"/>
  <c r="O64" i="216"/>
  <c r="B64" i="216"/>
  <c r="P63" i="216"/>
  <c r="O63" i="216"/>
  <c r="B63" i="216"/>
  <c r="P62" i="216"/>
  <c r="O62" i="216"/>
  <c r="B62" i="216"/>
  <c r="P61" i="216"/>
  <c r="O61" i="216"/>
  <c r="B61" i="216"/>
  <c r="P60" i="216"/>
  <c r="O60" i="216"/>
  <c r="B60" i="216"/>
  <c r="P59" i="216"/>
  <c r="O59" i="216"/>
  <c r="B59" i="216"/>
  <c r="P58" i="216"/>
  <c r="O58" i="216"/>
  <c r="B58" i="216"/>
  <c r="P57" i="216"/>
  <c r="O57" i="216"/>
  <c r="B57" i="216"/>
  <c r="P56" i="216"/>
  <c r="O56" i="216"/>
  <c r="B56" i="216"/>
  <c r="P55" i="216"/>
  <c r="O55" i="216"/>
  <c r="B55" i="216"/>
  <c r="P54" i="216"/>
  <c r="O54" i="216"/>
  <c r="B54" i="216"/>
  <c r="P53" i="216"/>
  <c r="O53" i="216"/>
  <c r="B53" i="216"/>
  <c r="P52" i="216"/>
  <c r="O52" i="216"/>
  <c r="B52" i="216"/>
  <c r="P51" i="216"/>
  <c r="O51" i="216"/>
  <c r="B51" i="216"/>
  <c r="P50" i="216"/>
  <c r="O50" i="216"/>
  <c r="B50" i="216"/>
  <c r="P49" i="216"/>
  <c r="O49" i="216"/>
  <c r="B49" i="216"/>
  <c r="P48" i="216"/>
  <c r="O48" i="216"/>
  <c r="B48" i="216"/>
  <c r="P47" i="216"/>
  <c r="O47" i="216"/>
  <c r="B47" i="216"/>
  <c r="P46" i="216"/>
  <c r="O46" i="216"/>
  <c r="B46" i="216"/>
  <c r="A46" i="216"/>
  <c r="A47" i="216" s="1"/>
  <c r="A48" i="216" s="1"/>
  <c r="A49" i="216" s="1"/>
  <c r="A50" i="216" s="1"/>
  <c r="A51" i="216" s="1"/>
  <c r="A52" i="216" s="1"/>
  <c r="A53" i="216" s="1"/>
  <c r="A54" i="216" s="1"/>
  <c r="A55" i="216" s="1"/>
  <c r="A56" i="216" s="1"/>
  <c r="A57" i="216" s="1"/>
  <c r="A58" i="216" s="1"/>
  <c r="A59" i="216" s="1"/>
  <c r="A60" i="216" s="1"/>
  <c r="A61" i="216" s="1"/>
  <c r="A62" i="216" s="1"/>
  <c r="A63" i="216" s="1"/>
  <c r="A64" i="216" s="1"/>
  <c r="A65" i="216" s="1"/>
  <c r="A66" i="216" s="1"/>
  <c r="A67" i="216" s="1"/>
  <c r="A68" i="216" s="1"/>
  <c r="A69" i="216" s="1"/>
  <c r="P45" i="216"/>
  <c r="O45" i="216"/>
  <c r="B45" i="216"/>
  <c r="P44" i="216"/>
  <c r="O44" i="216"/>
  <c r="B44" i="216"/>
  <c r="A37" i="216"/>
  <c r="P21" i="216"/>
  <c r="J19" i="216"/>
  <c r="B19" i="216"/>
  <c r="J18" i="216"/>
  <c r="B18" i="216"/>
  <c r="J17" i="216"/>
  <c r="B17" i="216"/>
  <c r="J12" i="216"/>
  <c r="B12" i="216"/>
  <c r="L6" i="216"/>
  <c r="A5" i="216"/>
  <c r="A38" i="216" s="1"/>
  <c r="A16" i="216" l="1"/>
  <c r="A14" i="216"/>
  <c r="A13" i="216"/>
  <c r="A15" i="216"/>
  <c r="T13" i="216"/>
  <c r="C13" i="216" s="1"/>
  <c r="T14" i="216"/>
  <c r="C14" i="216" s="1"/>
  <c r="T15" i="216"/>
  <c r="C15" i="216" s="1"/>
  <c r="D44" i="216"/>
  <c r="D45" i="216" s="1"/>
  <c r="D46" i="216" s="1"/>
  <c r="D47" i="216" s="1"/>
  <c r="D48" i="216" s="1"/>
  <c r="D49" i="216" s="1"/>
  <c r="D50" i="216" s="1"/>
  <c r="D51" i="216" s="1"/>
  <c r="D52" i="216" s="1"/>
  <c r="D53" i="216" s="1"/>
  <c r="D54" i="216" s="1"/>
  <c r="D55" i="216" s="1"/>
  <c r="D56" i="216" s="1"/>
  <c r="D57" i="216" s="1"/>
  <c r="D58" i="216" s="1"/>
  <c r="D59" i="216" s="1"/>
  <c r="D60" i="216" s="1"/>
  <c r="D61" i="216" s="1"/>
  <c r="D62" i="216" s="1"/>
  <c r="D63" i="216" s="1"/>
  <c r="D64" i="216" s="1"/>
  <c r="D65" i="216" s="1"/>
  <c r="D66" i="216" s="1"/>
  <c r="D67" i="216" s="1"/>
  <c r="D69" i="216" s="1"/>
  <c r="T16" i="216"/>
  <c r="C16" i="216" s="1"/>
  <c r="A17" i="216"/>
  <c r="H40" i="218"/>
  <c r="F35" i="145" s="1"/>
  <c r="F21" i="216"/>
  <c r="E111" i="144" s="1"/>
  <c r="H17" i="217"/>
  <c r="G114" i="144" s="1"/>
  <c r="H52" i="216"/>
  <c r="H60" i="216"/>
  <c r="H21" i="216"/>
  <c r="G111" i="144" s="1"/>
  <c r="H66" i="216"/>
  <c r="A13" i="218"/>
  <c r="H47" i="216"/>
  <c r="H56" i="216"/>
  <c r="H46" i="217"/>
  <c r="H50" i="216"/>
  <c r="H50" i="217"/>
  <c r="H48" i="216"/>
  <c r="H48" i="217"/>
  <c r="A14" i="218"/>
  <c r="H43" i="218"/>
  <c r="H64" i="216"/>
  <c r="H62" i="216"/>
  <c r="H63" i="216"/>
  <c r="A15" i="217"/>
  <c r="J17" i="217"/>
  <c r="I114" i="144" s="1"/>
  <c r="H56" i="217"/>
  <c r="H60" i="217"/>
  <c r="H64" i="217"/>
  <c r="A12" i="218"/>
  <c r="A18" i="216"/>
  <c r="J21" i="216"/>
  <c r="I111" i="144" s="1"/>
  <c r="H46" i="216"/>
  <c r="H54" i="216"/>
  <c r="H55" i="216"/>
  <c r="H58" i="216"/>
  <c r="H68" i="216"/>
  <c r="H69" i="216"/>
  <c r="H62" i="217"/>
  <c r="H54" i="218"/>
  <c r="H56" i="218"/>
  <c r="A14" i="217"/>
  <c r="H47" i="217"/>
  <c r="H58" i="217"/>
  <c r="H46" i="218"/>
  <c r="A12" i="216"/>
  <c r="I21" i="216"/>
  <c r="A19" i="216"/>
  <c r="H53" i="216"/>
  <c r="H61" i="216"/>
  <c r="H67" i="216"/>
  <c r="G17" i="217"/>
  <c r="F114" i="144" s="1"/>
  <c r="H40" i="217"/>
  <c r="F114" i="145" s="1"/>
  <c r="H41" i="217"/>
  <c r="H45" i="217"/>
  <c r="H53" i="217"/>
  <c r="H59" i="217"/>
  <c r="H52" i="218"/>
  <c r="H42" i="217"/>
  <c r="H52" i="217"/>
  <c r="H51" i="216"/>
  <c r="H59" i="216"/>
  <c r="H65" i="216"/>
  <c r="A13" i="217"/>
  <c r="H43" i="217"/>
  <c r="H51" i="217"/>
  <c r="H57" i="217"/>
  <c r="H65" i="217"/>
  <c r="H44" i="217"/>
  <c r="H61" i="217"/>
  <c r="H44" i="216"/>
  <c r="F111" i="145" s="1"/>
  <c r="H45" i="216"/>
  <c r="H49" i="216"/>
  <c r="H57" i="216"/>
  <c r="A12" i="217"/>
  <c r="I17" i="217"/>
  <c r="H54" i="217"/>
  <c r="H49" i="217"/>
  <c r="H63" i="217"/>
  <c r="A6" i="217"/>
  <c r="A35" i="217" s="1"/>
  <c r="J17" i="218"/>
  <c r="I35" i="144" s="1"/>
  <c r="H49" i="218"/>
  <c r="H51" i="218"/>
  <c r="H63" i="218"/>
  <c r="H48" i="218"/>
  <c r="H57" i="218"/>
  <c r="H59" i="218"/>
  <c r="H62" i="218"/>
  <c r="H41" i="218"/>
  <c r="H45" i="218"/>
  <c r="H50" i="218"/>
  <c r="H53" i="218"/>
  <c r="H58" i="218"/>
  <c r="H64" i="218"/>
  <c r="H65" i="218"/>
  <c r="H42" i="218"/>
  <c r="H44" i="218"/>
  <c r="H47" i="218"/>
  <c r="H55" i="218"/>
  <c r="H61" i="218"/>
  <c r="H17" i="218"/>
  <c r="G35" i="144" s="1"/>
  <c r="I17" i="218"/>
  <c r="H60" i="218"/>
  <c r="G17" i="218"/>
  <c r="F35" i="144" s="1"/>
  <c r="A6" i="218"/>
  <c r="A35" i="218" s="1"/>
  <c r="T12" i="218"/>
  <c r="C12" i="218" s="1"/>
  <c r="T14" i="218"/>
  <c r="C14" i="218" s="1"/>
  <c r="D40" i="218"/>
  <c r="D41" i="218" s="1"/>
  <c r="D42" i="218" s="1"/>
  <c r="D43" i="218" s="1"/>
  <c r="D44" i="218" s="1"/>
  <c r="D45" i="218" s="1"/>
  <c r="D46" i="218" s="1"/>
  <c r="D47" i="218" s="1"/>
  <c r="D48" i="218" s="1"/>
  <c r="D49" i="218" s="1"/>
  <c r="D50" i="218" s="1"/>
  <c r="D51" i="218" s="1"/>
  <c r="D52" i="218" s="1"/>
  <c r="D53" i="218" s="1"/>
  <c r="D54" i="218" s="1"/>
  <c r="D55" i="218" s="1"/>
  <c r="D56" i="218" s="1"/>
  <c r="D57" i="218" s="1"/>
  <c r="D58" i="218" s="1"/>
  <c r="D59" i="218" s="1"/>
  <c r="D60" i="218" s="1"/>
  <c r="D61" i="218" s="1"/>
  <c r="D62" i="218" s="1"/>
  <c r="D63" i="218" s="1"/>
  <c r="T13" i="218"/>
  <c r="C13" i="218" s="1"/>
  <c r="T15" i="218"/>
  <c r="C15" i="218" s="1"/>
  <c r="H55" i="217"/>
  <c r="F17" i="217"/>
  <c r="E114" i="144" s="1"/>
  <c r="D40" i="217"/>
  <c r="D41" i="217" s="1"/>
  <c r="D42" i="217" s="1"/>
  <c r="D43" i="217" s="1"/>
  <c r="D44" i="217" s="1"/>
  <c r="D45" i="217" s="1"/>
  <c r="D46" i="217" s="1"/>
  <c r="D47" i="217" s="1"/>
  <c r="D48" i="217" s="1"/>
  <c r="D49" i="217" s="1"/>
  <c r="D50" i="217" s="1"/>
  <c r="D51" i="217" s="1"/>
  <c r="D52" i="217" s="1"/>
  <c r="D53" i="217" s="1"/>
  <c r="D54" i="217" s="1"/>
  <c r="D55" i="217" s="1"/>
  <c r="D56" i="217" s="1"/>
  <c r="D57" i="217" s="1"/>
  <c r="D58" i="217" s="1"/>
  <c r="D59" i="217" s="1"/>
  <c r="D60" i="217" s="1"/>
  <c r="D61" i="217" s="1"/>
  <c r="D62" i="217" s="1"/>
  <c r="D63" i="217" s="1"/>
  <c r="T12" i="217"/>
  <c r="C12" i="217" s="1"/>
  <c r="T14" i="217"/>
  <c r="C14" i="217" s="1"/>
  <c r="T13" i="217"/>
  <c r="C13" i="217" s="1"/>
  <c r="T15" i="217"/>
  <c r="C15" i="217" s="1"/>
  <c r="G21" i="216"/>
  <c r="F111" i="144" s="1"/>
  <c r="A6" i="216"/>
  <c r="A39" i="216" s="1"/>
  <c r="T12" i="216"/>
  <c r="C12" i="216" s="1"/>
  <c r="T18" i="216"/>
  <c r="C18" i="216" s="1"/>
  <c r="T17" i="216"/>
  <c r="C17" i="216" s="1"/>
  <c r="T19" i="216"/>
  <c r="C19" i="216" s="1"/>
  <c r="F14" i="170"/>
  <c r="F15" i="170"/>
  <c r="F12" i="170"/>
  <c r="F13" i="170"/>
  <c r="F15" i="168"/>
  <c r="F13" i="168"/>
  <c r="D68" i="216" l="1"/>
  <c r="F17" i="168"/>
  <c r="E115" i="144" s="1"/>
  <c r="H66" i="217"/>
  <c r="A7" i="217"/>
  <c r="A36" i="217" s="1"/>
  <c r="H114" i="144"/>
  <c r="A7" i="216"/>
  <c r="A40" i="216" s="1"/>
  <c r="H111" i="144"/>
  <c r="A7" i="218"/>
  <c r="A36" i="218" s="1"/>
  <c r="H35" i="144"/>
  <c r="H70" i="216"/>
  <c r="H66" i="218"/>
  <c r="D64" i="218"/>
  <c r="D65" i="218"/>
  <c r="D64" i="217"/>
  <c r="D65" i="217"/>
  <c r="F17" i="154" l="1"/>
  <c r="E108" i="144" s="1"/>
  <c r="F12" i="152"/>
  <c r="F13" i="152"/>
  <c r="G13" i="152" l="1"/>
  <c r="H13" i="152" s="1"/>
  <c r="I13" i="152" s="1"/>
  <c r="F17" i="156"/>
  <c r="E110" i="144" s="1"/>
  <c r="F18" i="206"/>
  <c r="E37" i="144" s="1"/>
  <c r="F17" i="192"/>
  <c r="E48" i="144" s="1"/>
  <c r="F12" i="148"/>
  <c r="F12" i="150"/>
  <c r="F12" i="207" l="1"/>
  <c r="F15" i="167"/>
  <c r="F14" i="167"/>
  <c r="F13" i="167"/>
  <c r="G13" i="167" s="1"/>
  <c r="I13" i="167" s="1"/>
  <c r="F12" i="167"/>
  <c r="F19" i="167"/>
  <c r="G19" i="167" s="1"/>
  <c r="I19" i="167" s="1"/>
  <c r="F18" i="167"/>
  <c r="F17" i="167"/>
  <c r="G17" i="167" s="1"/>
  <c r="I17" i="167" s="1"/>
  <c r="F16" i="167"/>
  <c r="F21" i="167"/>
  <c r="E99" i="144" s="1"/>
  <c r="F17" i="155" l="1"/>
  <c r="E109" i="144" s="1"/>
  <c r="F12" i="151"/>
  <c r="F17" i="153"/>
  <c r="E101" i="144" s="1"/>
  <c r="N6" i="215"/>
  <c r="L7" i="215"/>
  <c r="E7" i="215" s="1"/>
  <c r="E33" i="215" s="1"/>
  <c r="P62" i="215"/>
  <c r="O62" i="215"/>
  <c r="B62" i="215"/>
  <c r="P61" i="215"/>
  <c r="O61" i="215"/>
  <c r="B61" i="215"/>
  <c r="P60" i="215"/>
  <c r="O60" i="215"/>
  <c r="B60" i="215"/>
  <c r="P59" i="215"/>
  <c r="O59" i="215"/>
  <c r="B59" i="215"/>
  <c r="P58" i="215"/>
  <c r="O58" i="215"/>
  <c r="B58" i="215"/>
  <c r="P57" i="215"/>
  <c r="O57" i="215"/>
  <c r="B57" i="215"/>
  <c r="P56" i="215"/>
  <c r="O56" i="215"/>
  <c r="B56" i="215"/>
  <c r="P55" i="215"/>
  <c r="O55" i="215"/>
  <c r="B55" i="215"/>
  <c r="P54" i="215"/>
  <c r="O54" i="215"/>
  <c r="B54" i="215"/>
  <c r="P53" i="215"/>
  <c r="O53" i="215"/>
  <c r="B53" i="215"/>
  <c r="P52" i="215"/>
  <c r="O52" i="215"/>
  <c r="B52" i="215"/>
  <c r="P51" i="215"/>
  <c r="O51" i="215"/>
  <c r="B51" i="215"/>
  <c r="P50" i="215"/>
  <c r="O50" i="215"/>
  <c r="B50" i="215"/>
  <c r="P49" i="215"/>
  <c r="O49" i="215"/>
  <c r="B49" i="215"/>
  <c r="P48" i="215"/>
  <c r="O48" i="215"/>
  <c r="B48" i="215"/>
  <c r="P47" i="215"/>
  <c r="O47" i="215"/>
  <c r="B47" i="215"/>
  <c r="P46" i="215"/>
  <c r="O46" i="215"/>
  <c r="B46" i="215"/>
  <c r="P45" i="215"/>
  <c r="O45" i="215"/>
  <c r="B45" i="215"/>
  <c r="P44" i="215"/>
  <c r="O44" i="215"/>
  <c r="B44" i="215"/>
  <c r="P43" i="215"/>
  <c r="O43" i="215"/>
  <c r="B43" i="215"/>
  <c r="P42" i="215"/>
  <c r="O42" i="215"/>
  <c r="B42" i="215"/>
  <c r="P41" i="215"/>
  <c r="O41" i="215"/>
  <c r="B41" i="215"/>
  <c r="P40" i="215"/>
  <c r="O40" i="215"/>
  <c r="B40" i="215"/>
  <c r="P39" i="215"/>
  <c r="O39" i="215"/>
  <c r="B39" i="215"/>
  <c r="A39" i="215"/>
  <c r="A40" i="215" s="1"/>
  <c r="A41" i="215" s="1"/>
  <c r="A42" i="215" s="1"/>
  <c r="A43" i="215" s="1"/>
  <c r="A44" i="215" s="1"/>
  <c r="A45" i="215" s="1"/>
  <c r="A46" i="215" s="1"/>
  <c r="A47" i="215" s="1"/>
  <c r="A48" i="215" s="1"/>
  <c r="A49" i="215" s="1"/>
  <c r="A50" i="215" s="1"/>
  <c r="A51" i="215" s="1"/>
  <c r="A52" i="215" s="1"/>
  <c r="A53" i="215" s="1"/>
  <c r="A54" i="215" s="1"/>
  <c r="A55" i="215" s="1"/>
  <c r="A56" i="215" s="1"/>
  <c r="A57" i="215" s="1"/>
  <c r="A58" i="215" s="1"/>
  <c r="A59" i="215" s="1"/>
  <c r="A60" i="215" s="1"/>
  <c r="A61" i="215" s="1"/>
  <c r="A62" i="215" s="1"/>
  <c r="P38" i="215"/>
  <c r="O38" i="215"/>
  <c r="B38" i="215"/>
  <c r="P37" i="215"/>
  <c r="O37" i="215"/>
  <c r="B37" i="215"/>
  <c r="A30" i="215"/>
  <c r="P14" i="215"/>
  <c r="J12" i="215"/>
  <c r="I12" i="215"/>
  <c r="H12" i="215"/>
  <c r="G12" i="215"/>
  <c r="G14" i="215" s="1"/>
  <c r="F12" i="215"/>
  <c r="F14" i="215" s="1"/>
  <c r="B12" i="215"/>
  <c r="A12" i="215" s="1"/>
  <c r="L6" i="215"/>
  <c r="N5" i="215"/>
  <c r="A5" i="215" s="1"/>
  <c r="A31" i="215" s="1"/>
  <c r="F15" i="214"/>
  <c r="L7" i="211"/>
  <c r="L7" i="214"/>
  <c r="E7" i="214" s="1"/>
  <c r="E34" i="214" s="1"/>
  <c r="N6" i="214"/>
  <c r="D38" i="214" s="1"/>
  <c r="D39" i="214" s="1"/>
  <c r="D40" i="214" s="1"/>
  <c r="D41" i="214" s="1"/>
  <c r="D42" i="214" s="1"/>
  <c r="D43" i="214" s="1"/>
  <c r="D44" i="214" s="1"/>
  <c r="D45" i="214" s="1"/>
  <c r="D46" i="214" s="1"/>
  <c r="D47" i="214" s="1"/>
  <c r="D48" i="214" s="1"/>
  <c r="D49" i="214" s="1"/>
  <c r="D50" i="214" s="1"/>
  <c r="D51" i="214" s="1"/>
  <c r="D52" i="214" s="1"/>
  <c r="D53" i="214" s="1"/>
  <c r="D54" i="214" s="1"/>
  <c r="D55" i="214" s="1"/>
  <c r="D56" i="214" s="1"/>
  <c r="D57" i="214" s="1"/>
  <c r="D58" i="214" s="1"/>
  <c r="D59" i="214" s="1"/>
  <c r="D60" i="214" s="1"/>
  <c r="D61" i="214" s="1"/>
  <c r="P63" i="214"/>
  <c r="O63" i="214"/>
  <c r="B63" i="214"/>
  <c r="P62" i="214"/>
  <c r="O62" i="214"/>
  <c r="B62" i="214"/>
  <c r="P61" i="214"/>
  <c r="O61" i="214"/>
  <c r="B61" i="214"/>
  <c r="P60" i="214"/>
  <c r="O60" i="214"/>
  <c r="B60" i="214"/>
  <c r="P59" i="214"/>
  <c r="O59" i="214"/>
  <c r="B59" i="214"/>
  <c r="P58" i="214"/>
  <c r="O58" i="214"/>
  <c r="B58" i="214"/>
  <c r="P57" i="214"/>
  <c r="O57" i="214"/>
  <c r="B57" i="214"/>
  <c r="P56" i="214"/>
  <c r="O56" i="214"/>
  <c r="B56" i="214"/>
  <c r="P55" i="214"/>
  <c r="O55" i="214"/>
  <c r="B55" i="214"/>
  <c r="P54" i="214"/>
  <c r="O54" i="214"/>
  <c r="B54" i="214"/>
  <c r="P53" i="214"/>
  <c r="O53" i="214"/>
  <c r="B53" i="214"/>
  <c r="P52" i="214"/>
  <c r="O52" i="214"/>
  <c r="B52" i="214"/>
  <c r="P51" i="214"/>
  <c r="O51" i="214"/>
  <c r="B51" i="214"/>
  <c r="P50" i="214"/>
  <c r="O50" i="214"/>
  <c r="B50" i="214"/>
  <c r="P49" i="214"/>
  <c r="O49" i="214"/>
  <c r="B49" i="214"/>
  <c r="P48" i="214"/>
  <c r="O48" i="214"/>
  <c r="B48" i="214"/>
  <c r="P47" i="214"/>
  <c r="O47" i="214"/>
  <c r="B47" i="214"/>
  <c r="P46" i="214"/>
  <c r="O46" i="214"/>
  <c r="B46" i="214"/>
  <c r="P45" i="214"/>
  <c r="O45" i="214"/>
  <c r="B45" i="214"/>
  <c r="P44" i="214"/>
  <c r="O44" i="214"/>
  <c r="B44" i="214"/>
  <c r="P43" i="214"/>
  <c r="O43" i="214"/>
  <c r="B43" i="214"/>
  <c r="P42" i="214"/>
  <c r="O42" i="214"/>
  <c r="B42" i="214"/>
  <c r="P41" i="214"/>
  <c r="O41" i="214"/>
  <c r="B41" i="214"/>
  <c r="P40" i="214"/>
  <c r="O40" i="214"/>
  <c r="B40" i="214"/>
  <c r="A40" i="214"/>
  <c r="A41" i="214" s="1"/>
  <c r="A42" i="214" s="1"/>
  <c r="A43" i="214" s="1"/>
  <c r="A44" i="214" s="1"/>
  <c r="A45" i="214" s="1"/>
  <c r="A46" i="214" s="1"/>
  <c r="A47" i="214" s="1"/>
  <c r="A48" i="214" s="1"/>
  <c r="A49" i="214" s="1"/>
  <c r="A50" i="214" s="1"/>
  <c r="A51" i="214" s="1"/>
  <c r="A52" i="214" s="1"/>
  <c r="A53" i="214" s="1"/>
  <c r="A54" i="214" s="1"/>
  <c r="A55" i="214" s="1"/>
  <c r="A56" i="214" s="1"/>
  <c r="A57" i="214" s="1"/>
  <c r="A58" i="214" s="1"/>
  <c r="A59" i="214" s="1"/>
  <c r="A60" i="214" s="1"/>
  <c r="A61" i="214" s="1"/>
  <c r="A62" i="214" s="1"/>
  <c r="A63" i="214" s="1"/>
  <c r="P39" i="214"/>
  <c r="O39" i="214"/>
  <c r="B39" i="214"/>
  <c r="P38" i="214"/>
  <c r="O38" i="214"/>
  <c r="B38" i="214"/>
  <c r="A31" i="214"/>
  <c r="P15" i="214"/>
  <c r="Q13" i="214"/>
  <c r="J13" i="214"/>
  <c r="I13" i="214"/>
  <c r="H13" i="214"/>
  <c r="G13" i="214"/>
  <c r="F13" i="214"/>
  <c r="J12" i="214"/>
  <c r="I12" i="214"/>
  <c r="H12" i="214"/>
  <c r="G12" i="214"/>
  <c r="F12" i="214"/>
  <c r="B12" i="214"/>
  <c r="A12" i="214" s="1"/>
  <c r="L6" i="214"/>
  <c r="N5" i="214"/>
  <c r="A5" i="214" s="1"/>
  <c r="A32" i="214" s="1"/>
  <c r="E154" i="144"/>
  <c r="E153" i="144" l="1"/>
  <c r="F153" i="144" s="1"/>
  <c r="J15" i="214"/>
  <c r="H15" i="214"/>
  <c r="G15" i="214"/>
  <c r="I15" i="214"/>
  <c r="I14" i="215"/>
  <c r="J14" i="215"/>
  <c r="H14" i="215"/>
  <c r="A6" i="215"/>
  <c r="A32" i="215" s="1"/>
  <c r="D37" i="215"/>
  <c r="D38" i="215" s="1"/>
  <c r="D39" i="215" s="1"/>
  <c r="D40" i="215" s="1"/>
  <c r="D41" i="215" s="1"/>
  <c r="D42" i="215" s="1"/>
  <c r="D43" i="215" s="1"/>
  <c r="D44" i="215" s="1"/>
  <c r="D45" i="215" s="1"/>
  <c r="D46" i="215" s="1"/>
  <c r="D47" i="215" s="1"/>
  <c r="D48" i="215" s="1"/>
  <c r="D49" i="215" s="1"/>
  <c r="D50" i="215" s="1"/>
  <c r="D51" i="215" s="1"/>
  <c r="D52" i="215" s="1"/>
  <c r="D53" i="215" s="1"/>
  <c r="D54" i="215" s="1"/>
  <c r="D55" i="215" s="1"/>
  <c r="D56" i="215" s="1"/>
  <c r="D57" i="215" s="1"/>
  <c r="D58" i="215" s="1"/>
  <c r="D59" i="215" s="1"/>
  <c r="D60" i="215" s="1"/>
  <c r="T12" i="215"/>
  <c r="C12" i="215" s="1"/>
  <c r="A6" i="214"/>
  <c r="A33" i="214" s="1"/>
  <c r="D62" i="214"/>
  <c r="D63" i="214"/>
  <c r="B13" i="214"/>
  <c r="T12" i="214"/>
  <c r="C12" i="214" s="1"/>
  <c r="T13" i="214"/>
  <c r="C13" i="214" s="1"/>
  <c r="A7" i="215" l="1"/>
  <c r="A33" i="215" s="1"/>
  <c r="A7" i="214"/>
  <c r="A34" i="214" s="1"/>
  <c r="D61" i="215"/>
  <c r="D62" i="215"/>
  <c r="A13" i="214"/>
  <c r="L7" i="212" l="1"/>
  <c r="E7" i="212" s="1"/>
  <c r="E34" i="212" s="1"/>
  <c r="L7" i="213"/>
  <c r="E7" i="213" s="1"/>
  <c r="E34" i="213" s="1"/>
  <c r="F13" i="213"/>
  <c r="F12" i="213"/>
  <c r="N6" i="213"/>
  <c r="T13" i="213" s="1"/>
  <c r="C13" i="213" s="1"/>
  <c r="P63" i="213"/>
  <c r="O63" i="213"/>
  <c r="B63" i="213"/>
  <c r="P62" i="213"/>
  <c r="O62" i="213"/>
  <c r="B62" i="213"/>
  <c r="P61" i="213"/>
  <c r="O61" i="213"/>
  <c r="B61" i="213"/>
  <c r="P60" i="213"/>
  <c r="O60" i="213"/>
  <c r="B60" i="213"/>
  <c r="P59" i="213"/>
  <c r="O59" i="213"/>
  <c r="B59" i="213"/>
  <c r="P58" i="213"/>
  <c r="O58" i="213"/>
  <c r="B58" i="213"/>
  <c r="P57" i="213"/>
  <c r="O57" i="213"/>
  <c r="B57" i="213"/>
  <c r="P56" i="213"/>
  <c r="O56" i="213"/>
  <c r="B56" i="213"/>
  <c r="P55" i="213"/>
  <c r="O55" i="213"/>
  <c r="B55" i="213"/>
  <c r="P54" i="213"/>
  <c r="O54" i="213"/>
  <c r="B54" i="213"/>
  <c r="P53" i="213"/>
  <c r="O53" i="213"/>
  <c r="B53" i="213"/>
  <c r="P52" i="213"/>
  <c r="O52" i="213"/>
  <c r="B52" i="213"/>
  <c r="P51" i="213"/>
  <c r="O51" i="213"/>
  <c r="B51" i="213"/>
  <c r="P50" i="213"/>
  <c r="O50" i="213"/>
  <c r="B50" i="213"/>
  <c r="P49" i="213"/>
  <c r="O49" i="213"/>
  <c r="B49" i="213"/>
  <c r="P48" i="213"/>
  <c r="O48" i="213"/>
  <c r="B48" i="213"/>
  <c r="P47" i="213"/>
  <c r="O47" i="213"/>
  <c r="B47" i="213"/>
  <c r="P46" i="213"/>
  <c r="O46" i="213"/>
  <c r="B46" i="213"/>
  <c r="P45" i="213"/>
  <c r="O45" i="213"/>
  <c r="B45" i="213"/>
  <c r="P44" i="213"/>
  <c r="O44" i="213"/>
  <c r="B44" i="213"/>
  <c r="P43" i="213"/>
  <c r="O43" i="213"/>
  <c r="B43" i="213"/>
  <c r="P42" i="213"/>
  <c r="O42" i="213"/>
  <c r="B42" i="213"/>
  <c r="P41" i="213"/>
  <c r="O41" i="213"/>
  <c r="B41" i="213"/>
  <c r="P40" i="213"/>
  <c r="O40" i="213"/>
  <c r="B40" i="213"/>
  <c r="A40" i="213"/>
  <c r="A41" i="213" s="1"/>
  <c r="A42" i="213" s="1"/>
  <c r="A43" i="213" s="1"/>
  <c r="A44" i="213" s="1"/>
  <c r="A45" i="213" s="1"/>
  <c r="A46" i="213" s="1"/>
  <c r="A47" i="213" s="1"/>
  <c r="A48" i="213" s="1"/>
  <c r="A49" i="213" s="1"/>
  <c r="A50" i="213" s="1"/>
  <c r="A51" i="213" s="1"/>
  <c r="A52" i="213" s="1"/>
  <c r="A53" i="213" s="1"/>
  <c r="A54" i="213" s="1"/>
  <c r="A55" i="213" s="1"/>
  <c r="A56" i="213" s="1"/>
  <c r="A57" i="213" s="1"/>
  <c r="A58" i="213" s="1"/>
  <c r="A59" i="213" s="1"/>
  <c r="A60" i="213" s="1"/>
  <c r="A61" i="213" s="1"/>
  <c r="A62" i="213" s="1"/>
  <c r="A63" i="213" s="1"/>
  <c r="P39" i="213"/>
  <c r="O39" i="213"/>
  <c r="B39" i="213"/>
  <c r="P38" i="213"/>
  <c r="O38" i="213"/>
  <c r="B38" i="213"/>
  <c r="A31" i="213"/>
  <c r="P15" i="213"/>
  <c r="J13" i="213"/>
  <c r="I13" i="213"/>
  <c r="H13" i="213"/>
  <c r="G13" i="213"/>
  <c r="B13" i="213"/>
  <c r="J12" i="213"/>
  <c r="I12" i="213"/>
  <c r="H12" i="213"/>
  <c r="G12" i="213"/>
  <c r="B12" i="213"/>
  <c r="L6" i="213"/>
  <c r="N5" i="213"/>
  <c r="A5" i="213" s="1"/>
  <c r="A32" i="213" s="1"/>
  <c r="F13" i="212"/>
  <c r="F12" i="212"/>
  <c r="N5" i="212"/>
  <c r="A5" i="212" s="1"/>
  <c r="A32" i="212" s="1"/>
  <c r="N6" i="212"/>
  <c r="T13" i="212" s="1"/>
  <c r="C13" i="212" s="1"/>
  <c r="P63" i="212"/>
  <c r="O63" i="212"/>
  <c r="B63" i="212"/>
  <c r="P62" i="212"/>
  <c r="O62" i="212"/>
  <c r="B62" i="212"/>
  <c r="P61" i="212"/>
  <c r="O61" i="212"/>
  <c r="B61" i="212"/>
  <c r="P60" i="212"/>
  <c r="O60" i="212"/>
  <c r="B60" i="212"/>
  <c r="P59" i="212"/>
  <c r="O59" i="212"/>
  <c r="B59" i="212"/>
  <c r="P58" i="212"/>
  <c r="O58" i="212"/>
  <c r="B58" i="212"/>
  <c r="P57" i="212"/>
  <c r="O57" i="212"/>
  <c r="B57" i="212"/>
  <c r="P56" i="212"/>
  <c r="O56" i="212"/>
  <c r="B56" i="212"/>
  <c r="P55" i="212"/>
  <c r="O55" i="212"/>
  <c r="B55" i="212"/>
  <c r="P54" i="212"/>
  <c r="O54" i="212"/>
  <c r="B54" i="212"/>
  <c r="P53" i="212"/>
  <c r="O53" i="212"/>
  <c r="B53" i="212"/>
  <c r="P52" i="212"/>
  <c r="O52" i="212"/>
  <c r="B52" i="212"/>
  <c r="P51" i="212"/>
  <c r="O51" i="212"/>
  <c r="B51" i="212"/>
  <c r="P50" i="212"/>
  <c r="O50" i="212"/>
  <c r="B50" i="212"/>
  <c r="P49" i="212"/>
  <c r="O49" i="212"/>
  <c r="B49" i="212"/>
  <c r="P48" i="212"/>
  <c r="O48" i="212"/>
  <c r="B48" i="212"/>
  <c r="P47" i="212"/>
  <c r="O47" i="212"/>
  <c r="B47" i="212"/>
  <c r="P46" i="212"/>
  <c r="O46" i="212"/>
  <c r="B46" i="212"/>
  <c r="P45" i="212"/>
  <c r="O45" i="212"/>
  <c r="B45" i="212"/>
  <c r="P44" i="212"/>
  <c r="O44" i="212"/>
  <c r="B44" i="212"/>
  <c r="P43" i="212"/>
  <c r="O43" i="212"/>
  <c r="B43" i="212"/>
  <c r="P42" i="212"/>
  <c r="O42" i="212"/>
  <c r="B42" i="212"/>
  <c r="P41" i="212"/>
  <c r="O41" i="212"/>
  <c r="B41" i="212"/>
  <c r="P40" i="212"/>
  <c r="O40" i="212"/>
  <c r="B40" i="212"/>
  <c r="A40" i="212"/>
  <c r="A41" i="212" s="1"/>
  <c r="A42" i="212" s="1"/>
  <c r="A43" i="212" s="1"/>
  <c r="A44" i="212" s="1"/>
  <c r="A45" i="212" s="1"/>
  <c r="A46" i="212" s="1"/>
  <c r="A47" i="212" s="1"/>
  <c r="A48" i="212" s="1"/>
  <c r="A49" i="212" s="1"/>
  <c r="A50" i="212" s="1"/>
  <c r="A51" i="212" s="1"/>
  <c r="A52" i="212" s="1"/>
  <c r="A53" i="212" s="1"/>
  <c r="A54" i="212" s="1"/>
  <c r="A55" i="212" s="1"/>
  <c r="A56" i="212" s="1"/>
  <c r="A57" i="212" s="1"/>
  <c r="A58" i="212" s="1"/>
  <c r="A59" i="212" s="1"/>
  <c r="A60" i="212" s="1"/>
  <c r="A61" i="212" s="1"/>
  <c r="A62" i="212" s="1"/>
  <c r="A63" i="212" s="1"/>
  <c r="P39" i="212"/>
  <c r="O39" i="212"/>
  <c r="B39" i="212"/>
  <c r="P38" i="212"/>
  <c r="O38" i="212"/>
  <c r="B38" i="212"/>
  <c r="A31" i="212"/>
  <c r="P15" i="212"/>
  <c r="J13" i="212"/>
  <c r="I13" i="212"/>
  <c r="H13" i="212"/>
  <c r="G13" i="212"/>
  <c r="B13" i="212"/>
  <c r="J12" i="212"/>
  <c r="I12" i="212"/>
  <c r="H12" i="212"/>
  <c r="G12" i="212"/>
  <c r="B12" i="212"/>
  <c r="A12" i="212" s="1"/>
  <c r="L6" i="212"/>
  <c r="H15" i="213" l="1"/>
  <c r="G148" i="144" s="1"/>
  <c r="I15" i="212"/>
  <c r="A7" i="212" s="1"/>
  <c r="A34" i="212" s="1"/>
  <c r="H63" i="212"/>
  <c r="H41" i="212"/>
  <c r="H45" i="212"/>
  <c r="H49" i="212"/>
  <c r="H53" i="212"/>
  <c r="H43" i="212"/>
  <c r="H47" i="212"/>
  <c r="H51" i="212"/>
  <c r="H55" i="212"/>
  <c r="H59" i="212"/>
  <c r="H38" i="212"/>
  <c r="F147" i="145" s="1"/>
  <c r="H39" i="212"/>
  <c r="H46" i="213"/>
  <c r="J15" i="213"/>
  <c r="I148" i="144" s="1"/>
  <c r="H40" i="213"/>
  <c r="H48" i="213"/>
  <c r="H42" i="213"/>
  <c r="G15" i="213"/>
  <c r="F148" i="144" s="1"/>
  <c r="H43" i="213"/>
  <c r="H57" i="212"/>
  <c r="H61" i="212"/>
  <c r="J15" i="212"/>
  <c r="I147" i="144" s="1"/>
  <c r="G15" i="212"/>
  <c r="F147" i="144" s="1"/>
  <c r="H55" i="213"/>
  <c r="A12" i="213"/>
  <c r="H56" i="213"/>
  <c r="H44" i="213"/>
  <c r="H47" i="213"/>
  <c r="H63" i="213"/>
  <c r="H45" i="213"/>
  <c r="H51" i="213"/>
  <c r="H59" i="213"/>
  <c r="A13" i="213"/>
  <c r="H38" i="213"/>
  <c r="F148" i="145" s="1"/>
  <c r="H39" i="213"/>
  <c r="H41" i="213"/>
  <c r="H49" i="213"/>
  <c r="H53" i="213"/>
  <c r="H57" i="213"/>
  <c r="H61" i="213"/>
  <c r="I15" i="213"/>
  <c r="F15" i="213"/>
  <c r="A6" i="213"/>
  <c r="A33" i="213" s="1"/>
  <c r="T12" i="213"/>
  <c r="C12" i="213" s="1"/>
  <c r="H50" i="213"/>
  <c r="H52" i="213"/>
  <c r="H54" i="213"/>
  <c r="H58" i="213"/>
  <c r="H60" i="213"/>
  <c r="H62" i="213"/>
  <c r="D38" i="213"/>
  <c r="D39" i="213" s="1"/>
  <c r="D40" i="213" s="1"/>
  <c r="D41" i="213" s="1"/>
  <c r="D42" i="213" s="1"/>
  <c r="D43" i="213" s="1"/>
  <c r="D44" i="213" s="1"/>
  <c r="D45" i="213" s="1"/>
  <c r="D46" i="213" s="1"/>
  <c r="D47" i="213" s="1"/>
  <c r="D48" i="213" s="1"/>
  <c r="D49" i="213" s="1"/>
  <c r="D50" i="213" s="1"/>
  <c r="D51" i="213" s="1"/>
  <c r="D52" i="213" s="1"/>
  <c r="D53" i="213" s="1"/>
  <c r="D54" i="213" s="1"/>
  <c r="D55" i="213" s="1"/>
  <c r="D56" i="213" s="1"/>
  <c r="D57" i="213" s="1"/>
  <c r="D58" i="213" s="1"/>
  <c r="D59" i="213" s="1"/>
  <c r="D60" i="213" s="1"/>
  <c r="D61" i="213" s="1"/>
  <c r="H15" i="212"/>
  <c r="G147" i="144" s="1"/>
  <c r="E147" i="144"/>
  <c r="T12" i="212"/>
  <c r="C12" i="212" s="1"/>
  <c r="D38" i="212"/>
  <c r="D39" i="212" s="1"/>
  <c r="D40" i="212" s="1"/>
  <c r="D41" i="212" s="1"/>
  <c r="D42" i="212" s="1"/>
  <c r="D43" i="212" s="1"/>
  <c r="D44" i="212" s="1"/>
  <c r="D45" i="212" s="1"/>
  <c r="D46" i="212" s="1"/>
  <c r="D47" i="212" s="1"/>
  <c r="D48" i="212" s="1"/>
  <c r="D49" i="212" s="1"/>
  <c r="D50" i="212" s="1"/>
  <c r="D51" i="212" s="1"/>
  <c r="D52" i="212" s="1"/>
  <c r="D53" i="212" s="1"/>
  <c r="D54" i="212" s="1"/>
  <c r="D55" i="212" s="1"/>
  <c r="D56" i="212" s="1"/>
  <c r="D57" i="212" s="1"/>
  <c r="D58" i="212" s="1"/>
  <c r="D59" i="212" s="1"/>
  <c r="D60" i="212" s="1"/>
  <c r="D61" i="212" s="1"/>
  <c r="D62" i="212" s="1"/>
  <c r="A6" i="212"/>
  <c r="A33" i="212" s="1"/>
  <c r="H42" i="212"/>
  <c r="A13" i="212"/>
  <c r="H44" i="212"/>
  <c r="H50" i="212"/>
  <c r="H62" i="212"/>
  <c r="H40" i="212"/>
  <c r="H46" i="212"/>
  <c r="H48" i="212"/>
  <c r="H52" i="212"/>
  <c r="H54" i="212"/>
  <c r="H56" i="212"/>
  <c r="H58" i="212"/>
  <c r="H60" i="212"/>
  <c r="H147" i="144" l="1"/>
  <c r="A7" i="213"/>
  <c r="A34" i="213" s="1"/>
  <c r="H148" i="144"/>
  <c r="H64" i="213"/>
  <c r="H62" i="215"/>
  <c r="H61" i="215"/>
  <c r="D62" i="213"/>
  <c r="D63" i="213"/>
  <c r="H64" i="212"/>
  <c r="D63" i="212"/>
  <c r="H63" i="214" l="1"/>
  <c r="H62" i="214"/>
  <c r="F13" i="165"/>
  <c r="F12" i="165"/>
  <c r="F13" i="164"/>
  <c r="F12" i="164"/>
  <c r="F13" i="163"/>
  <c r="F12" i="163"/>
  <c r="F13" i="160"/>
  <c r="F12" i="160"/>
  <c r="F13" i="159"/>
  <c r="F12" i="159"/>
  <c r="F13" i="199" l="1"/>
  <c r="F12" i="199"/>
  <c r="F13" i="198"/>
  <c r="F12" i="198"/>
  <c r="F13" i="196"/>
  <c r="H13" i="196" s="1"/>
  <c r="I13" i="196" s="1"/>
  <c r="F12" i="196"/>
  <c r="B62" i="187" l="1"/>
  <c r="B61" i="187"/>
  <c r="B62" i="183"/>
  <c r="B61" i="183"/>
  <c r="B62" i="184"/>
  <c r="B61" i="184"/>
  <c r="B62" i="186"/>
  <c r="B61" i="186"/>
  <c r="B62" i="185"/>
  <c r="B61" i="185"/>
  <c r="B65" i="180"/>
  <c r="B64" i="180"/>
  <c r="B81" i="178"/>
  <c r="B80" i="178"/>
  <c r="B65" i="177"/>
  <c r="B64" i="177"/>
  <c r="B65" i="176"/>
  <c r="B64" i="176"/>
  <c r="B65" i="175"/>
  <c r="B64" i="175"/>
  <c r="B65" i="174"/>
  <c r="B64" i="174"/>
  <c r="B69" i="179"/>
  <c r="B68" i="179"/>
  <c r="B71" i="209"/>
  <c r="B70" i="209"/>
  <c r="B179" i="210"/>
  <c r="B178" i="210"/>
  <c r="B65" i="208"/>
  <c r="B64" i="208"/>
  <c r="B133" i="211"/>
  <c r="B132" i="211"/>
  <c r="B63" i="165"/>
  <c r="B62" i="165"/>
  <c r="B63" i="164"/>
  <c r="B62" i="164"/>
  <c r="B63" i="163"/>
  <c r="B62" i="163"/>
  <c r="B63" i="160"/>
  <c r="B62" i="160"/>
  <c r="B63" i="159"/>
  <c r="B62" i="159"/>
  <c r="B63" i="199"/>
  <c r="B62" i="199"/>
  <c r="B63" i="198"/>
  <c r="B62" i="198"/>
  <c r="B81" i="197"/>
  <c r="B80" i="197"/>
  <c r="B63" i="196"/>
  <c r="B62" i="196"/>
  <c r="B63" i="191"/>
  <c r="B62" i="191"/>
  <c r="B63" i="204"/>
  <c r="B62" i="204"/>
  <c r="B63" i="203"/>
  <c r="B62" i="203"/>
  <c r="B63" i="202"/>
  <c r="B62" i="202"/>
  <c r="B63" i="201"/>
  <c r="B62" i="201"/>
  <c r="B63" i="200"/>
  <c r="B62" i="200"/>
  <c r="B81" i="190"/>
  <c r="B80" i="190"/>
  <c r="B63" i="205"/>
  <c r="B62" i="205"/>
  <c r="B81" i="189"/>
  <c r="B80" i="189"/>
  <c r="B65" i="169"/>
  <c r="B64" i="169"/>
  <c r="B65" i="168"/>
  <c r="B64" i="168"/>
  <c r="B65" i="170"/>
  <c r="B64" i="170"/>
  <c r="B65" i="158"/>
  <c r="B64" i="158"/>
  <c r="B65" i="156"/>
  <c r="B64" i="156"/>
  <c r="B65" i="155"/>
  <c r="B64" i="155"/>
  <c r="B65" i="154"/>
  <c r="B64" i="154"/>
  <c r="B91" i="173"/>
  <c r="B90" i="173"/>
  <c r="B91" i="172"/>
  <c r="B90" i="172"/>
  <c r="B89" i="171"/>
  <c r="B88" i="171"/>
  <c r="B67" i="152"/>
  <c r="B66" i="152"/>
  <c r="B65" i="153"/>
  <c r="B64" i="153"/>
  <c r="B69" i="167"/>
  <c r="B68" i="167"/>
  <c r="B62" i="182"/>
  <c r="B61" i="182"/>
  <c r="B62" i="181"/>
  <c r="B61" i="181"/>
  <c r="B62" i="207"/>
  <c r="B61" i="207"/>
  <c r="B65" i="195"/>
  <c r="B64" i="195"/>
  <c r="B65" i="194"/>
  <c r="B64" i="194"/>
  <c r="B65" i="193"/>
  <c r="B64" i="193"/>
  <c r="B65" i="192"/>
  <c r="B64" i="192"/>
  <c r="B66" i="206"/>
  <c r="B65" i="206"/>
  <c r="B62" i="151"/>
  <c r="B61" i="151"/>
  <c r="B62" i="150"/>
  <c r="B61" i="150"/>
  <c r="B62" i="149"/>
  <c r="B61" i="149"/>
  <c r="B61" i="148"/>
  <c r="B60" i="148"/>
  <c r="B61" i="147"/>
  <c r="B60" i="147"/>
  <c r="P61" i="187"/>
  <c r="O61" i="187"/>
  <c r="P60" i="187"/>
  <c r="O60" i="187"/>
  <c r="P59" i="187"/>
  <c r="O59" i="187"/>
  <c r="P58" i="187"/>
  <c r="O58" i="187"/>
  <c r="P57" i="187"/>
  <c r="O57" i="187"/>
  <c r="P56" i="187"/>
  <c r="O56" i="187"/>
  <c r="P55" i="187"/>
  <c r="O55" i="187"/>
  <c r="P54" i="187"/>
  <c r="O54" i="187"/>
  <c r="P53" i="187"/>
  <c r="O53" i="187"/>
  <c r="P52" i="187"/>
  <c r="O52" i="187"/>
  <c r="P51" i="187"/>
  <c r="O51" i="187"/>
  <c r="P50" i="187"/>
  <c r="O50" i="187"/>
  <c r="P49" i="187"/>
  <c r="O49" i="187"/>
  <c r="P48" i="187"/>
  <c r="O48" i="187"/>
  <c r="P47" i="187"/>
  <c r="O47" i="187"/>
  <c r="P46" i="187"/>
  <c r="O46" i="187"/>
  <c r="P45" i="187"/>
  <c r="O45" i="187"/>
  <c r="P44" i="187"/>
  <c r="O44" i="187"/>
  <c r="P43" i="187"/>
  <c r="O43" i="187"/>
  <c r="P42" i="187"/>
  <c r="O42" i="187"/>
  <c r="P41" i="187"/>
  <c r="O41" i="187"/>
  <c r="P40" i="187"/>
  <c r="O40" i="187"/>
  <c r="P39" i="187"/>
  <c r="O39" i="187"/>
  <c r="P38" i="187"/>
  <c r="O38" i="187"/>
  <c r="P37" i="187"/>
  <c r="O37" i="187"/>
  <c r="P62" i="187"/>
  <c r="O62" i="187"/>
  <c r="P61" i="183"/>
  <c r="O61" i="183"/>
  <c r="P60" i="183"/>
  <c r="O60" i="183"/>
  <c r="P59" i="183"/>
  <c r="O59" i="183"/>
  <c r="P58" i="183"/>
  <c r="O58" i="183"/>
  <c r="P57" i="183"/>
  <c r="O57" i="183"/>
  <c r="P56" i="183"/>
  <c r="O56" i="183"/>
  <c r="P55" i="183"/>
  <c r="O55" i="183"/>
  <c r="P54" i="183"/>
  <c r="O54" i="183"/>
  <c r="P53" i="183"/>
  <c r="O53" i="183"/>
  <c r="P52" i="183"/>
  <c r="O52" i="183"/>
  <c r="P51" i="183"/>
  <c r="O51" i="183"/>
  <c r="P50" i="183"/>
  <c r="O50" i="183"/>
  <c r="P49" i="183"/>
  <c r="O49" i="183"/>
  <c r="P48" i="183"/>
  <c r="O48" i="183"/>
  <c r="P47" i="183"/>
  <c r="O47" i="183"/>
  <c r="P46" i="183"/>
  <c r="O46" i="183"/>
  <c r="P45" i="183"/>
  <c r="O45" i="183"/>
  <c r="P44" i="183"/>
  <c r="O44" i="183"/>
  <c r="P43" i="183"/>
  <c r="O43" i="183"/>
  <c r="P42" i="183"/>
  <c r="O42" i="183"/>
  <c r="P41" i="183"/>
  <c r="O41" i="183"/>
  <c r="P40" i="183"/>
  <c r="O40" i="183"/>
  <c r="P39" i="183"/>
  <c r="O39" i="183"/>
  <c r="P38" i="183"/>
  <c r="O38" i="183"/>
  <c r="P37" i="183"/>
  <c r="O37" i="183"/>
  <c r="P62" i="183"/>
  <c r="O62" i="183"/>
  <c r="P61" i="184"/>
  <c r="O61" i="184"/>
  <c r="P60" i="184"/>
  <c r="O60" i="184"/>
  <c r="P59" i="184"/>
  <c r="O59" i="184"/>
  <c r="P58" i="184"/>
  <c r="O58" i="184"/>
  <c r="P57" i="184"/>
  <c r="O57" i="184"/>
  <c r="P56" i="184"/>
  <c r="O56" i="184"/>
  <c r="P55" i="184"/>
  <c r="O55" i="184"/>
  <c r="P54" i="184"/>
  <c r="O54" i="184"/>
  <c r="P53" i="184"/>
  <c r="O53" i="184"/>
  <c r="P52" i="184"/>
  <c r="O52" i="184"/>
  <c r="P51" i="184"/>
  <c r="O51" i="184"/>
  <c r="P50" i="184"/>
  <c r="O50" i="184"/>
  <c r="P49" i="184"/>
  <c r="O49" i="184"/>
  <c r="P48" i="184"/>
  <c r="O48" i="184"/>
  <c r="P47" i="184"/>
  <c r="O47" i="184"/>
  <c r="P46" i="184"/>
  <c r="O46" i="184"/>
  <c r="P45" i="184"/>
  <c r="O45" i="184"/>
  <c r="P44" i="184"/>
  <c r="O44" i="184"/>
  <c r="P43" i="184"/>
  <c r="O43" i="184"/>
  <c r="P42" i="184"/>
  <c r="O42" i="184"/>
  <c r="P41" i="184"/>
  <c r="O41" i="184"/>
  <c r="P40" i="184"/>
  <c r="O40" i="184"/>
  <c r="P39" i="184"/>
  <c r="O39" i="184"/>
  <c r="P38" i="184"/>
  <c r="O38" i="184"/>
  <c r="P37" i="184"/>
  <c r="O37" i="184"/>
  <c r="P62" i="184"/>
  <c r="O62" i="184"/>
  <c r="P61" i="186"/>
  <c r="O61" i="186"/>
  <c r="P60" i="186"/>
  <c r="O60" i="186"/>
  <c r="P59" i="186"/>
  <c r="O59" i="186"/>
  <c r="P58" i="186"/>
  <c r="O58" i="186"/>
  <c r="P57" i="186"/>
  <c r="O57" i="186"/>
  <c r="P56" i="186"/>
  <c r="O56" i="186"/>
  <c r="P55" i="186"/>
  <c r="O55" i="186"/>
  <c r="P54" i="186"/>
  <c r="O54" i="186"/>
  <c r="P53" i="186"/>
  <c r="O53" i="186"/>
  <c r="P52" i="186"/>
  <c r="O52" i="186"/>
  <c r="P51" i="186"/>
  <c r="O51" i="186"/>
  <c r="P50" i="186"/>
  <c r="O50" i="186"/>
  <c r="P49" i="186"/>
  <c r="O49" i="186"/>
  <c r="P48" i="186"/>
  <c r="O48" i="186"/>
  <c r="P47" i="186"/>
  <c r="O47" i="186"/>
  <c r="P46" i="186"/>
  <c r="O46" i="186"/>
  <c r="P45" i="186"/>
  <c r="O45" i="186"/>
  <c r="P44" i="186"/>
  <c r="O44" i="186"/>
  <c r="P43" i="186"/>
  <c r="O43" i="186"/>
  <c r="P42" i="186"/>
  <c r="O42" i="186"/>
  <c r="P41" i="186"/>
  <c r="O41" i="186"/>
  <c r="P40" i="186"/>
  <c r="O40" i="186"/>
  <c r="P39" i="186"/>
  <c r="O39" i="186"/>
  <c r="P38" i="186"/>
  <c r="O38" i="186"/>
  <c r="P37" i="186"/>
  <c r="O37" i="186"/>
  <c r="P62" i="186"/>
  <c r="O62" i="186"/>
  <c r="P61" i="185"/>
  <c r="O61" i="185"/>
  <c r="P60" i="185"/>
  <c r="O60" i="185"/>
  <c r="P59" i="185"/>
  <c r="O59" i="185"/>
  <c r="P58" i="185"/>
  <c r="O58" i="185"/>
  <c r="P57" i="185"/>
  <c r="O57" i="185"/>
  <c r="P56" i="185"/>
  <c r="O56" i="185"/>
  <c r="P55" i="185"/>
  <c r="O55" i="185"/>
  <c r="P54" i="185"/>
  <c r="O54" i="185"/>
  <c r="P53" i="185"/>
  <c r="O53" i="185"/>
  <c r="P52" i="185"/>
  <c r="O52" i="185"/>
  <c r="P51" i="185"/>
  <c r="O51" i="185"/>
  <c r="P50" i="185"/>
  <c r="O50" i="185"/>
  <c r="P49" i="185"/>
  <c r="O49" i="185"/>
  <c r="P48" i="185"/>
  <c r="O48" i="185"/>
  <c r="P47" i="185"/>
  <c r="O47" i="185"/>
  <c r="P46" i="185"/>
  <c r="O46" i="185"/>
  <c r="P45" i="185"/>
  <c r="O45" i="185"/>
  <c r="P44" i="185"/>
  <c r="O44" i="185"/>
  <c r="P43" i="185"/>
  <c r="O43" i="185"/>
  <c r="P42" i="185"/>
  <c r="O42" i="185"/>
  <c r="P41" i="185"/>
  <c r="O41" i="185"/>
  <c r="P40" i="185"/>
  <c r="O40" i="185"/>
  <c r="P39" i="185"/>
  <c r="O39" i="185"/>
  <c r="P38" i="185"/>
  <c r="O38" i="185"/>
  <c r="P37" i="185"/>
  <c r="O37" i="185"/>
  <c r="P62" i="185"/>
  <c r="O62" i="185"/>
  <c r="P64" i="180"/>
  <c r="O64" i="180"/>
  <c r="P63" i="180"/>
  <c r="O63" i="180"/>
  <c r="P62" i="180"/>
  <c r="O62" i="180"/>
  <c r="P61" i="180"/>
  <c r="O61" i="180"/>
  <c r="P60" i="180"/>
  <c r="O60" i="180"/>
  <c r="P59" i="180"/>
  <c r="O59" i="180"/>
  <c r="P58" i="180"/>
  <c r="O58" i="180"/>
  <c r="P57" i="180"/>
  <c r="O57" i="180"/>
  <c r="P56" i="180"/>
  <c r="O56" i="180"/>
  <c r="P55" i="180"/>
  <c r="O55" i="180"/>
  <c r="P54" i="180"/>
  <c r="O54" i="180"/>
  <c r="P53" i="180"/>
  <c r="O53" i="180"/>
  <c r="P52" i="180"/>
  <c r="O52" i="180"/>
  <c r="P51" i="180"/>
  <c r="O51" i="180"/>
  <c r="P50" i="180"/>
  <c r="O50" i="180"/>
  <c r="P49" i="180"/>
  <c r="O49" i="180"/>
  <c r="P48" i="180"/>
  <c r="O48" i="180"/>
  <c r="P47" i="180"/>
  <c r="O47" i="180"/>
  <c r="P46" i="180"/>
  <c r="O46" i="180"/>
  <c r="P45" i="180"/>
  <c r="O45" i="180"/>
  <c r="P44" i="180"/>
  <c r="O44" i="180"/>
  <c r="P43" i="180"/>
  <c r="O43" i="180"/>
  <c r="P42" i="180"/>
  <c r="O42" i="180"/>
  <c r="P41" i="180"/>
  <c r="O41" i="180"/>
  <c r="P40" i="180"/>
  <c r="O40" i="180"/>
  <c r="P65" i="180"/>
  <c r="O65" i="180"/>
  <c r="P80" i="178"/>
  <c r="O80" i="178"/>
  <c r="P79" i="178"/>
  <c r="O79" i="178"/>
  <c r="P78" i="178"/>
  <c r="O78" i="178"/>
  <c r="P77" i="178"/>
  <c r="O77" i="178"/>
  <c r="P76" i="178"/>
  <c r="O76" i="178"/>
  <c r="P75" i="178"/>
  <c r="O75" i="178"/>
  <c r="P74" i="178"/>
  <c r="O74" i="178"/>
  <c r="P73" i="178"/>
  <c r="O73" i="178"/>
  <c r="P72" i="178"/>
  <c r="O72" i="178"/>
  <c r="P71" i="178"/>
  <c r="O71" i="178"/>
  <c r="P70" i="178"/>
  <c r="O70" i="178"/>
  <c r="P69" i="178"/>
  <c r="O69" i="178"/>
  <c r="P68" i="178"/>
  <c r="O68" i="178"/>
  <c r="P67" i="178"/>
  <c r="O67" i="178"/>
  <c r="P66" i="178"/>
  <c r="O66" i="178"/>
  <c r="P65" i="178"/>
  <c r="O65" i="178"/>
  <c r="P64" i="178"/>
  <c r="O64" i="178"/>
  <c r="P63" i="178"/>
  <c r="O63" i="178"/>
  <c r="P62" i="178"/>
  <c r="O62" i="178"/>
  <c r="P61" i="178"/>
  <c r="O61" i="178"/>
  <c r="P60" i="178"/>
  <c r="O60" i="178"/>
  <c r="P59" i="178"/>
  <c r="O59" i="178"/>
  <c r="P58" i="178"/>
  <c r="O58" i="178"/>
  <c r="P57" i="178"/>
  <c r="O57" i="178"/>
  <c r="P56" i="178"/>
  <c r="O56" i="178"/>
  <c r="P81" i="178"/>
  <c r="O81" i="178"/>
  <c r="P64" i="177"/>
  <c r="O64" i="177"/>
  <c r="P63" i="177"/>
  <c r="O63" i="177"/>
  <c r="P62" i="177"/>
  <c r="O62" i="177"/>
  <c r="P61" i="177"/>
  <c r="O61" i="177"/>
  <c r="P60" i="177"/>
  <c r="O60" i="177"/>
  <c r="P59" i="177"/>
  <c r="O59" i="177"/>
  <c r="P58" i="177"/>
  <c r="O58" i="177"/>
  <c r="P57" i="177"/>
  <c r="O57" i="177"/>
  <c r="P56" i="177"/>
  <c r="O56" i="177"/>
  <c r="P55" i="177"/>
  <c r="O55" i="177"/>
  <c r="P54" i="177"/>
  <c r="O54" i="177"/>
  <c r="P53" i="177"/>
  <c r="O53" i="177"/>
  <c r="P52" i="177"/>
  <c r="O52" i="177"/>
  <c r="P51" i="177"/>
  <c r="O51" i="177"/>
  <c r="P50" i="177"/>
  <c r="O50" i="177"/>
  <c r="P49" i="177"/>
  <c r="O49" i="177"/>
  <c r="P48" i="177"/>
  <c r="O48" i="177"/>
  <c r="P47" i="177"/>
  <c r="O47" i="177"/>
  <c r="P46" i="177"/>
  <c r="O46" i="177"/>
  <c r="P45" i="177"/>
  <c r="O45" i="177"/>
  <c r="P44" i="177"/>
  <c r="O44" i="177"/>
  <c r="P43" i="177"/>
  <c r="O43" i="177"/>
  <c r="P42" i="177"/>
  <c r="O42" i="177"/>
  <c r="P41" i="177"/>
  <c r="O41" i="177"/>
  <c r="P40" i="177"/>
  <c r="O40" i="177"/>
  <c r="P65" i="177"/>
  <c r="O65" i="177"/>
  <c r="P64" i="176"/>
  <c r="O64" i="176"/>
  <c r="P63" i="176"/>
  <c r="O63" i="176"/>
  <c r="P62" i="176"/>
  <c r="O62" i="176"/>
  <c r="P61" i="176"/>
  <c r="O61" i="176"/>
  <c r="P60" i="176"/>
  <c r="O60" i="176"/>
  <c r="P59" i="176"/>
  <c r="O59" i="176"/>
  <c r="P58" i="176"/>
  <c r="O58" i="176"/>
  <c r="P57" i="176"/>
  <c r="O57" i="176"/>
  <c r="P56" i="176"/>
  <c r="O56" i="176"/>
  <c r="P55" i="176"/>
  <c r="O55" i="176"/>
  <c r="P54" i="176"/>
  <c r="O54" i="176"/>
  <c r="P53" i="176"/>
  <c r="O53" i="176"/>
  <c r="P52" i="176"/>
  <c r="O52" i="176"/>
  <c r="P51" i="176"/>
  <c r="O51" i="176"/>
  <c r="P50" i="176"/>
  <c r="O50" i="176"/>
  <c r="P49" i="176"/>
  <c r="O49" i="176"/>
  <c r="P48" i="176"/>
  <c r="O48" i="176"/>
  <c r="P47" i="176"/>
  <c r="O47" i="176"/>
  <c r="P46" i="176"/>
  <c r="O46" i="176"/>
  <c r="P45" i="176"/>
  <c r="O45" i="176"/>
  <c r="P44" i="176"/>
  <c r="O44" i="176"/>
  <c r="P43" i="176"/>
  <c r="O43" i="176"/>
  <c r="P42" i="176"/>
  <c r="O42" i="176"/>
  <c r="P41" i="176"/>
  <c r="O41" i="176"/>
  <c r="P40" i="176"/>
  <c r="O40" i="176"/>
  <c r="P65" i="176"/>
  <c r="O65" i="176"/>
  <c r="P64" i="175"/>
  <c r="O64" i="175"/>
  <c r="P63" i="175"/>
  <c r="O63" i="175"/>
  <c r="P62" i="175"/>
  <c r="O62" i="175"/>
  <c r="P61" i="175"/>
  <c r="O61" i="175"/>
  <c r="P60" i="175"/>
  <c r="O60" i="175"/>
  <c r="P59" i="175"/>
  <c r="O59" i="175"/>
  <c r="P58" i="175"/>
  <c r="O58" i="175"/>
  <c r="P57" i="175"/>
  <c r="O57" i="175"/>
  <c r="P56" i="175"/>
  <c r="O56" i="175"/>
  <c r="P55" i="175"/>
  <c r="O55" i="175"/>
  <c r="P54" i="175"/>
  <c r="O54" i="175"/>
  <c r="P53" i="175"/>
  <c r="O53" i="175"/>
  <c r="P52" i="175"/>
  <c r="O52" i="175"/>
  <c r="P51" i="175"/>
  <c r="O51" i="175"/>
  <c r="P50" i="175"/>
  <c r="O50" i="175"/>
  <c r="P49" i="175"/>
  <c r="O49" i="175"/>
  <c r="P48" i="175"/>
  <c r="O48" i="175"/>
  <c r="P47" i="175"/>
  <c r="O47" i="175"/>
  <c r="P46" i="175"/>
  <c r="O46" i="175"/>
  <c r="P45" i="175"/>
  <c r="O45" i="175"/>
  <c r="P44" i="175"/>
  <c r="O44" i="175"/>
  <c r="P43" i="175"/>
  <c r="O43" i="175"/>
  <c r="P42" i="175"/>
  <c r="O42" i="175"/>
  <c r="P41" i="175"/>
  <c r="O41" i="175"/>
  <c r="P40" i="175"/>
  <c r="O40" i="175"/>
  <c r="P65" i="175"/>
  <c r="O65" i="175"/>
  <c r="P64" i="174"/>
  <c r="O64" i="174"/>
  <c r="P63" i="174"/>
  <c r="O63" i="174"/>
  <c r="P62" i="174"/>
  <c r="O62" i="174"/>
  <c r="P61" i="174"/>
  <c r="O61" i="174"/>
  <c r="P60" i="174"/>
  <c r="O60" i="174"/>
  <c r="P59" i="174"/>
  <c r="O59" i="174"/>
  <c r="P58" i="174"/>
  <c r="O58" i="174"/>
  <c r="P57" i="174"/>
  <c r="O57" i="174"/>
  <c r="P56" i="174"/>
  <c r="O56" i="174"/>
  <c r="P55" i="174"/>
  <c r="O55" i="174"/>
  <c r="P54" i="174"/>
  <c r="O54" i="174"/>
  <c r="P53" i="174"/>
  <c r="O53" i="174"/>
  <c r="P52" i="174"/>
  <c r="O52" i="174"/>
  <c r="P51" i="174"/>
  <c r="O51" i="174"/>
  <c r="P50" i="174"/>
  <c r="O50" i="174"/>
  <c r="P49" i="174"/>
  <c r="O49" i="174"/>
  <c r="P48" i="174"/>
  <c r="O48" i="174"/>
  <c r="P47" i="174"/>
  <c r="O47" i="174"/>
  <c r="P46" i="174"/>
  <c r="O46" i="174"/>
  <c r="P45" i="174"/>
  <c r="O45" i="174"/>
  <c r="P44" i="174"/>
  <c r="O44" i="174"/>
  <c r="P43" i="174"/>
  <c r="O43" i="174"/>
  <c r="P42" i="174"/>
  <c r="O42" i="174"/>
  <c r="P41" i="174"/>
  <c r="O41" i="174"/>
  <c r="P40" i="174"/>
  <c r="O40" i="174"/>
  <c r="P65" i="174"/>
  <c r="O65" i="174"/>
  <c r="P68" i="179"/>
  <c r="O68" i="179"/>
  <c r="P67" i="179"/>
  <c r="O67" i="179"/>
  <c r="P66" i="179"/>
  <c r="O66" i="179"/>
  <c r="P65" i="179"/>
  <c r="O65" i="179"/>
  <c r="P64" i="179"/>
  <c r="O64" i="179"/>
  <c r="P63" i="179"/>
  <c r="O63" i="179"/>
  <c r="P62" i="179"/>
  <c r="O62" i="179"/>
  <c r="P61" i="179"/>
  <c r="O61" i="179"/>
  <c r="P60" i="179"/>
  <c r="O60" i="179"/>
  <c r="P59" i="179"/>
  <c r="O59" i="179"/>
  <c r="P58" i="179"/>
  <c r="O58" i="179"/>
  <c r="P57" i="179"/>
  <c r="O57" i="179"/>
  <c r="P56" i="179"/>
  <c r="O56" i="179"/>
  <c r="P55" i="179"/>
  <c r="O55" i="179"/>
  <c r="P54" i="179"/>
  <c r="O54" i="179"/>
  <c r="P53" i="179"/>
  <c r="O53" i="179"/>
  <c r="P52" i="179"/>
  <c r="O52" i="179"/>
  <c r="P51" i="179"/>
  <c r="O51" i="179"/>
  <c r="P50" i="179"/>
  <c r="O50" i="179"/>
  <c r="P49" i="179"/>
  <c r="O49" i="179"/>
  <c r="P48" i="179"/>
  <c r="O48" i="179"/>
  <c r="P47" i="179"/>
  <c r="O47" i="179"/>
  <c r="P46" i="179"/>
  <c r="O46" i="179"/>
  <c r="P45" i="179"/>
  <c r="O45" i="179"/>
  <c r="P44" i="179"/>
  <c r="O44" i="179"/>
  <c r="P69" i="179"/>
  <c r="O69" i="179"/>
  <c r="P70" i="209"/>
  <c r="O70" i="209"/>
  <c r="P69" i="209"/>
  <c r="O69" i="209"/>
  <c r="P68" i="209"/>
  <c r="O68" i="209"/>
  <c r="P67" i="209"/>
  <c r="O67" i="209"/>
  <c r="P66" i="209"/>
  <c r="O66" i="209"/>
  <c r="P65" i="209"/>
  <c r="O65" i="209"/>
  <c r="P64" i="209"/>
  <c r="O64" i="209"/>
  <c r="P63" i="209"/>
  <c r="O63" i="209"/>
  <c r="P62" i="209"/>
  <c r="O62" i="209"/>
  <c r="P61" i="209"/>
  <c r="O61" i="209"/>
  <c r="P60" i="209"/>
  <c r="O60" i="209"/>
  <c r="P59" i="209"/>
  <c r="O59" i="209"/>
  <c r="P58" i="209"/>
  <c r="O58" i="209"/>
  <c r="P57" i="209"/>
  <c r="O57" i="209"/>
  <c r="P56" i="209"/>
  <c r="O56" i="209"/>
  <c r="P55" i="209"/>
  <c r="O55" i="209"/>
  <c r="P54" i="209"/>
  <c r="O54" i="209"/>
  <c r="P53" i="209"/>
  <c r="O53" i="209"/>
  <c r="P52" i="209"/>
  <c r="O52" i="209"/>
  <c r="P51" i="209"/>
  <c r="O51" i="209"/>
  <c r="P50" i="209"/>
  <c r="O50" i="209"/>
  <c r="P49" i="209"/>
  <c r="O49" i="209"/>
  <c r="P48" i="209"/>
  <c r="O48" i="209"/>
  <c r="P47" i="209"/>
  <c r="O47" i="209"/>
  <c r="P46" i="209"/>
  <c r="O46" i="209"/>
  <c r="P71" i="209"/>
  <c r="O71" i="209"/>
  <c r="P178" i="210"/>
  <c r="O178" i="210"/>
  <c r="P177" i="210"/>
  <c r="O177" i="210"/>
  <c r="P176" i="210"/>
  <c r="O176" i="210"/>
  <c r="P175" i="210"/>
  <c r="O175" i="210"/>
  <c r="P174" i="210"/>
  <c r="O174" i="210"/>
  <c r="P173" i="210"/>
  <c r="O173" i="210"/>
  <c r="P172" i="210"/>
  <c r="O172" i="210"/>
  <c r="P171" i="210"/>
  <c r="O171" i="210"/>
  <c r="P170" i="210"/>
  <c r="O170" i="210"/>
  <c r="P169" i="210"/>
  <c r="O169" i="210"/>
  <c r="P168" i="210"/>
  <c r="O168" i="210"/>
  <c r="P167" i="210"/>
  <c r="O167" i="210"/>
  <c r="P166" i="210"/>
  <c r="O166" i="210"/>
  <c r="P165" i="210"/>
  <c r="O165" i="210"/>
  <c r="P164" i="210"/>
  <c r="O164" i="210"/>
  <c r="P163" i="210"/>
  <c r="O163" i="210"/>
  <c r="P162" i="210"/>
  <c r="O162" i="210"/>
  <c r="P161" i="210"/>
  <c r="O161" i="210"/>
  <c r="P160" i="210"/>
  <c r="O160" i="210"/>
  <c r="P159" i="210"/>
  <c r="O159" i="210"/>
  <c r="P158" i="210"/>
  <c r="O158" i="210"/>
  <c r="P157" i="210"/>
  <c r="O157" i="210"/>
  <c r="P156" i="210"/>
  <c r="O156" i="210"/>
  <c r="P155" i="210"/>
  <c r="O155" i="210"/>
  <c r="P154" i="210"/>
  <c r="O154" i="210"/>
  <c r="P179" i="210"/>
  <c r="O179" i="210"/>
  <c r="P64" i="208"/>
  <c r="O64" i="208"/>
  <c r="P63" i="208"/>
  <c r="O63" i="208"/>
  <c r="P62" i="208"/>
  <c r="O62" i="208"/>
  <c r="P61" i="208"/>
  <c r="O61" i="208"/>
  <c r="P60" i="208"/>
  <c r="O60" i="208"/>
  <c r="P59" i="208"/>
  <c r="O59" i="208"/>
  <c r="P58" i="208"/>
  <c r="O58" i="208"/>
  <c r="P57" i="208"/>
  <c r="O57" i="208"/>
  <c r="P56" i="208"/>
  <c r="O56" i="208"/>
  <c r="P55" i="208"/>
  <c r="O55" i="208"/>
  <c r="P54" i="208"/>
  <c r="O54" i="208"/>
  <c r="P53" i="208"/>
  <c r="O53" i="208"/>
  <c r="P52" i="208"/>
  <c r="O52" i="208"/>
  <c r="P51" i="208"/>
  <c r="O51" i="208"/>
  <c r="P50" i="208"/>
  <c r="O50" i="208"/>
  <c r="P49" i="208"/>
  <c r="O49" i="208"/>
  <c r="P48" i="208"/>
  <c r="O48" i="208"/>
  <c r="P47" i="208"/>
  <c r="O47" i="208"/>
  <c r="P46" i="208"/>
  <c r="O46" i="208"/>
  <c r="P45" i="208"/>
  <c r="O45" i="208"/>
  <c r="P44" i="208"/>
  <c r="O44" i="208"/>
  <c r="P43" i="208"/>
  <c r="O43" i="208"/>
  <c r="P42" i="208"/>
  <c r="O42" i="208"/>
  <c r="P41" i="208"/>
  <c r="O41" i="208"/>
  <c r="P40" i="208"/>
  <c r="O40" i="208"/>
  <c r="P65" i="208"/>
  <c r="O65" i="208"/>
  <c r="P132" i="211"/>
  <c r="O132" i="211"/>
  <c r="P131" i="211"/>
  <c r="O131" i="211"/>
  <c r="P130" i="211"/>
  <c r="O130" i="211"/>
  <c r="P129" i="211"/>
  <c r="O129" i="211"/>
  <c r="P128" i="211"/>
  <c r="O128" i="211"/>
  <c r="P127" i="211"/>
  <c r="O127" i="211"/>
  <c r="P126" i="211"/>
  <c r="O126" i="211"/>
  <c r="P125" i="211"/>
  <c r="O125" i="211"/>
  <c r="P124" i="211"/>
  <c r="O124" i="211"/>
  <c r="P123" i="211"/>
  <c r="O123" i="211"/>
  <c r="P122" i="211"/>
  <c r="O122" i="211"/>
  <c r="P121" i="211"/>
  <c r="O121" i="211"/>
  <c r="P120" i="211"/>
  <c r="O120" i="211"/>
  <c r="P119" i="211"/>
  <c r="O119" i="211"/>
  <c r="P118" i="211"/>
  <c r="O118" i="211"/>
  <c r="P117" i="211"/>
  <c r="O117" i="211"/>
  <c r="P116" i="211"/>
  <c r="O116" i="211"/>
  <c r="P115" i="211"/>
  <c r="O115" i="211"/>
  <c r="P114" i="211"/>
  <c r="O114" i="211"/>
  <c r="P113" i="211"/>
  <c r="O113" i="211"/>
  <c r="P112" i="211"/>
  <c r="O112" i="211"/>
  <c r="P111" i="211"/>
  <c r="O111" i="211"/>
  <c r="P110" i="211"/>
  <c r="O110" i="211"/>
  <c r="P109" i="211"/>
  <c r="O109" i="211"/>
  <c r="P108" i="211"/>
  <c r="O108" i="211"/>
  <c r="P133" i="211"/>
  <c r="O133" i="211"/>
  <c r="P62" i="165"/>
  <c r="O62" i="165"/>
  <c r="P61" i="165"/>
  <c r="O61" i="165"/>
  <c r="P60" i="165"/>
  <c r="O60" i="165"/>
  <c r="P59" i="165"/>
  <c r="O59" i="165"/>
  <c r="P58" i="165"/>
  <c r="O58" i="165"/>
  <c r="P57" i="165"/>
  <c r="O57" i="165"/>
  <c r="P56" i="165"/>
  <c r="O56" i="165"/>
  <c r="P55" i="165"/>
  <c r="O55" i="165"/>
  <c r="P54" i="165"/>
  <c r="O54" i="165"/>
  <c r="P53" i="165"/>
  <c r="O53" i="165"/>
  <c r="P52" i="165"/>
  <c r="O52" i="165"/>
  <c r="P51" i="165"/>
  <c r="O51" i="165"/>
  <c r="P50" i="165"/>
  <c r="O50" i="165"/>
  <c r="P49" i="165"/>
  <c r="O49" i="165"/>
  <c r="P48" i="165"/>
  <c r="O48" i="165"/>
  <c r="P47" i="165"/>
  <c r="O47" i="165"/>
  <c r="P46" i="165"/>
  <c r="O46" i="165"/>
  <c r="P45" i="165"/>
  <c r="O45" i="165"/>
  <c r="P44" i="165"/>
  <c r="O44" i="165"/>
  <c r="P43" i="165"/>
  <c r="O43" i="165"/>
  <c r="P42" i="165"/>
  <c r="O42" i="165"/>
  <c r="P41" i="165"/>
  <c r="O41" i="165"/>
  <c r="P40" i="165"/>
  <c r="O40" i="165"/>
  <c r="P39" i="165"/>
  <c r="O39" i="165"/>
  <c r="P38" i="165"/>
  <c r="O38" i="165"/>
  <c r="P63" i="165"/>
  <c r="O63" i="165"/>
  <c r="P62" i="164"/>
  <c r="O62" i="164"/>
  <c r="P61" i="164"/>
  <c r="O61" i="164"/>
  <c r="P60" i="164"/>
  <c r="O60" i="164"/>
  <c r="P59" i="164"/>
  <c r="O59" i="164"/>
  <c r="P58" i="164"/>
  <c r="O58" i="164"/>
  <c r="P57" i="164"/>
  <c r="O57" i="164"/>
  <c r="P56" i="164"/>
  <c r="O56" i="164"/>
  <c r="P55" i="164"/>
  <c r="O55" i="164"/>
  <c r="P54" i="164"/>
  <c r="O54" i="164"/>
  <c r="P53" i="164"/>
  <c r="O53" i="164"/>
  <c r="P52" i="164"/>
  <c r="O52" i="164"/>
  <c r="P51" i="164"/>
  <c r="O51" i="164"/>
  <c r="P50" i="164"/>
  <c r="O50" i="164"/>
  <c r="P49" i="164"/>
  <c r="O49" i="164"/>
  <c r="P48" i="164"/>
  <c r="O48" i="164"/>
  <c r="P47" i="164"/>
  <c r="O47" i="164"/>
  <c r="P46" i="164"/>
  <c r="O46" i="164"/>
  <c r="P45" i="164"/>
  <c r="O45" i="164"/>
  <c r="P44" i="164"/>
  <c r="O44" i="164"/>
  <c r="P43" i="164"/>
  <c r="O43" i="164"/>
  <c r="P42" i="164"/>
  <c r="O42" i="164"/>
  <c r="P41" i="164"/>
  <c r="O41" i="164"/>
  <c r="P40" i="164"/>
  <c r="O40" i="164"/>
  <c r="P39" i="164"/>
  <c r="O39" i="164"/>
  <c r="P38" i="164"/>
  <c r="O38" i="164"/>
  <c r="P63" i="164"/>
  <c r="O63" i="164"/>
  <c r="P62" i="163"/>
  <c r="O62" i="163"/>
  <c r="P61" i="163"/>
  <c r="O61" i="163"/>
  <c r="P60" i="163"/>
  <c r="O60" i="163"/>
  <c r="P59" i="163"/>
  <c r="O59" i="163"/>
  <c r="P58" i="163"/>
  <c r="O58" i="163"/>
  <c r="P57" i="163"/>
  <c r="O57" i="163"/>
  <c r="P56" i="163"/>
  <c r="O56" i="163"/>
  <c r="P55" i="163"/>
  <c r="O55" i="163"/>
  <c r="P54" i="163"/>
  <c r="O54" i="163"/>
  <c r="P53" i="163"/>
  <c r="O53" i="163"/>
  <c r="P52" i="163"/>
  <c r="O52" i="163"/>
  <c r="P51" i="163"/>
  <c r="O51" i="163"/>
  <c r="P50" i="163"/>
  <c r="O50" i="163"/>
  <c r="P49" i="163"/>
  <c r="O49" i="163"/>
  <c r="P48" i="163"/>
  <c r="O48" i="163"/>
  <c r="P47" i="163"/>
  <c r="O47" i="163"/>
  <c r="P46" i="163"/>
  <c r="O46" i="163"/>
  <c r="P45" i="163"/>
  <c r="O45" i="163"/>
  <c r="P44" i="163"/>
  <c r="O44" i="163"/>
  <c r="P43" i="163"/>
  <c r="O43" i="163"/>
  <c r="P42" i="163"/>
  <c r="O42" i="163"/>
  <c r="P41" i="163"/>
  <c r="O41" i="163"/>
  <c r="P40" i="163"/>
  <c r="O40" i="163"/>
  <c r="P39" i="163"/>
  <c r="O39" i="163"/>
  <c r="P38" i="163"/>
  <c r="O38" i="163"/>
  <c r="P63" i="163"/>
  <c r="O63" i="163"/>
  <c r="P62" i="160"/>
  <c r="O62" i="160"/>
  <c r="P61" i="160"/>
  <c r="O61" i="160"/>
  <c r="P60" i="160"/>
  <c r="O60" i="160"/>
  <c r="P59" i="160"/>
  <c r="O59" i="160"/>
  <c r="P58" i="160"/>
  <c r="O58" i="160"/>
  <c r="P57" i="160"/>
  <c r="O57" i="160"/>
  <c r="P56" i="160"/>
  <c r="O56" i="160"/>
  <c r="P55" i="160"/>
  <c r="O55" i="160"/>
  <c r="P54" i="160"/>
  <c r="O54" i="160"/>
  <c r="P53" i="160"/>
  <c r="O53" i="160"/>
  <c r="P52" i="160"/>
  <c r="O52" i="160"/>
  <c r="P51" i="160"/>
  <c r="O51" i="160"/>
  <c r="P50" i="160"/>
  <c r="O50" i="160"/>
  <c r="P49" i="160"/>
  <c r="O49" i="160"/>
  <c r="P48" i="160"/>
  <c r="O48" i="160"/>
  <c r="P47" i="160"/>
  <c r="O47" i="160"/>
  <c r="P46" i="160"/>
  <c r="O46" i="160"/>
  <c r="P45" i="160"/>
  <c r="O45" i="160"/>
  <c r="P44" i="160"/>
  <c r="O44" i="160"/>
  <c r="P43" i="160"/>
  <c r="O43" i="160"/>
  <c r="P42" i="160"/>
  <c r="O42" i="160"/>
  <c r="P41" i="160"/>
  <c r="O41" i="160"/>
  <c r="P40" i="160"/>
  <c r="O40" i="160"/>
  <c r="P39" i="160"/>
  <c r="O39" i="160"/>
  <c r="P38" i="160"/>
  <c r="O38" i="160"/>
  <c r="P63" i="160"/>
  <c r="O63" i="160"/>
  <c r="P62" i="159"/>
  <c r="O62" i="159"/>
  <c r="P61" i="159"/>
  <c r="O61" i="159"/>
  <c r="P60" i="159"/>
  <c r="O60" i="159"/>
  <c r="P59" i="159"/>
  <c r="O59" i="159"/>
  <c r="P58" i="159"/>
  <c r="O58" i="159"/>
  <c r="P57" i="159"/>
  <c r="O57" i="159"/>
  <c r="P56" i="159"/>
  <c r="O56" i="159"/>
  <c r="P55" i="159"/>
  <c r="O55" i="159"/>
  <c r="P54" i="159"/>
  <c r="O54" i="159"/>
  <c r="P53" i="159"/>
  <c r="O53" i="159"/>
  <c r="P52" i="159"/>
  <c r="O52" i="159"/>
  <c r="P51" i="159"/>
  <c r="O51" i="159"/>
  <c r="P50" i="159"/>
  <c r="O50" i="159"/>
  <c r="P49" i="159"/>
  <c r="O49" i="159"/>
  <c r="P48" i="159"/>
  <c r="O48" i="159"/>
  <c r="P47" i="159"/>
  <c r="O47" i="159"/>
  <c r="P46" i="159"/>
  <c r="O46" i="159"/>
  <c r="P45" i="159"/>
  <c r="O45" i="159"/>
  <c r="P44" i="159"/>
  <c r="O44" i="159"/>
  <c r="P43" i="159"/>
  <c r="O43" i="159"/>
  <c r="P42" i="159"/>
  <c r="O42" i="159"/>
  <c r="P41" i="159"/>
  <c r="O41" i="159"/>
  <c r="P40" i="159"/>
  <c r="O40" i="159"/>
  <c r="P39" i="159"/>
  <c r="O39" i="159"/>
  <c r="P38" i="159"/>
  <c r="O38" i="159"/>
  <c r="P63" i="159"/>
  <c r="O63" i="159"/>
  <c r="P62" i="199"/>
  <c r="O62" i="199"/>
  <c r="P61" i="199"/>
  <c r="O61" i="199"/>
  <c r="P60" i="199"/>
  <c r="O60" i="199"/>
  <c r="P59" i="199"/>
  <c r="O59" i="199"/>
  <c r="P58" i="199"/>
  <c r="O58" i="199"/>
  <c r="P57" i="199"/>
  <c r="O57" i="199"/>
  <c r="P56" i="199"/>
  <c r="O56" i="199"/>
  <c r="P55" i="199"/>
  <c r="O55" i="199"/>
  <c r="P54" i="199"/>
  <c r="O54" i="199"/>
  <c r="P53" i="199"/>
  <c r="O53" i="199"/>
  <c r="P52" i="199"/>
  <c r="O52" i="199"/>
  <c r="P51" i="199"/>
  <c r="O51" i="199"/>
  <c r="P50" i="199"/>
  <c r="O50" i="199"/>
  <c r="P49" i="199"/>
  <c r="O49" i="199"/>
  <c r="P48" i="199"/>
  <c r="O48" i="199"/>
  <c r="P47" i="199"/>
  <c r="O47" i="199"/>
  <c r="P46" i="199"/>
  <c r="O46" i="199"/>
  <c r="P45" i="199"/>
  <c r="O45" i="199"/>
  <c r="P44" i="199"/>
  <c r="O44" i="199"/>
  <c r="P43" i="199"/>
  <c r="O43" i="199"/>
  <c r="P42" i="199"/>
  <c r="O42" i="199"/>
  <c r="P41" i="199"/>
  <c r="O41" i="199"/>
  <c r="P40" i="199"/>
  <c r="O40" i="199"/>
  <c r="P39" i="199"/>
  <c r="O39" i="199"/>
  <c r="P38" i="199"/>
  <c r="O38" i="199"/>
  <c r="P63" i="199"/>
  <c r="O63" i="199"/>
  <c r="P62" i="198"/>
  <c r="O62" i="198"/>
  <c r="P61" i="198"/>
  <c r="O61" i="198"/>
  <c r="P60" i="198"/>
  <c r="O60" i="198"/>
  <c r="P59" i="198"/>
  <c r="O59" i="198"/>
  <c r="P58" i="198"/>
  <c r="O58" i="198"/>
  <c r="P57" i="198"/>
  <c r="O57" i="198"/>
  <c r="P56" i="198"/>
  <c r="O56" i="198"/>
  <c r="P55" i="198"/>
  <c r="O55" i="198"/>
  <c r="P54" i="198"/>
  <c r="O54" i="198"/>
  <c r="P53" i="198"/>
  <c r="O53" i="198"/>
  <c r="P52" i="198"/>
  <c r="O52" i="198"/>
  <c r="P51" i="198"/>
  <c r="O51" i="198"/>
  <c r="P50" i="198"/>
  <c r="O50" i="198"/>
  <c r="P49" i="198"/>
  <c r="O49" i="198"/>
  <c r="P48" i="198"/>
  <c r="O48" i="198"/>
  <c r="P47" i="198"/>
  <c r="O47" i="198"/>
  <c r="P46" i="198"/>
  <c r="O46" i="198"/>
  <c r="P45" i="198"/>
  <c r="O45" i="198"/>
  <c r="P44" i="198"/>
  <c r="O44" i="198"/>
  <c r="P43" i="198"/>
  <c r="O43" i="198"/>
  <c r="P42" i="198"/>
  <c r="O42" i="198"/>
  <c r="P41" i="198"/>
  <c r="O41" i="198"/>
  <c r="P40" i="198"/>
  <c r="O40" i="198"/>
  <c r="P39" i="198"/>
  <c r="O39" i="198"/>
  <c r="P38" i="198"/>
  <c r="O38" i="198"/>
  <c r="P63" i="198"/>
  <c r="O63" i="198"/>
  <c r="P80" i="197"/>
  <c r="O80" i="197"/>
  <c r="P79" i="197"/>
  <c r="O79" i="197"/>
  <c r="P78" i="197"/>
  <c r="O78" i="197"/>
  <c r="P77" i="197"/>
  <c r="O77" i="197"/>
  <c r="P76" i="197"/>
  <c r="O76" i="197"/>
  <c r="P75" i="197"/>
  <c r="O75" i="197"/>
  <c r="P74" i="197"/>
  <c r="O74" i="197"/>
  <c r="P73" i="197"/>
  <c r="O73" i="197"/>
  <c r="P72" i="197"/>
  <c r="O72" i="197"/>
  <c r="P71" i="197"/>
  <c r="O71" i="197"/>
  <c r="P70" i="197"/>
  <c r="O70" i="197"/>
  <c r="P69" i="197"/>
  <c r="O69" i="197"/>
  <c r="P68" i="197"/>
  <c r="O68" i="197"/>
  <c r="P67" i="197"/>
  <c r="O67" i="197"/>
  <c r="P66" i="197"/>
  <c r="O66" i="197"/>
  <c r="P65" i="197"/>
  <c r="O65" i="197"/>
  <c r="P64" i="197"/>
  <c r="O64" i="197"/>
  <c r="P63" i="197"/>
  <c r="O63" i="197"/>
  <c r="P62" i="197"/>
  <c r="O62" i="197"/>
  <c r="P61" i="197"/>
  <c r="O61" i="197"/>
  <c r="P60" i="197"/>
  <c r="O60" i="197"/>
  <c r="P59" i="197"/>
  <c r="O59" i="197"/>
  <c r="P58" i="197"/>
  <c r="O58" i="197"/>
  <c r="P57" i="197"/>
  <c r="O57" i="197"/>
  <c r="P56" i="197"/>
  <c r="O56" i="197"/>
  <c r="P81" i="197"/>
  <c r="O81" i="197"/>
  <c r="P62" i="196"/>
  <c r="O62" i="196"/>
  <c r="P61" i="196"/>
  <c r="O61" i="196"/>
  <c r="P60" i="196"/>
  <c r="O60" i="196"/>
  <c r="P59" i="196"/>
  <c r="O59" i="196"/>
  <c r="P58" i="196"/>
  <c r="O58" i="196"/>
  <c r="P57" i="196"/>
  <c r="O57" i="196"/>
  <c r="P56" i="196"/>
  <c r="O56" i="196"/>
  <c r="P55" i="196"/>
  <c r="O55" i="196"/>
  <c r="P54" i="196"/>
  <c r="O54" i="196"/>
  <c r="P53" i="196"/>
  <c r="O53" i="196"/>
  <c r="P52" i="196"/>
  <c r="O52" i="196"/>
  <c r="P51" i="196"/>
  <c r="O51" i="196"/>
  <c r="P50" i="196"/>
  <c r="O50" i="196"/>
  <c r="P49" i="196"/>
  <c r="O49" i="196"/>
  <c r="P48" i="196"/>
  <c r="O48" i="196"/>
  <c r="P47" i="196"/>
  <c r="O47" i="196"/>
  <c r="P46" i="196"/>
  <c r="O46" i="196"/>
  <c r="P45" i="196"/>
  <c r="O45" i="196"/>
  <c r="P44" i="196"/>
  <c r="O44" i="196"/>
  <c r="P43" i="196"/>
  <c r="O43" i="196"/>
  <c r="P42" i="196"/>
  <c r="O42" i="196"/>
  <c r="P41" i="196"/>
  <c r="O41" i="196"/>
  <c r="P40" i="196"/>
  <c r="O40" i="196"/>
  <c r="P39" i="196"/>
  <c r="O39" i="196"/>
  <c r="P38" i="196"/>
  <c r="O38" i="196"/>
  <c r="P63" i="196"/>
  <c r="O63" i="196"/>
  <c r="P62" i="191"/>
  <c r="O62" i="191"/>
  <c r="P61" i="191"/>
  <c r="O61" i="191"/>
  <c r="P60" i="191"/>
  <c r="O60" i="191"/>
  <c r="P59" i="191"/>
  <c r="O59" i="191"/>
  <c r="P58" i="191"/>
  <c r="O58" i="191"/>
  <c r="P57" i="191"/>
  <c r="O57" i="191"/>
  <c r="P56" i="191"/>
  <c r="O56" i="191"/>
  <c r="P55" i="191"/>
  <c r="O55" i="191"/>
  <c r="P54" i="191"/>
  <c r="O54" i="191"/>
  <c r="P53" i="191"/>
  <c r="O53" i="191"/>
  <c r="P52" i="191"/>
  <c r="O52" i="191"/>
  <c r="P51" i="191"/>
  <c r="O51" i="191"/>
  <c r="P50" i="191"/>
  <c r="O50" i="191"/>
  <c r="P49" i="191"/>
  <c r="O49" i="191"/>
  <c r="P48" i="191"/>
  <c r="O48" i="191"/>
  <c r="P47" i="191"/>
  <c r="O47" i="191"/>
  <c r="P46" i="191"/>
  <c r="O46" i="191"/>
  <c r="P45" i="191"/>
  <c r="O45" i="191"/>
  <c r="P44" i="191"/>
  <c r="O44" i="191"/>
  <c r="P43" i="191"/>
  <c r="O43" i="191"/>
  <c r="P42" i="191"/>
  <c r="O42" i="191"/>
  <c r="P41" i="191"/>
  <c r="O41" i="191"/>
  <c r="P40" i="191"/>
  <c r="O40" i="191"/>
  <c r="P39" i="191"/>
  <c r="O39" i="191"/>
  <c r="P38" i="191"/>
  <c r="O38" i="191"/>
  <c r="P63" i="191"/>
  <c r="O63" i="191"/>
  <c r="P62" i="204"/>
  <c r="O62" i="204"/>
  <c r="P61" i="204"/>
  <c r="O61" i="204"/>
  <c r="P60" i="204"/>
  <c r="O60" i="204"/>
  <c r="P59" i="204"/>
  <c r="O59" i="204"/>
  <c r="P58" i="204"/>
  <c r="O58" i="204"/>
  <c r="P57" i="204"/>
  <c r="O57" i="204"/>
  <c r="P56" i="204"/>
  <c r="O56" i="204"/>
  <c r="P55" i="204"/>
  <c r="O55" i="204"/>
  <c r="P54" i="204"/>
  <c r="O54" i="204"/>
  <c r="P53" i="204"/>
  <c r="O53" i="204"/>
  <c r="P52" i="204"/>
  <c r="O52" i="204"/>
  <c r="P51" i="204"/>
  <c r="O51" i="204"/>
  <c r="P50" i="204"/>
  <c r="O50" i="204"/>
  <c r="P49" i="204"/>
  <c r="O49" i="204"/>
  <c r="P48" i="204"/>
  <c r="O48" i="204"/>
  <c r="P47" i="204"/>
  <c r="O47" i="204"/>
  <c r="P46" i="204"/>
  <c r="O46" i="204"/>
  <c r="P45" i="204"/>
  <c r="O45" i="204"/>
  <c r="P44" i="204"/>
  <c r="O44" i="204"/>
  <c r="P43" i="204"/>
  <c r="O43" i="204"/>
  <c r="P42" i="204"/>
  <c r="O42" i="204"/>
  <c r="P41" i="204"/>
  <c r="O41" i="204"/>
  <c r="P40" i="204"/>
  <c r="O40" i="204"/>
  <c r="P39" i="204"/>
  <c r="O39" i="204"/>
  <c r="P38" i="204"/>
  <c r="O38" i="204"/>
  <c r="P63" i="204"/>
  <c r="O63" i="204"/>
  <c r="P62" i="203"/>
  <c r="O62" i="203"/>
  <c r="P61" i="203"/>
  <c r="O61" i="203"/>
  <c r="P60" i="203"/>
  <c r="O60" i="203"/>
  <c r="P59" i="203"/>
  <c r="O59" i="203"/>
  <c r="P58" i="203"/>
  <c r="O58" i="203"/>
  <c r="P57" i="203"/>
  <c r="O57" i="203"/>
  <c r="P56" i="203"/>
  <c r="O56" i="203"/>
  <c r="P55" i="203"/>
  <c r="O55" i="203"/>
  <c r="P54" i="203"/>
  <c r="O54" i="203"/>
  <c r="P53" i="203"/>
  <c r="O53" i="203"/>
  <c r="P52" i="203"/>
  <c r="O52" i="203"/>
  <c r="P51" i="203"/>
  <c r="O51" i="203"/>
  <c r="P50" i="203"/>
  <c r="O50" i="203"/>
  <c r="P49" i="203"/>
  <c r="O49" i="203"/>
  <c r="P48" i="203"/>
  <c r="O48" i="203"/>
  <c r="P47" i="203"/>
  <c r="O47" i="203"/>
  <c r="P46" i="203"/>
  <c r="O46" i="203"/>
  <c r="P45" i="203"/>
  <c r="O45" i="203"/>
  <c r="P44" i="203"/>
  <c r="O44" i="203"/>
  <c r="P43" i="203"/>
  <c r="O43" i="203"/>
  <c r="P42" i="203"/>
  <c r="O42" i="203"/>
  <c r="P41" i="203"/>
  <c r="O41" i="203"/>
  <c r="P40" i="203"/>
  <c r="O40" i="203"/>
  <c r="P39" i="203"/>
  <c r="O39" i="203"/>
  <c r="P38" i="203"/>
  <c r="O38" i="203"/>
  <c r="P63" i="203"/>
  <c r="O63" i="203"/>
  <c r="P62" i="202"/>
  <c r="O62" i="202"/>
  <c r="P61" i="202"/>
  <c r="O61" i="202"/>
  <c r="P60" i="202"/>
  <c r="O60" i="202"/>
  <c r="P59" i="202"/>
  <c r="O59" i="202"/>
  <c r="P58" i="202"/>
  <c r="O58" i="202"/>
  <c r="P57" i="202"/>
  <c r="O57" i="202"/>
  <c r="P56" i="202"/>
  <c r="O56" i="202"/>
  <c r="P55" i="202"/>
  <c r="O55" i="202"/>
  <c r="P54" i="202"/>
  <c r="O54" i="202"/>
  <c r="P53" i="202"/>
  <c r="O53" i="202"/>
  <c r="P52" i="202"/>
  <c r="O52" i="202"/>
  <c r="P51" i="202"/>
  <c r="O51" i="202"/>
  <c r="P50" i="202"/>
  <c r="O50" i="202"/>
  <c r="P49" i="202"/>
  <c r="O49" i="202"/>
  <c r="P48" i="202"/>
  <c r="O48" i="202"/>
  <c r="P47" i="202"/>
  <c r="O47" i="202"/>
  <c r="P46" i="202"/>
  <c r="O46" i="202"/>
  <c r="P45" i="202"/>
  <c r="O45" i="202"/>
  <c r="P44" i="202"/>
  <c r="O44" i="202"/>
  <c r="P43" i="202"/>
  <c r="O43" i="202"/>
  <c r="P42" i="202"/>
  <c r="O42" i="202"/>
  <c r="P41" i="202"/>
  <c r="O41" i="202"/>
  <c r="P40" i="202"/>
  <c r="O40" i="202"/>
  <c r="P39" i="202"/>
  <c r="O39" i="202"/>
  <c r="P38" i="202"/>
  <c r="O38" i="202"/>
  <c r="P63" i="202"/>
  <c r="O63" i="202"/>
  <c r="P62" i="201"/>
  <c r="O62" i="201"/>
  <c r="P61" i="201"/>
  <c r="O61" i="201"/>
  <c r="P60" i="201"/>
  <c r="O60" i="201"/>
  <c r="P59" i="201"/>
  <c r="O59" i="201"/>
  <c r="P58" i="201"/>
  <c r="O58" i="201"/>
  <c r="P57" i="201"/>
  <c r="O57" i="201"/>
  <c r="P56" i="201"/>
  <c r="O56" i="201"/>
  <c r="P55" i="201"/>
  <c r="O55" i="201"/>
  <c r="P54" i="201"/>
  <c r="O54" i="201"/>
  <c r="P53" i="201"/>
  <c r="O53" i="201"/>
  <c r="P52" i="201"/>
  <c r="O52" i="201"/>
  <c r="P51" i="201"/>
  <c r="O51" i="201"/>
  <c r="P50" i="201"/>
  <c r="O50" i="201"/>
  <c r="P49" i="201"/>
  <c r="O49" i="201"/>
  <c r="P48" i="201"/>
  <c r="O48" i="201"/>
  <c r="P47" i="201"/>
  <c r="O47" i="201"/>
  <c r="P46" i="201"/>
  <c r="O46" i="201"/>
  <c r="P45" i="201"/>
  <c r="O45" i="201"/>
  <c r="P44" i="201"/>
  <c r="O44" i="201"/>
  <c r="P43" i="201"/>
  <c r="O43" i="201"/>
  <c r="P42" i="201"/>
  <c r="O42" i="201"/>
  <c r="P41" i="201"/>
  <c r="O41" i="201"/>
  <c r="P40" i="201"/>
  <c r="O40" i="201"/>
  <c r="P39" i="201"/>
  <c r="O39" i="201"/>
  <c r="P38" i="201"/>
  <c r="O38" i="201"/>
  <c r="P63" i="201"/>
  <c r="O63" i="201"/>
  <c r="P62" i="200"/>
  <c r="O62" i="200"/>
  <c r="P61" i="200"/>
  <c r="O61" i="200"/>
  <c r="P60" i="200"/>
  <c r="O60" i="200"/>
  <c r="P59" i="200"/>
  <c r="O59" i="200"/>
  <c r="P58" i="200"/>
  <c r="O58" i="200"/>
  <c r="P57" i="200"/>
  <c r="O57" i="200"/>
  <c r="P56" i="200"/>
  <c r="O56" i="200"/>
  <c r="P55" i="200"/>
  <c r="O55" i="200"/>
  <c r="P54" i="200"/>
  <c r="O54" i="200"/>
  <c r="P53" i="200"/>
  <c r="O53" i="200"/>
  <c r="P52" i="200"/>
  <c r="O52" i="200"/>
  <c r="P51" i="200"/>
  <c r="O51" i="200"/>
  <c r="P50" i="200"/>
  <c r="O50" i="200"/>
  <c r="P49" i="200"/>
  <c r="O49" i="200"/>
  <c r="P48" i="200"/>
  <c r="O48" i="200"/>
  <c r="P47" i="200"/>
  <c r="O47" i="200"/>
  <c r="P46" i="200"/>
  <c r="O46" i="200"/>
  <c r="P45" i="200"/>
  <c r="O45" i="200"/>
  <c r="P44" i="200"/>
  <c r="O44" i="200"/>
  <c r="P43" i="200"/>
  <c r="O43" i="200"/>
  <c r="P42" i="200"/>
  <c r="O42" i="200"/>
  <c r="P41" i="200"/>
  <c r="O41" i="200"/>
  <c r="P40" i="200"/>
  <c r="O40" i="200"/>
  <c r="P39" i="200"/>
  <c r="O39" i="200"/>
  <c r="P38" i="200"/>
  <c r="O38" i="200"/>
  <c r="P63" i="200"/>
  <c r="O63" i="200"/>
  <c r="P80" i="190"/>
  <c r="O80" i="190"/>
  <c r="P79" i="190"/>
  <c r="O79" i="190"/>
  <c r="P78" i="190"/>
  <c r="O78" i="190"/>
  <c r="P77" i="190"/>
  <c r="O77" i="190"/>
  <c r="P76" i="190"/>
  <c r="O76" i="190"/>
  <c r="P75" i="190"/>
  <c r="O75" i="190"/>
  <c r="P74" i="190"/>
  <c r="O74" i="190"/>
  <c r="P73" i="190"/>
  <c r="O73" i="190"/>
  <c r="P72" i="190"/>
  <c r="O72" i="190"/>
  <c r="P71" i="190"/>
  <c r="O71" i="190"/>
  <c r="P70" i="190"/>
  <c r="O70" i="190"/>
  <c r="P69" i="190"/>
  <c r="O69" i="190"/>
  <c r="P68" i="190"/>
  <c r="O68" i="190"/>
  <c r="P67" i="190"/>
  <c r="O67" i="190"/>
  <c r="P66" i="190"/>
  <c r="O66" i="190"/>
  <c r="P65" i="190"/>
  <c r="O65" i="190"/>
  <c r="P64" i="190"/>
  <c r="O64" i="190"/>
  <c r="P63" i="190"/>
  <c r="O63" i="190"/>
  <c r="P62" i="190"/>
  <c r="O62" i="190"/>
  <c r="P61" i="190"/>
  <c r="O61" i="190"/>
  <c r="P60" i="190"/>
  <c r="O60" i="190"/>
  <c r="P59" i="190"/>
  <c r="O59" i="190"/>
  <c r="P58" i="190"/>
  <c r="O58" i="190"/>
  <c r="P57" i="190"/>
  <c r="O57" i="190"/>
  <c r="P56" i="190"/>
  <c r="O56" i="190"/>
  <c r="P81" i="190"/>
  <c r="O81" i="190"/>
  <c r="P62" i="205"/>
  <c r="O62" i="205"/>
  <c r="P61" i="205"/>
  <c r="O61" i="205"/>
  <c r="P60" i="205"/>
  <c r="O60" i="205"/>
  <c r="P59" i="205"/>
  <c r="O59" i="205"/>
  <c r="P58" i="205"/>
  <c r="O58" i="205"/>
  <c r="P57" i="205"/>
  <c r="O57" i="205"/>
  <c r="P56" i="205"/>
  <c r="O56" i="205"/>
  <c r="P55" i="205"/>
  <c r="O55" i="205"/>
  <c r="P54" i="205"/>
  <c r="O54" i="205"/>
  <c r="P53" i="205"/>
  <c r="O53" i="205"/>
  <c r="P52" i="205"/>
  <c r="O52" i="205"/>
  <c r="P51" i="205"/>
  <c r="O51" i="205"/>
  <c r="P50" i="205"/>
  <c r="O50" i="205"/>
  <c r="P49" i="205"/>
  <c r="O49" i="205"/>
  <c r="P48" i="205"/>
  <c r="O48" i="205"/>
  <c r="P47" i="205"/>
  <c r="O47" i="205"/>
  <c r="P46" i="205"/>
  <c r="O46" i="205"/>
  <c r="P45" i="205"/>
  <c r="O45" i="205"/>
  <c r="P44" i="205"/>
  <c r="O44" i="205"/>
  <c r="P43" i="205"/>
  <c r="O43" i="205"/>
  <c r="P42" i="205"/>
  <c r="O42" i="205"/>
  <c r="P41" i="205"/>
  <c r="O41" i="205"/>
  <c r="P40" i="205"/>
  <c r="O40" i="205"/>
  <c r="P39" i="205"/>
  <c r="O39" i="205"/>
  <c r="P38" i="205"/>
  <c r="O38" i="205"/>
  <c r="P63" i="205"/>
  <c r="O63" i="205"/>
  <c r="P80" i="189"/>
  <c r="O80" i="189"/>
  <c r="P79" i="189"/>
  <c r="O79" i="189"/>
  <c r="P78" i="189"/>
  <c r="O78" i="189"/>
  <c r="P77" i="189"/>
  <c r="O77" i="189"/>
  <c r="P76" i="189"/>
  <c r="O76" i="189"/>
  <c r="P75" i="189"/>
  <c r="O75" i="189"/>
  <c r="P74" i="189"/>
  <c r="O74" i="189"/>
  <c r="P73" i="189"/>
  <c r="O73" i="189"/>
  <c r="P72" i="189"/>
  <c r="O72" i="189"/>
  <c r="P71" i="189"/>
  <c r="O71" i="189"/>
  <c r="P70" i="189"/>
  <c r="O70" i="189"/>
  <c r="P69" i="189"/>
  <c r="O69" i="189"/>
  <c r="P68" i="189"/>
  <c r="O68" i="189"/>
  <c r="P67" i="189"/>
  <c r="O67" i="189"/>
  <c r="P66" i="189"/>
  <c r="O66" i="189"/>
  <c r="P65" i="189"/>
  <c r="O65" i="189"/>
  <c r="P64" i="189"/>
  <c r="O64" i="189"/>
  <c r="P63" i="189"/>
  <c r="O63" i="189"/>
  <c r="P62" i="189"/>
  <c r="O62" i="189"/>
  <c r="P61" i="189"/>
  <c r="O61" i="189"/>
  <c r="P60" i="189"/>
  <c r="O60" i="189"/>
  <c r="P59" i="189"/>
  <c r="O59" i="189"/>
  <c r="P58" i="189"/>
  <c r="O58" i="189"/>
  <c r="P57" i="189"/>
  <c r="O57" i="189"/>
  <c r="P56" i="189"/>
  <c r="O56" i="189"/>
  <c r="P81" i="189"/>
  <c r="O81" i="189"/>
  <c r="P64" i="169"/>
  <c r="O64" i="169"/>
  <c r="P63" i="169"/>
  <c r="O63" i="169"/>
  <c r="P62" i="169"/>
  <c r="O62" i="169"/>
  <c r="P61" i="169"/>
  <c r="O61" i="169"/>
  <c r="P60" i="169"/>
  <c r="O60" i="169"/>
  <c r="P59" i="169"/>
  <c r="O59" i="169"/>
  <c r="P58" i="169"/>
  <c r="O58" i="169"/>
  <c r="P57" i="169"/>
  <c r="O57" i="169"/>
  <c r="P56" i="169"/>
  <c r="O56" i="169"/>
  <c r="P55" i="169"/>
  <c r="O55" i="169"/>
  <c r="P54" i="169"/>
  <c r="O54" i="169"/>
  <c r="P53" i="169"/>
  <c r="O53" i="169"/>
  <c r="P52" i="169"/>
  <c r="O52" i="169"/>
  <c r="P51" i="169"/>
  <c r="O51" i="169"/>
  <c r="P50" i="169"/>
  <c r="O50" i="169"/>
  <c r="P49" i="169"/>
  <c r="O49" i="169"/>
  <c r="P48" i="169"/>
  <c r="O48" i="169"/>
  <c r="P47" i="169"/>
  <c r="O47" i="169"/>
  <c r="P46" i="169"/>
  <c r="O46" i="169"/>
  <c r="P45" i="169"/>
  <c r="O45" i="169"/>
  <c r="P44" i="169"/>
  <c r="O44" i="169"/>
  <c r="P43" i="169"/>
  <c r="O43" i="169"/>
  <c r="P42" i="169"/>
  <c r="O42" i="169"/>
  <c r="P41" i="169"/>
  <c r="O41" i="169"/>
  <c r="P40" i="169"/>
  <c r="O40" i="169"/>
  <c r="P65" i="169"/>
  <c r="O65" i="169"/>
  <c r="P64" i="168"/>
  <c r="O64" i="168"/>
  <c r="P63" i="168"/>
  <c r="O63" i="168"/>
  <c r="P62" i="168"/>
  <c r="O62" i="168"/>
  <c r="P61" i="168"/>
  <c r="O61" i="168"/>
  <c r="P60" i="168"/>
  <c r="O60" i="168"/>
  <c r="P59" i="168"/>
  <c r="O59" i="168"/>
  <c r="P58" i="168"/>
  <c r="O58" i="168"/>
  <c r="P57" i="168"/>
  <c r="O57" i="168"/>
  <c r="P56" i="168"/>
  <c r="O56" i="168"/>
  <c r="P55" i="168"/>
  <c r="O55" i="168"/>
  <c r="P54" i="168"/>
  <c r="O54" i="168"/>
  <c r="P53" i="168"/>
  <c r="O53" i="168"/>
  <c r="P52" i="168"/>
  <c r="O52" i="168"/>
  <c r="P51" i="168"/>
  <c r="O51" i="168"/>
  <c r="P50" i="168"/>
  <c r="O50" i="168"/>
  <c r="P49" i="168"/>
  <c r="O49" i="168"/>
  <c r="P48" i="168"/>
  <c r="O48" i="168"/>
  <c r="P47" i="168"/>
  <c r="O47" i="168"/>
  <c r="P46" i="168"/>
  <c r="O46" i="168"/>
  <c r="P45" i="168"/>
  <c r="O45" i="168"/>
  <c r="P44" i="168"/>
  <c r="O44" i="168"/>
  <c r="P43" i="168"/>
  <c r="O43" i="168"/>
  <c r="P42" i="168"/>
  <c r="O42" i="168"/>
  <c r="P41" i="168"/>
  <c r="O41" i="168"/>
  <c r="P40" i="168"/>
  <c r="O40" i="168"/>
  <c r="P65" i="168"/>
  <c r="O65" i="168"/>
  <c r="P64" i="170"/>
  <c r="O64" i="170"/>
  <c r="P63" i="170"/>
  <c r="O63" i="170"/>
  <c r="P62" i="170"/>
  <c r="O62" i="170"/>
  <c r="P61" i="170"/>
  <c r="O61" i="170"/>
  <c r="P60" i="170"/>
  <c r="O60" i="170"/>
  <c r="P59" i="170"/>
  <c r="O59" i="170"/>
  <c r="P58" i="170"/>
  <c r="O58" i="170"/>
  <c r="P57" i="170"/>
  <c r="O57" i="170"/>
  <c r="P56" i="170"/>
  <c r="O56" i="170"/>
  <c r="P55" i="170"/>
  <c r="O55" i="170"/>
  <c r="P54" i="170"/>
  <c r="O54" i="170"/>
  <c r="P53" i="170"/>
  <c r="O53" i="170"/>
  <c r="P52" i="170"/>
  <c r="O52" i="170"/>
  <c r="P51" i="170"/>
  <c r="O51" i="170"/>
  <c r="P50" i="170"/>
  <c r="O50" i="170"/>
  <c r="P49" i="170"/>
  <c r="O49" i="170"/>
  <c r="P48" i="170"/>
  <c r="O48" i="170"/>
  <c r="P47" i="170"/>
  <c r="O47" i="170"/>
  <c r="P46" i="170"/>
  <c r="O46" i="170"/>
  <c r="P45" i="170"/>
  <c r="O45" i="170"/>
  <c r="P44" i="170"/>
  <c r="O44" i="170"/>
  <c r="P43" i="170"/>
  <c r="O43" i="170"/>
  <c r="P42" i="170"/>
  <c r="O42" i="170"/>
  <c r="P41" i="170"/>
  <c r="O41" i="170"/>
  <c r="P40" i="170"/>
  <c r="O40" i="170"/>
  <c r="P65" i="170"/>
  <c r="O65" i="170"/>
  <c r="P64" i="158"/>
  <c r="O64" i="158"/>
  <c r="P63" i="158"/>
  <c r="O63" i="158"/>
  <c r="P62" i="158"/>
  <c r="O62" i="158"/>
  <c r="P61" i="158"/>
  <c r="O61" i="158"/>
  <c r="P60" i="158"/>
  <c r="O60" i="158"/>
  <c r="P59" i="158"/>
  <c r="O59" i="158"/>
  <c r="P58" i="158"/>
  <c r="O58" i="158"/>
  <c r="P57" i="158"/>
  <c r="O57" i="158"/>
  <c r="P56" i="158"/>
  <c r="O56" i="158"/>
  <c r="P55" i="158"/>
  <c r="O55" i="158"/>
  <c r="P54" i="158"/>
  <c r="O54" i="158"/>
  <c r="P53" i="158"/>
  <c r="O53" i="158"/>
  <c r="P52" i="158"/>
  <c r="O52" i="158"/>
  <c r="P51" i="158"/>
  <c r="O51" i="158"/>
  <c r="P50" i="158"/>
  <c r="O50" i="158"/>
  <c r="P49" i="158"/>
  <c r="O49" i="158"/>
  <c r="P48" i="158"/>
  <c r="O48" i="158"/>
  <c r="P47" i="158"/>
  <c r="O47" i="158"/>
  <c r="P46" i="158"/>
  <c r="O46" i="158"/>
  <c r="P45" i="158"/>
  <c r="O45" i="158"/>
  <c r="P44" i="158"/>
  <c r="O44" i="158"/>
  <c r="P43" i="158"/>
  <c r="O43" i="158"/>
  <c r="P42" i="158"/>
  <c r="O42" i="158"/>
  <c r="P41" i="158"/>
  <c r="O41" i="158"/>
  <c r="P40" i="158"/>
  <c r="O40" i="158"/>
  <c r="P65" i="158"/>
  <c r="O65" i="158"/>
  <c r="P64" i="156"/>
  <c r="O64" i="156"/>
  <c r="P63" i="156"/>
  <c r="O63" i="156"/>
  <c r="P62" i="156"/>
  <c r="O62" i="156"/>
  <c r="P61" i="156"/>
  <c r="O61" i="156"/>
  <c r="P60" i="156"/>
  <c r="O60" i="156"/>
  <c r="P59" i="156"/>
  <c r="O59" i="156"/>
  <c r="P58" i="156"/>
  <c r="O58" i="156"/>
  <c r="P57" i="156"/>
  <c r="O57" i="156"/>
  <c r="P56" i="156"/>
  <c r="O56" i="156"/>
  <c r="P55" i="156"/>
  <c r="O55" i="156"/>
  <c r="P54" i="156"/>
  <c r="O54" i="156"/>
  <c r="P53" i="156"/>
  <c r="O53" i="156"/>
  <c r="P52" i="156"/>
  <c r="O52" i="156"/>
  <c r="P51" i="156"/>
  <c r="O51" i="156"/>
  <c r="P50" i="156"/>
  <c r="O50" i="156"/>
  <c r="P49" i="156"/>
  <c r="O49" i="156"/>
  <c r="P48" i="156"/>
  <c r="O48" i="156"/>
  <c r="P47" i="156"/>
  <c r="O47" i="156"/>
  <c r="P46" i="156"/>
  <c r="O46" i="156"/>
  <c r="P45" i="156"/>
  <c r="O45" i="156"/>
  <c r="P44" i="156"/>
  <c r="O44" i="156"/>
  <c r="P43" i="156"/>
  <c r="O43" i="156"/>
  <c r="P42" i="156"/>
  <c r="O42" i="156"/>
  <c r="P41" i="156"/>
  <c r="O41" i="156"/>
  <c r="P40" i="156"/>
  <c r="O40" i="156"/>
  <c r="P65" i="156"/>
  <c r="O65" i="156"/>
  <c r="P64" i="155"/>
  <c r="O64" i="155"/>
  <c r="P63" i="155"/>
  <c r="O63" i="155"/>
  <c r="P62" i="155"/>
  <c r="O62" i="155"/>
  <c r="P61" i="155"/>
  <c r="O61" i="155"/>
  <c r="P60" i="155"/>
  <c r="O60" i="155"/>
  <c r="P59" i="155"/>
  <c r="O59" i="155"/>
  <c r="P58" i="155"/>
  <c r="O58" i="155"/>
  <c r="P57" i="155"/>
  <c r="O57" i="155"/>
  <c r="P56" i="155"/>
  <c r="O56" i="155"/>
  <c r="P55" i="155"/>
  <c r="O55" i="155"/>
  <c r="P54" i="155"/>
  <c r="O54" i="155"/>
  <c r="P53" i="155"/>
  <c r="O53" i="155"/>
  <c r="P52" i="155"/>
  <c r="O52" i="155"/>
  <c r="P51" i="155"/>
  <c r="O51" i="155"/>
  <c r="P50" i="155"/>
  <c r="O50" i="155"/>
  <c r="P49" i="155"/>
  <c r="O49" i="155"/>
  <c r="P48" i="155"/>
  <c r="O48" i="155"/>
  <c r="P47" i="155"/>
  <c r="O47" i="155"/>
  <c r="P46" i="155"/>
  <c r="O46" i="155"/>
  <c r="P45" i="155"/>
  <c r="O45" i="155"/>
  <c r="P44" i="155"/>
  <c r="O44" i="155"/>
  <c r="P43" i="155"/>
  <c r="O43" i="155"/>
  <c r="P42" i="155"/>
  <c r="O42" i="155"/>
  <c r="P41" i="155"/>
  <c r="O41" i="155"/>
  <c r="P40" i="155"/>
  <c r="O40" i="155"/>
  <c r="P65" i="155"/>
  <c r="O65" i="155"/>
  <c r="P64" i="154"/>
  <c r="O64" i="154"/>
  <c r="P63" i="154"/>
  <c r="O63" i="154"/>
  <c r="P62" i="154"/>
  <c r="O62" i="154"/>
  <c r="P61" i="154"/>
  <c r="O61" i="154"/>
  <c r="P60" i="154"/>
  <c r="O60" i="154"/>
  <c r="P59" i="154"/>
  <c r="O59" i="154"/>
  <c r="P58" i="154"/>
  <c r="O58" i="154"/>
  <c r="P57" i="154"/>
  <c r="O57" i="154"/>
  <c r="P56" i="154"/>
  <c r="O56" i="154"/>
  <c r="P55" i="154"/>
  <c r="O55" i="154"/>
  <c r="P54" i="154"/>
  <c r="O54" i="154"/>
  <c r="P53" i="154"/>
  <c r="O53" i="154"/>
  <c r="P52" i="154"/>
  <c r="O52" i="154"/>
  <c r="P51" i="154"/>
  <c r="O51" i="154"/>
  <c r="P50" i="154"/>
  <c r="O50" i="154"/>
  <c r="P49" i="154"/>
  <c r="O49" i="154"/>
  <c r="P48" i="154"/>
  <c r="O48" i="154"/>
  <c r="P47" i="154"/>
  <c r="O47" i="154"/>
  <c r="P46" i="154"/>
  <c r="O46" i="154"/>
  <c r="P45" i="154"/>
  <c r="O45" i="154"/>
  <c r="P44" i="154"/>
  <c r="O44" i="154"/>
  <c r="P43" i="154"/>
  <c r="O43" i="154"/>
  <c r="P42" i="154"/>
  <c r="O42" i="154"/>
  <c r="P41" i="154"/>
  <c r="O41" i="154"/>
  <c r="P40" i="154"/>
  <c r="O40" i="154"/>
  <c r="P65" i="154"/>
  <c r="O65" i="154"/>
  <c r="P90" i="173"/>
  <c r="O90" i="173"/>
  <c r="P89" i="173"/>
  <c r="O89" i="173"/>
  <c r="P88" i="173"/>
  <c r="O88" i="173"/>
  <c r="P87" i="173"/>
  <c r="O87" i="173"/>
  <c r="P86" i="173"/>
  <c r="O86" i="173"/>
  <c r="P85" i="173"/>
  <c r="O85" i="173"/>
  <c r="P84" i="173"/>
  <c r="O84" i="173"/>
  <c r="P83" i="173"/>
  <c r="O83" i="173"/>
  <c r="P82" i="173"/>
  <c r="O82" i="173"/>
  <c r="P81" i="173"/>
  <c r="O81" i="173"/>
  <c r="P80" i="173"/>
  <c r="O80" i="173"/>
  <c r="P79" i="173"/>
  <c r="O79" i="173"/>
  <c r="P78" i="173"/>
  <c r="O78" i="173"/>
  <c r="P77" i="173"/>
  <c r="O77" i="173"/>
  <c r="P76" i="173"/>
  <c r="O76" i="173"/>
  <c r="P75" i="173"/>
  <c r="O75" i="173"/>
  <c r="P74" i="173"/>
  <c r="O74" i="173"/>
  <c r="P73" i="173"/>
  <c r="O73" i="173"/>
  <c r="P72" i="173"/>
  <c r="O72" i="173"/>
  <c r="P71" i="173"/>
  <c r="O71" i="173"/>
  <c r="P70" i="173"/>
  <c r="O70" i="173"/>
  <c r="P69" i="173"/>
  <c r="O69" i="173"/>
  <c r="P68" i="173"/>
  <c r="O68" i="173"/>
  <c r="P67" i="173"/>
  <c r="O67" i="173"/>
  <c r="P66" i="173"/>
  <c r="O66" i="173"/>
  <c r="P91" i="173"/>
  <c r="O91" i="173"/>
  <c r="P90" i="172"/>
  <c r="O90" i="172"/>
  <c r="P89" i="172"/>
  <c r="O89" i="172"/>
  <c r="P88" i="172"/>
  <c r="O88" i="172"/>
  <c r="P87" i="172"/>
  <c r="O87" i="172"/>
  <c r="P86" i="172"/>
  <c r="O86" i="172"/>
  <c r="P85" i="172"/>
  <c r="O85" i="172"/>
  <c r="P84" i="172"/>
  <c r="O84" i="172"/>
  <c r="P83" i="172"/>
  <c r="O83" i="172"/>
  <c r="P82" i="172"/>
  <c r="O82" i="172"/>
  <c r="P81" i="172"/>
  <c r="O81" i="172"/>
  <c r="P80" i="172"/>
  <c r="O80" i="172"/>
  <c r="P79" i="172"/>
  <c r="O79" i="172"/>
  <c r="P78" i="172"/>
  <c r="O78" i="172"/>
  <c r="P77" i="172"/>
  <c r="O77" i="172"/>
  <c r="P76" i="172"/>
  <c r="O76" i="172"/>
  <c r="P75" i="172"/>
  <c r="O75" i="172"/>
  <c r="P74" i="172"/>
  <c r="O74" i="172"/>
  <c r="P73" i="172"/>
  <c r="O73" i="172"/>
  <c r="P72" i="172"/>
  <c r="O72" i="172"/>
  <c r="P71" i="172"/>
  <c r="O71" i="172"/>
  <c r="P70" i="172"/>
  <c r="O70" i="172"/>
  <c r="P69" i="172"/>
  <c r="O69" i="172"/>
  <c r="P68" i="172"/>
  <c r="O68" i="172"/>
  <c r="P67" i="172"/>
  <c r="O67" i="172"/>
  <c r="P66" i="172"/>
  <c r="O66" i="172"/>
  <c r="P91" i="172"/>
  <c r="O91" i="172"/>
  <c r="P88" i="171"/>
  <c r="O88" i="171"/>
  <c r="P87" i="171"/>
  <c r="O87" i="171"/>
  <c r="P86" i="171"/>
  <c r="O86" i="171"/>
  <c r="P85" i="171"/>
  <c r="O85" i="171"/>
  <c r="P84" i="171"/>
  <c r="O84" i="171"/>
  <c r="P83" i="171"/>
  <c r="O83" i="171"/>
  <c r="P82" i="171"/>
  <c r="O82" i="171"/>
  <c r="P81" i="171"/>
  <c r="O81" i="171"/>
  <c r="P80" i="171"/>
  <c r="O80" i="171"/>
  <c r="P79" i="171"/>
  <c r="O79" i="171"/>
  <c r="P78" i="171"/>
  <c r="O78" i="171"/>
  <c r="P77" i="171"/>
  <c r="O77" i="171"/>
  <c r="P76" i="171"/>
  <c r="O76" i="171"/>
  <c r="P75" i="171"/>
  <c r="O75" i="171"/>
  <c r="P74" i="171"/>
  <c r="O74" i="171"/>
  <c r="P73" i="171"/>
  <c r="O73" i="171"/>
  <c r="P72" i="171"/>
  <c r="O72" i="171"/>
  <c r="P71" i="171"/>
  <c r="O71" i="171"/>
  <c r="P70" i="171"/>
  <c r="O70" i="171"/>
  <c r="P69" i="171"/>
  <c r="O69" i="171"/>
  <c r="P68" i="171"/>
  <c r="O68" i="171"/>
  <c r="P67" i="171"/>
  <c r="O67" i="171"/>
  <c r="P66" i="171"/>
  <c r="O66" i="171"/>
  <c r="P65" i="171"/>
  <c r="O65" i="171"/>
  <c r="P64" i="171"/>
  <c r="O64" i="171"/>
  <c r="P89" i="171"/>
  <c r="O89" i="171"/>
  <c r="P66" i="152"/>
  <c r="O66" i="152"/>
  <c r="P65" i="152"/>
  <c r="O65" i="152"/>
  <c r="P64" i="152"/>
  <c r="O64" i="152"/>
  <c r="P63" i="152"/>
  <c r="O63" i="152"/>
  <c r="P62" i="152"/>
  <c r="O62" i="152"/>
  <c r="P61" i="152"/>
  <c r="O61" i="152"/>
  <c r="P60" i="152"/>
  <c r="O60" i="152"/>
  <c r="P59" i="152"/>
  <c r="O59" i="152"/>
  <c r="P58" i="152"/>
  <c r="O58" i="152"/>
  <c r="P57" i="152"/>
  <c r="O57" i="152"/>
  <c r="P56" i="152"/>
  <c r="O56" i="152"/>
  <c r="P55" i="152"/>
  <c r="O55" i="152"/>
  <c r="P54" i="152"/>
  <c r="O54" i="152"/>
  <c r="P53" i="152"/>
  <c r="O53" i="152"/>
  <c r="P52" i="152"/>
  <c r="O52" i="152"/>
  <c r="P51" i="152"/>
  <c r="O51" i="152"/>
  <c r="P50" i="152"/>
  <c r="O50" i="152"/>
  <c r="P49" i="152"/>
  <c r="O49" i="152"/>
  <c r="P48" i="152"/>
  <c r="O48" i="152"/>
  <c r="P47" i="152"/>
  <c r="O47" i="152"/>
  <c r="P46" i="152"/>
  <c r="O46" i="152"/>
  <c r="P45" i="152"/>
  <c r="O45" i="152"/>
  <c r="P44" i="152"/>
  <c r="O44" i="152"/>
  <c r="P43" i="152"/>
  <c r="O43" i="152"/>
  <c r="P42" i="152"/>
  <c r="O42" i="152"/>
  <c r="P67" i="152"/>
  <c r="O67" i="152"/>
  <c r="P64" i="153"/>
  <c r="O64" i="153"/>
  <c r="P63" i="153"/>
  <c r="O63" i="153"/>
  <c r="P62" i="153"/>
  <c r="O62" i="153"/>
  <c r="P61" i="153"/>
  <c r="O61" i="153"/>
  <c r="P60" i="153"/>
  <c r="O60" i="153"/>
  <c r="P59" i="153"/>
  <c r="O59" i="153"/>
  <c r="P58" i="153"/>
  <c r="O58" i="153"/>
  <c r="P57" i="153"/>
  <c r="O57" i="153"/>
  <c r="P56" i="153"/>
  <c r="O56" i="153"/>
  <c r="P55" i="153"/>
  <c r="O55" i="153"/>
  <c r="P54" i="153"/>
  <c r="O54" i="153"/>
  <c r="P53" i="153"/>
  <c r="O53" i="153"/>
  <c r="P52" i="153"/>
  <c r="O52" i="153"/>
  <c r="P51" i="153"/>
  <c r="O51" i="153"/>
  <c r="P50" i="153"/>
  <c r="O50" i="153"/>
  <c r="P49" i="153"/>
  <c r="O49" i="153"/>
  <c r="P48" i="153"/>
  <c r="O48" i="153"/>
  <c r="P47" i="153"/>
  <c r="O47" i="153"/>
  <c r="P46" i="153"/>
  <c r="O46" i="153"/>
  <c r="P45" i="153"/>
  <c r="O45" i="153"/>
  <c r="P44" i="153"/>
  <c r="O44" i="153"/>
  <c r="P43" i="153"/>
  <c r="O43" i="153"/>
  <c r="P42" i="153"/>
  <c r="O42" i="153"/>
  <c r="P41" i="153"/>
  <c r="O41" i="153"/>
  <c r="P40" i="153"/>
  <c r="O40" i="153"/>
  <c r="P65" i="153"/>
  <c r="O65" i="153"/>
  <c r="P68" i="167"/>
  <c r="O68" i="167"/>
  <c r="P67" i="167"/>
  <c r="O67" i="167"/>
  <c r="P66" i="167"/>
  <c r="O66" i="167"/>
  <c r="P65" i="167"/>
  <c r="O65" i="167"/>
  <c r="P64" i="167"/>
  <c r="O64" i="167"/>
  <c r="P63" i="167"/>
  <c r="O63" i="167"/>
  <c r="P62" i="167"/>
  <c r="O62" i="167"/>
  <c r="P61" i="167"/>
  <c r="O61" i="167"/>
  <c r="P60" i="167"/>
  <c r="O60" i="167"/>
  <c r="P59" i="167"/>
  <c r="O59" i="167"/>
  <c r="P58" i="167"/>
  <c r="O58" i="167"/>
  <c r="P57" i="167"/>
  <c r="O57" i="167"/>
  <c r="P56" i="167"/>
  <c r="O56" i="167"/>
  <c r="P55" i="167"/>
  <c r="O55" i="167"/>
  <c r="P54" i="167"/>
  <c r="O54" i="167"/>
  <c r="P53" i="167"/>
  <c r="O53" i="167"/>
  <c r="P52" i="167"/>
  <c r="O52" i="167"/>
  <c r="P51" i="167"/>
  <c r="O51" i="167"/>
  <c r="P50" i="167"/>
  <c r="O50" i="167"/>
  <c r="P49" i="167"/>
  <c r="O49" i="167"/>
  <c r="P48" i="167"/>
  <c r="O48" i="167"/>
  <c r="P47" i="167"/>
  <c r="O47" i="167"/>
  <c r="P46" i="167"/>
  <c r="O46" i="167"/>
  <c r="P45" i="167"/>
  <c r="O45" i="167"/>
  <c r="P44" i="167"/>
  <c r="O44" i="167"/>
  <c r="P69" i="167"/>
  <c r="O69" i="167"/>
  <c r="P61" i="182"/>
  <c r="O61" i="182"/>
  <c r="P60" i="182"/>
  <c r="O60" i="182"/>
  <c r="P59" i="182"/>
  <c r="O59" i="182"/>
  <c r="P58" i="182"/>
  <c r="O58" i="182"/>
  <c r="P57" i="182"/>
  <c r="O57" i="182"/>
  <c r="P56" i="182"/>
  <c r="O56" i="182"/>
  <c r="P55" i="182"/>
  <c r="O55" i="182"/>
  <c r="P54" i="182"/>
  <c r="O54" i="182"/>
  <c r="P53" i="182"/>
  <c r="O53" i="182"/>
  <c r="P52" i="182"/>
  <c r="O52" i="182"/>
  <c r="P51" i="182"/>
  <c r="O51" i="182"/>
  <c r="P50" i="182"/>
  <c r="O50" i="182"/>
  <c r="P49" i="182"/>
  <c r="O49" i="182"/>
  <c r="P48" i="182"/>
  <c r="O48" i="182"/>
  <c r="P47" i="182"/>
  <c r="O47" i="182"/>
  <c r="P46" i="182"/>
  <c r="O46" i="182"/>
  <c r="P45" i="182"/>
  <c r="O45" i="182"/>
  <c r="P44" i="182"/>
  <c r="O44" i="182"/>
  <c r="P43" i="182"/>
  <c r="O43" i="182"/>
  <c r="P42" i="182"/>
  <c r="O42" i="182"/>
  <c r="P41" i="182"/>
  <c r="O41" i="182"/>
  <c r="P40" i="182"/>
  <c r="O40" i="182"/>
  <c r="P39" i="182"/>
  <c r="O39" i="182"/>
  <c r="P38" i="182"/>
  <c r="O38" i="182"/>
  <c r="P37" i="182"/>
  <c r="O37" i="182"/>
  <c r="P62" i="182"/>
  <c r="O62" i="182"/>
  <c r="P61" i="181"/>
  <c r="O61" i="181"/>
  <c r="P60" i="181"/>
  <c r="O60" i="181"/>
  <c r="P59" i="181"/>
  <c r="O59" i="181"/>
  <c r="P58" i="181"/>
  <c r="O58" i="181"/>
  <c r="P57" i="181"/>
  <c r="O57" i="181"/>
  <c r="P56" i="181"/>
  <c r="O56" i="181"/>
  <c r="P55" i="181"/>
  <c r="O55" i="181"/>
  <c r="P54" i="181"/>
  <c r="O54" i="181"/>
  <c r="P53" i="181"/>
  <c r="O53" i="181"/>
  <c r="P52" i="181"/>
  <c r="O52" i="181"/>
  <c r="P51" i="181"/>
  <c r="O51" i="181"/>
  <c r="P50" i="181"/>
  <c r="O50" i="181"/>
  <c r="P49" i="181"/>
  <c r="O49" i="181"/>
  <c r="P48" i="181"/>
  <c r="O48" i="181"/>
  <c r="P47" i="181"/>
  <c r="O47" i="181"/>
  <c r="P46" i="181"/>
  <c r="O46" i="181"/>
  <c r="P45" i="181"/>
  <c r="O45" i="181"/>
  <c r="P44" i="181"/>
  <c r="O44" i="181"/>
  <c r="P43" i="181"/>
  <c r="O43" i="181"/>
  <c r="P42" i="181"/>
  <c r="O42" i="181"/>
  <c r="P41" i="181"/>
  <c r="O41" i="181"/>
  <c r="P40" i="181"/>
  <c r="O40" i="181"/>
  <c r="P39" i="181"/>
  <c r="O39" i="181"/>
  <c r="P38" i="181"/>
  <c r="O38" i="181"/>
  <c r="P37" i="181"/>
  <c r="O37" i="181"/>
  <c r="P62" i="181"/>
  <c r="O62" i="181"/>
  <c r="P61" i="207"/>
  <c r="O61" i="207"/>
  <c r="P60" i="207"/>
  <c r="O60" i="207"/>
  <c r="P59" i="207"/>
  <c r="O59" i="207"/>
  <c r="P58" i="207"/>
  <c r="O58" i="207"/>
  <c r="P57" i="207"/>
  <c r="O57" i="207"/>
  <c r="P56" i="207"/>
  <c r="O56" i="207"/>
  <c r="P55" i="207"/>
  <c r="O55" i="207"/>
  <c r="P54" i="207"/>
  <c r="O54" i="207"/>
  <c r="P53" i="207"/>
  <c r="O53" i="207"/>
  <c r="P52" i="207"/>
  <c r="O52" i="207"/>
  <c r="P51" i="207"/>
  <c r="O51" i="207"/>
  <c r="P50" i="207"/>
  <c r="O50" i="207"/>
  <c r="P49" i="207"/>
  <c r="O49" i="207"/>
  <c r="P48" i="207"/>
  <c r="O48" i="207"/>
  <c r="P47" i="207"/>
  <c r="O47" i="207"/>
  <c r="P46" i="207"/>
  <c r="O46" i="207"/>
  <c r="P45" i="207"/>
  <c r="O45" i="207"/>
  <c r="P44" i="207"/>
  <c r="O44" i="207"/>
  <c r="P43" i="207"/>
  <c r="O43" i="207"/>
  <c r="P42" i="207"/>
  <c r="O42" i="207"/>
  <c r="P41" i="207"/>
  <c r="O41" i="207"/>
  <c r="P40" i="207"/>
  <c r="O40" i="207"/>
  <c r="P39" i="207"/>
  <c r="O39" i="207"/>
  <c r="P38" i="207"/>
  <c r="O38" i="207"/>
  <c r="P37" i="207"/>
  <c r="O37" i="207"/>
  <c r="P62" i="207"/>
  <c r="O62" i="207"/>
  <c r="P64" i="195"/>
  <c r="O64" i="195"/>
  <c r="P63" i="195"/>
  <c r="O63" i="195"/>
  <c r="P62" i="195"/>
  <c r="O62" i="195"/>
  <c r="P61" i="195"/>
  <c r="O61" i="195"/>
  <c r="P60" i="195"/>
  <c r="O60" i="195"/>
  <c r="P59" i="195"/>
  <c r="O59" i="195"/>
  <c r="P58" i="195"/>
  <c r="O58" i="195"/>
  <c r="P57" i="195"/>
  <c r="O57" i="195"/>
  <c r="P56" i="195"/>
  <c r="O56" i="195"/>
  <c r="P55" i="195"/>
  <c r="O55" i="195"/>
  <c r="P54" i="195"/>
  <c r="O54" i="195"/>
  <c r="P53" i="195"/>
  <c r="O53" i="195"/>
  <c r="P52" i="195"/>
  <c r="O52" i="195"/>
  <c r="P51" i="195"/>
  <c r="O51" i="195"/>
  <c r="P50" i="195"/>
  <c r="O50" i="195"/>
  <c r="P49" i="195"/>
  <c r="O49" i="195"/>
  <c r="P48" i="195"/>
  <c r="O48" i="195"/>
  <c r="P47" i="195"/>
  <c r="O47" i="195"/>
  <c r="P46" i="195"/>
  <c r="O46" i="195"/>
  <c r="P45" i="195"/>
  <c r="O45" i="195"/>
  <c r="P44" i="195"/>
  <c r="O44" i="195"/>
  <c r="P43" i="195"/>
  <c r="O43" i="195"/>
  <c r="P42" i="195"/>
  <c r="O42" i="195"/>
  <c r="P41" i="195"/>
  <c r="O41" i="195"/>
  <c r="P40" i="195"/>
  <c r="O40" i="195"/>
  <c r="P65" i="195"/>
  <c r="O65" i="195"/>
  <c r="P64" i="194"/>
  <c r="O64" i="194"/>
  <c r="P63" i="194"/>
  <c r="O63" i="194"/>
  <c r="P62" i="194"/>
  <c r="O62" i="194"/>
  <c r="P61" i="194"/>
  <c r="O61" i="194"/>
  <c r="P60" i="194"/>
  <c r="O60" i="194"/>
  <c r="P59" i="194"/>
  <c r="O59" i="194"/>
  <c r="P58" i="194"/>
  <c r="O58" i="194"/>
  <c r="P57" i="194"/>
  <c r="O57" i="194"/>
  <c r="P56" i="194"/>
  <c r="O56" i="194"/>
  <c r="P55" i="194"/>
  <c r="O55" i="194"/>
  <c r="P54" i="194"/>
  <c r="O54" i="194"/>
  <c r="P53" i="194"/>
  <c r="O53" i="194"/>
  <c r="P52" i="194"/>
  <c r="O52" i="194"/>
  <c r="P51" i="194"/>
  <c r="O51" i="194"/>
  <c r="P50" i="194"/>
  <c r="O50" i="194"/>
  <c r="P49" i="194"/>
  <c r="O49" i="194"/>
  <c r="P48" i="194"/>
  <c r="O48" i="194"/>
  <c r="P47" i="194"/>
  <c r="O47" i="194"/>
  <c r="P46" i="194"/>
  <c r="O46" i="194"/>
  <c r="P45" i="194"/>
  <c r="O45" i="194"/>
  <c r="P44" i="194"/>
  <c r="O44" i="194"/>
  <c r="P43" i="194"/>
  <c r="O43" i="194"/>
  <c r="P42" i="194"/>
  <c r="O42" i="194"/>
  <c r="P41" i="194"/>
  <c r="O41" i="194"/>
  <c r="P40" i="194"/>
  <c r="O40" i="194"/>
  <c r="P65" i="194"/>
  <c r="O65" i="194"/>
  <c r="P64" i="193"/>
  <c r="O64" i="193"/>
  <c r="P63" i="193"/>
  <c r="O63" i="193"/>
  <c r="P62" i="193"/>
  <c r="O62" i="193"/>
  <c r="P61" i="193"/>
  <c r="O61" i="193"/>
  <c r="P60" i="193"/>
  <c r="O60" i="193"/>
  <c r="P59" i="193"/>
  <c r="O59" i="193"/>
  <c r="P58" i="193"/>
  <c r="O58" i="193"/>
  <c r="P57" i="193"/>
  <c r="O57" i="193"/>
  <c r="P56" i="193"/>
  <c r="O56" i="193"/>
  <c r="P55" i="193"/>
  <c r="O55" i="193"/>
  <c r="P54" i="193"/>
  <c r="O54" i="193"/>
  <c r="P53" i="193"/>
  <c r="O53" i="193"/>
  <c r="P52" i="193"/>
  <c r="O52" i="193"/>
  <c r="P51" i="193"/>
  <c r="O51" i="193"/>
  <c r="P50" i="193"/>
  <c r="O50" i="193"/>
  <c r="P49" i="193"/>
  <c r="O49" i="193"/>
  <c r="P48" i="193"/>
  <c r="O48" i="193"/>
  <c r="P47" i="193"/>
  <c r="O47" i="193"/>
  <c r="P46" i="193"/>
  <c r="O46" i="193"/>
  <c r="P45" i="193"/>
  <c r="O45" i="193"/>
  <c r="P44" i="193"/>
  <c r="O44" i="193"/>
  <c r="P43" i="193"/>
  <c r="O43" i="193"/>
  <c r="P42" i="193"/>
  <c r="O42" i="193"/>
  <c r="P41" i="193"/>
  <c r="O41" i="193"/>
  <c r="P40" i="193"/>
  <c r="O40" i="193"/>
  <c r="P65" i="193"/>
  <c r="O65" i="193"/>
  <c r="P64" i="192"/>
  <c r="O64" i="192"/>
  <c r="P63" i="192"/>
  <c r="O63" i="192"/>
  <c r="P62" i="192"/>
  <c r="O62" i="192"/>
  <c r="P61" i="192"/>
  <c r="O61" i="192"/>
  <c r="P60" i="192"/>
  <c r="O60" i="192"/>
  <c r="P59" i="192"/>
  <c r="O59" i="192"/>
  <c r="P58" i="192"/>
  <c r="O58" i="192"/>
  <c r="P57" i="192"/>
  <c r="O57" i="192"/>
  <c r="P56" i="192"/>
  <c r="O56" i="192"/>
  <c r="P55" i="192"/>
  <c r="O55" i="192"/>
  <c r="P54" i="192"/>
  <c r="O54" i="192"/>
  <c r="P53" i="192"/>
  <c r="O53" i="192"/>
  <c r="P52" i="192"/>
  <c r="O52" i="192"/>
  <c r="P51" i="192"/>
  <c r="O51" i="192"/>
  <c r="P50" i="192"/>
  <c r="O50" i="192"/>
  <c r="P49" i="192"/>
  <c r="O49" i="192"/>
  <c r="P48" i="192"/>
  <c r="O48" i="192"/>
  <c r="P47" i="192"/>
  <c r="O47" i="192"/>
  <c r="P46" i="192"/>
  <c r="O46" i="192"/>
  <c r="P45" i="192"/>
  <c r="O45" i="192"/>
  <c r="P44" i="192"/>
  <c r="O44" i="192"/>
  <c r="P43" i="192"/>
  <c r="O43" i="192"/>
  <c r="P42" i="192"/>
  <c r="O42" i="192"/>
  <c r="P41" i="192"/>
  <c r="O41" i="192"/>
  <c r="P40" i="192"/>
  <c r="O40" i="192"/>
  <c r="P65" i="192"/>
  <c r="O65" i="192"/>
  <c r="P65" i="206"/>
  <c r="O65" i="206"/>
  <c r="P64" i="206"/>
  <c r="O64" i="206"/>
  <c r="P63" i="206"/>
  <c r="O63" i="206"/>
  <c r="P62" i="206"/>
  <c r="O62" i="206"/>
  <c r="P61" i="206"/>
  <c r="O61" i="206"/>
  <c r="P60" i="206"/>
  <c r="O60" i="206"/>
  <c r="P59" i="206"/>
  <c r="O59" i="206"/>
  <c r="P58" i="206"/>
  <c r="O58" i="206"/>
  <c r="P57" i="206"/>
  <c r="O57" i="206"/>
  <c r="P56" i="206"/>
  <c r="O56" i="206"/>
  <c r="P55" i="206"/>
  <c r="O55" i="206"/>
  <c r="P54" i="206"/>
  <c r="O54" i="206"/>
  <c r="P53" i="206"/>
  <c r="O53" i="206"/>
  <c r="P52" i="206"/>
  <c r="O52" i="206"/>
  <c r="P51" i="206"/>
  <c r="O51" i="206"/>
  <c r="P50" i="206"/>
  <c r="O50" i="206"/>
  <c r="P49" i="206"/>
  <c r="O49" i="206"/>
  <c r="P48" i="206"/>
  <c r="O48" i="206"/>
  <c r="P47" i="206"/>
  <c r="O47" i="206"/>
  <c r="P46" i="206"/>
  <c r="O46" i="206"/>
  <c r="P45" i="206"/>
  <c r="O45" i="206"/>
  <c r="P44" i="206"/>
  <c r="O44" i="206"/>
  <c r="P43" i="206"/>
  <c r="O43" i="206"/>
  <c r="P42" i="206"/>
  <c r="O42" i="206"/>
  <c r="P41" i="206"/>
  <c r="O41" i="206"/>
  <c r="P66" i="206"/>
  <c r="O66" i="206"/>
  <c r="P61" i="151"/>
  <c r="O61" i="151"/>
  <c r="P60" i="151"/>
  <c r="O60" i="151"/>
  <c r="P59" i="151"/>
  <c r="O59" i="151"/>
  <c r="P58" i="151"/>
  <c r="O58" i="151"/>
  <c r="P57" i="151"/>
  <c r="O57" i="151"/>
  <c r="P56" i="151"/>
  <c r="O56" i="151"/>
  <c r="P55" i="151"/>
  <c r="O55" i="151"/>
  <c r="P54" i="151"/>
  <c r="O54" i="151"/>
  <c r="P53" i="151"/>
  <c r="O53" i="151"/>
  <c r="P52" i="151"/>
  <c r="O52" i="151"/>
  <c r="P51" i="151"/>
  <c r="O51" i="151"/>
  <c r="P50" i="151"/>
  <c r="O50" i="151"/>
  <c r="P49" i="151"/>
  <c r="O49" i="151"/>
  <c r="P48" i="151"/>
  <c r="O48" i="151"/>
  <c r="P47" i="151"/>
  <c r="O47" i="151"/>
  <c r="P46" i="151"/>
  <c r="O46" i="151"/>
  <c r="P45" i="151"/>
  <c r="O45" i="151"/>
  <c r="P44" i="151"/>
  <c r="O44" i="151"/>
  <c r="P43" i="151"/>
  <c r="O43" i="151"/>
  <c r="P42" i="151"/>
  <c r="O42" i="151"/>
  <c r="P41" i="151"/>
  <c r="O41" i="151"/>
  <c r="P40" i="151"/>
  <c r="O40" i="151"/>
  <c r="P39" i="151"/>
  <c r="O39" i="151"/>
  <c r="P38" i="151"/>
  <c r="O38" i="151"/>
  <c r="P37" i="151"/>
  <c r="O37" i="151"/>
  <c r="P62" i="151"/>
  <c r="O62" i="151"/>
  <c r="P61" i="150"/>
  <c r="O61" i="150"/>
  <c r="P60" i="150"/>
  <c r="O60" i="150"/>
  <c r="P59" i="150"/>
  <c r="O59" i="150"/>
  <c r="P58" i="150"/>
  <c r="O58" i="150"/>
  <c r="P57" i="150"/>
  <c r="O57" i="150"/>
  <c r="P56" i="150"/>
  <c r="O56" i="150"/>
  <c r="P55" i="150"/>
  <c r="O55" i="150"/>
  <c r="P54" i="150"/>
  <c r="O54" i="150"/>
  <c r="P53" i="150"/>
  <c r="O53" i="150"/>
  <c r="P52" i="150"/>
  <c r="O52" i="150"/>
  <c r="P51" i="150"/>
  <c r="O51" i="150"/>
  <c r="P50" i="150"/>
  <c r="O50" i="150"/>
  <c r="P49" i="150"/>
  <c r="O49" i="150"/>
  <c r="P48" i="150"/>
  <c r="O48" i="150"/>
  <c r="P47" i="150"/>
  <c r="O47" i="150"/>
  <c r="P46" i="150"/>
  <c r="O46" i="150"/>
  <c r="P45" i="150"/>
  <c r="O45" i="150"/>
  <c r="P44" i="150"/>
  <c r="O44" i="150"/>
  <c r="P43" i="150"/>
  <c r="O43" i="150"/>
  <c r="P42" i="150"/>
  <c r="O42" i="150"/>
  <c r="P41" i="150"/>
  <c r="O41" i="150"/>
  <c r="P40" i="150"/>
  <c r="O40" i="150"/>
  <c r="P39" i="150"/>
  <c r="O39" i="150"/>
  <c r="P38" i="150"/>
  <c r="O38" i="150"/>
  <c r="P37" i="150"/>
  <c r="O37" i="150"/>
  <c r="P62" i="150"/>
  <c r="O62" i="150"/>
  <c r="P61" i="149"/>
  <c r="O61" i="149"/>
  <c r="P60" i="149"/>
  <c r="O60" i="149"/>
  <c r="P59" i="149"/>
  <c r="O59" i="149"/>
  <c r="P58" i="149"/>
  <c r="O58" i="149"/>
  <c r="P57" i="149"/>
  <c r="O57" i="149"/>
  <c r="P56" i="149"/>
  <c r="O56" i="149"/>
  <c r="P55" i="149"/>
  <c r="O55" i="149"/>
  <c r="P54" i="149"/>
  <c r="O54" i="149"/>
  <c r="P53" i="149"/>
  <c r="O53" i="149"/>
  <c r="P52" i="149"/>
  <c r="O52" i="149"/>
  <c r="P51" i="149"/>
  <c r="O51" i="149"/>
  <c r="P50" i="149"/>
  <c r="O50" i="149"/>
  <c r="P49" i="149"/>
  <c r="O49" i="149"/>
  <c r="P48" i="149"/>
  <c r="O48" i="149"/>
  <c r="P47" i="149"/>
  <c r="O47" i="149"/>
  <c r="P46" i="149"/>
  <c r="O46" i="149"/>
  <c r="P45" i="149"/>
  <c r="O45" i="149"/>
  <c r="P44" i="149"/>
  <c r="O44" i="149"/>
  <c r="P43" i="149"/>
  <c r="O43" i="149"/>
  <c r="P42" i="149"/>
  <c r="O42" i="149"/>
  <c r="P41" i="149"/>
  <c r="O41" i="149"/>
  <c r="P40" i="149"/>
  <c r="O40" i="149"/>
  <c r="P39" i="149"/>
  <c r="O39" i="149"/>
  <c r="P38" i="149"/>
  <c r="O38" i="149"/>
  <c r="P37" i="149"/>
  <c r="O37" i="149"/>
  <c r="P62" i="149"/>
  <c r="O62" i="149"/>
  <c r="P60" i="148"/>
  <c r="O60" i="148"/>
  <c r="P59" i="148"/>
  <c r="O59" i="148"/>
  <c r="P58" i="148"/>
  <c r="O58" i="148"/>
  <c r="P57" i="148"/>
  <c r="O57" i="148"/>
  <c r="P56" i="148"/>
  <c r="O56" i="148"/>
  <c r="P55" i="148"/>
  <c r="O55" i="148"/>
  <c r="P54" i="148"/>
  <c r="O54" i="148"/>
  <c r="P53" i="148"/>
  <c r="O53" i="148"/>
  <c r="P52" i="148"/>
  <c r="O52" i="148"/>
  <c r="P51" i="148"/>
  <c r="O51" i="148"/>
  <c r="P50" i="148"/>
  <c r="O50" i="148"/>
  <c r="P49" i="148"/>
  <c r="O49" i="148"/>
  <c r="P48" i="148"/>
  <c r="O48" i="148"/>
  <c r="P47" i="148"/>
  <c r="O47" i="148"/>
  <c r="P46" i="148"/>
  <c r="O46" i="148"/>
  <c r="P45" i="148"/>
  <c r="O45" i="148"/>
  <c r="P44" i="148"/>
  <c r="O44" i="148"/>
  <c r="P43" i="148"/>
  <c r="O43" i="148"/>
  <c r="P42" i="148"/>
  <c r="O42" i="148"/>
  <c r="P41" i="148"/>
  <c r="O41" i="148"/>
  <c r="P40" i="148"/>
  <c r="O40" i="148"/>
  <c r="P39" i="148"/>
  <c r="O39" i="148"/>
  <c r="P38" i="148"/>
  <c r="O38" i="148"/>
  <c r="P37" i="148"/>
  <c r="O37" i="148"/>
  <c r="P36" i="148"/>
  <c r="O36" i="148"/>
  <c r="P61" i="148"/>
  <c r="O61" i="148"/>
  <c r="P60" i="147"/>
  <c r="O60" i="147"/>
  <c r="P59" i="147"/>
  <c r="O59" i="147"/>
  <c r="P58" i="147"/>
  <c r="O58" i="147"/>
  <c r="P57" i="147"/>
  <c r="O57" i="147"/>
  <c r="P56" i="147"/>
  <c r="O56" i="147"/>
  <c r="P55" i="147"/>
  <c r="O55" i="147"/>
  <c r="P54" i="147"/>
  <c r="O54" i="147"/>
  <c r="P53" i="147"/>
  <c r="O53" i="147"/>
  <c r="P52" i="147"/>
  <c r="O52" i="147"/>
  <c r="P51" i="147"/>
  <c r="O51" i="147"/>
  <c r="P50" i="147"/>
  <c r="O50" i="147"/>
  <c r="P49" i="147"/>
  <c r="O49" i="147"/>
  <c r="P48" i="147"/>
  <c r="O48" i="147"/>
  <c r="P47" i="147"/>
  <c r="O47" i="147"/>
  <c r="P46" i="147"/>
  <c r="O46" i="147"/>
  <c r="P45" i="147"/>
  <c r="O45" i="147"/>
  <c r="P44" i="147"/>
  <c r="O44" i="147"/>
  <c r="P43" i="147"/>
  <c r="O43" i="147"/>
  <c r="P42" i="147"/>
  <c r="O42" i="147"/>
  <c r="P41" i="147"/>
  <c r="O41" i="147"/>
  <c r="P40" i="147"/>
  <c r="O40" i="147"/>
  <c r="P39" i="147"/>
  <c r="O39" i="147"/>
  <c r="P38" i="147"/>
  <c r="O38" i="147"/>
  <c r="P37" i="147"/>
  <c r="O37" i="147"/>
  <c r="P36" i="147"/>
  <c r="O36" i="147"/>
  <c r="P61" i="147"/>
  <c r="O61" i="147"/>
  <c r="P81" i="106"/>
  <c r="O81" i="106"/>
  <c r="P80" i="106"/>
  <c r="O80" i="106"/>
  <c r="P79" i="106"/>
  <c r="O79" i="106"/>
  <c r="P78" i="106"/>
  <c r="O78" i="106"/>
  <c r="P77" i="106"/>
  <c r="O77" i="106"/>
  <c r="P76" i="106"/>
  <c r="O76" i="106"/>
  <c r="P75" i="106"/>
  <c r="O75" i="106"/>
  <c r="P74" i="106"/>
  <c r="O74" i="106"/>
  <c r="P73" i="106"/>
  <c r="O73" i="106"/>
  <c r="P72" i="106"/>
  <c r="O72" i="106"/>
  <c r="P71" i="106"/>
  <c r="O71" i="106"/>
  <c r="P70" i="106"/>
  <c r="O70" i="106"/>
  <c r="P69" i="106"/>
  <c r="O69" i="106"/>
  <c r="P68" i="106"/>
  <c r="O68" i="106"/>
  <c r="P67" i="106"/>
  <c r="O67" i="106"/>
  <c r="P66" i="106"/>
  <c r="O66" i="106"/>
  <c r="P65" i="106"/>
  <c r="O65" i="106"/>
  <c r="P64" i="106"/>
  <c r="O64" i="106"/>
  <c r="P63" i="106"/>
  <c r="O63" i="106"/>
  <c r="P62" i="106"/>
  <c r="O62" i="106"/>
  <c r="P61" i="106"/>
  <c r="O61" i="106"/>
  <c r="P60" i="106"/>
  <c r="O60" i="106"/>
  <c r="P59" i="106"/>
  <c r="O59" i="106"/>
  <c r="O84" i="106"/>
  <c r="P84" i="106"/>
  <c r="O83" i="106"/>
  <c r="P83" i="106"/>
  <c r="P82" i="106"/>
  <c r="O82" i="106"/>
  <c r="B83" i="106"/>
  <c r="J78" i="210"/>
  <c r="I78" i="210"/>
  <c r="H78" i="210"/>
  <c r="G78" i="210"/>
  <c r="F78" i="210"/>
  <c r="J77" i="210"/>
  <c r="I77" i="210"/>
  <c r="H77" i="210"/>
  <c r="G77" i="210"/>
  <c r="F77" i="210"/>
  <c r="J76" i="210"/>
  <c r="I76" i="210"/>
  <c r="H76" i="210"/>
  <c r="G76" i="210"/>
  <c r="F76" i="210"/>
  <c r="J75" i="210"/>
  <c r="I75" i="210"/>
  <c r="H75" i="210"/>
  <c r="G75" i="210"/>
  <c r="F75" i="210"/>
  <c r="J74" i="210"/>
  <c r="I74" i="210"/>
  <c r="H74" i="210"/>
  <c r="G74" i="210"/>
  <c r="F74" i="210"/>
  <c r="J73" i="210"/>
  <c r="I73" i="210"/>
  <c r="H73" i="210"/>
  <c r="G73" i="210"/>
  <c r="F73" i="210"/>
  <c r="J72" i="210"/>
  <c r="I72" i="210"/>
  <c r="H72" i="210"/>
  <c r="G72" i="210"/>
  <c r="F72" i="210"/>
  <c r="J71" i="210"/>
  <c r="I71" i="210"/>
  <c r="H71" i="210"/>
  <c r="G71" i="210"/>
  <c r="F71" i="210"/>
  <c r="J70" i="210"/>
  <c r="I70" i="210"/>
  <c r="H70" i="210"/>
  <c r="G70" i="210"/>
  <c r="F70" i="210"/>
  <c r="J69" i="210"/>
  <c r="I69" i="210"/>
  <c r="H69" i="210"/>
  <c r="G69" i="210"/>
  <c r="F69" i="210"/>
  <c r="J68" i="210"/>
  <c r="I68" i="210"/>
  <c r="H68" i="210"/>
  <c r="G68" i="210"/>
  <c r="F68" i="210"/>
  <c r="J67" i="210"/>
  <c r="I67" i="210"/>
  <c r="H67" i="210"/>
  <c r="G67" i="210"/>
  <c r="F67" i="210"/>
  <c r="J66" i="210"/>
  <c r="I66" i="210"/>
  <c r="H66" i="210"/>
  <c r="G66" i="210"/>
  <c r="F66" i="210"/>
  <c r="J65" i="210"/>
  <c r="I65" i="210"/>
  <c r="H65" i="210"/>
  <c r="G65" i="210"/>
  <c r="F65" i="210"/>
  <c r="J64" i="210"/>
  <c r="I64" i="210"/>
  <c r="H64" i="210"/>
  <c r="G64" i="210"/>
  <c r="F64" i="210"/>
  <c r="J63" i="210"/>
  <c r="I63" i="210"/>
  <c r="H63" i="210"/>
  <c r="G63" i="210"/>
  <c r="F63" i="210"/>
  <c r="J62" i="210"/>
  <c r="I62" i="210"/>
  <c r="H62" i="210"/>
  <c r="G62" i="210"/>
  <c r="F62" i="210"/>
  <c r="J61" i="210"/>
  <c r="I61" i="210"/>
  <c r="H61" i="210"/>
  <c r="G61" i="210"/>
  <c r="F61" i="210"/>
  <c r="J60" i="210"/>
  <c r="I60" i="210"/>
  <c r="H60" i="210"/>
  <c r="G60" i="210"/>
  <c r="F60" i="210"/>
  <c r="J59" i="210"/>
  <c r="I59" i="210"/>
  <c r="H59" i="210"/>
  <c r="G59" i="210"/>
  <c r="F59" i="210"/>
  <c r="J58" i="210"/>
  <c r="I58" i="210"/>
  <c r="H58" i="210"/>
  <c r="G58" i="210"/>
  <c r="F58" i="210"/>
  <c r="J57" i="210"/>
  <c r="I57" i="210"/>
  <c r="H57" i="210"/>
  <c r="G57" i="210"/>
  <c r="F57" i="210"/>
  <c r="J56" i="210"/>
  <c r="I56" i="210"/>
  <c r="H56" i="210"/>
  <c r="G56" i="210"/>
  <c r="F56" i="210"/>
  <c r="J55" i="210"/>
  <c r="I55" i="210"/>
  <c r="H55" i="210"/>
  <c r="G55" i="210"/>
  <c r="F55" i="210"/>
  <c r="J54" i="210"/>
  <c r="I54" i="210"/>
  <c r="H54" i="210"/>
  <c r="G54" i="210"/>
  <c r="F54" i="210"/>
  <c r="J53" i="210"/>
  <c r="I53" i="210"/>
  <c r="H53" i="210"/>
  <c r="G53" i="210"/>
  <c r="F53" i="210"/>
  <c r="J52" i="210"/>
  <c r="I52" i="210"/>
  <c r="H52" i="210"/>
  <c r="G52" i="210"/>
  <c r="F52" i="210"/>
  <c r="J51" i="210"/>
  <c r="I51" i="210"/>
  <c r="H51" i="210"/>
  <c r="G51" i="210"/>
  <c r="F51" i="210"/>
  <c r="J50" i="210"/>
  <c r="I50" i="210"/>
  <c r="H50" i="210"/>
  <c r="G50" i="210"/>
  <c r="F50" i="210"/>
  <c r="J49" i="210"/>
  <c r="I49" i="210"/>
  <c r="H49" i="210"/>
  <c r="G49" i="210"/>
  <c r="F49" i="210"/>
  <c r="J48" i="210"/>
  <c r="I48" i="210"/>
  <c r="H48" i="210"/>
  <c r="G48" i="210"/>
  <c r="F48" i="210"/>
  <c r="J47" i="210"/>
  <c r="I47" i="210"/>
  <c r="H47" i="210"/>
  <c r="G47" i="210"/>
  <c r="F47" i="210"/>
  <c r="J46" i="210"/>
  <c r="I46" i="210"/>
  <c r="H46" i="210"/>
  <c r="G46" i="210"/>
  <c r="F46" i="210"/>
  <c r="J45" i="210"/>
  <c r="I45" i="210"/>
  <c r="H45" i="210"/>
  <c r="G45" i="210"/>
  <c r="F45" i="210"/>
  <c r="J83" i="211"/>
  <c r="I83" i="211"/>
  <c r="H83" i="211"/>
  <c r="G83" i="211"/>
  <c r="J82" i="211"/>
  <c r="I82" i="211"/>
  <c r="H82" i="211"/>
  <c r="G82" i="211"/>
  <c r="J81" i="211"/>
  <c r="I81" i="211"/>
  <c r="H81" i="211"/>
  <c r="G81" i="211"/>
  <c r="J80" i="211"/>
  <c r="I80" i="211"/>
  <c r="H80" i="211"/>
  <c r="G80" i="211"/>
  <c r="J79" i="211"/>
  <c r="I79" i="211"/>
  <c r="H79" i="211"/>
  <c r="G79" i="211"/>
  <c r="J78" i="211"/>
  <c r="I78" i="211"/>
  <c r="H78" i="211"/>
  <c r="G78" i="211"/>
  <c r="J77" i="211"/>
  <c r="I77" i="211"/>
  <c r="H77" i="211"/>
  <c r="G77" i="211"/>
  <c r="J76" i="211"/>
  <c r="I76" i="211"/>
  <c r="H76" i="211"/>
  <c r="G76" i="211"/>
  <c r="J75" i="211"/>
  <c r="I75" i="211"/>
  <c r="H75" i="211"/>
  <c r="G75" i="211"/>
  <c r="J74" i="211"/>
  <c r="I74" i="211"/>
  <c r="H74" i="211"/>
  <c r="G74" i="211"/>
  <c r="J73" i="211"/>
  <c r="I73" i="211"/>
  <c r="H73" i="211"/>
  <c r="G73" i="211"/>
  <c r="J72" i="211"/>
  <c r="I72" i="211"/>
  <c r="H72" i="211"/>
  <c r="G72" i="211"/>
  <c r="J71" i="211"/>
  <c r="I71" i="211"/>
  <c r="H71" i="211"/>
  <c r="G71" i="211"/>
  <c r="J70" i="211"/>
  <c r="I70" i="211"/>
  <c r="H70" i="211"/>
  <c r="G70" i="211"/>
  <c r="J69" i="211"/>
  <c r="I69" i="211"/>
  <c r="H69" i="211"/>
  <c r="G69" i="211"/>
  <c r="J68" i="211"/>
  <c r="I68" i="211"/>
  <c r="H68" i="211"/>
  <c r="G68" i="211"/>
  <c r="J67" i="211"/>
  <c r="I67" i="211"/>
  <c r="H67" i="211"/>
  <c r="G67" i="211"/>
  <c r="J66" i="211"/>
  <c r="I66" i="211"/>
  <c r="H66" i="211"/>
  <c r="G66" i="211"/>
  <c r="J65" i="211"/>
  <c r="I65" i="211"/>
  <c r="H65" i="211"/>
  <c r="G65" i="211"/>
  <c r="J64" i="211"/>
  <c r="I64" i="211"/>
  <c r="H64" i="211"/>
  <c r="G64" i="211"/>
  <c r="J63" i="211"/>
  <c r="I63" i="211"/>
  <c r="H63" i="211"/>
  <c r="G63" i="211"/>
  <c r="J62" i="211"/>
  <c r="I62" i="211"/>
  <c r="H62" i="211"/>
  <c r="G62" i="211"/>
  <c r="J61" i="211"/>
  <c r="I61" i="211"/>
  <c r="H61" i="211"/>
  <c r="G61" i="211"/>
  <c r="J60" i="211"/>
  <c r="I60" i="211"/>
  <c r="H60" i="211"/>
  <c r="G60" i="211"/>
  <c r="J59" i="211"/>
  <c r="I59" i="211"/>
  <c r="H59" i="211"/>
  <c r="G59" i="211"/>
  <c r="J58" i="211"/>
  <c r="I58" i="211"/>
  <c r="H58" i="211"/>
  <c r="G58" i="211"/>
  <c r="J57" i="211"/>
  <c r="I57" i="211"/>
  <c r="H57" i="211"/>
  <c r="G57" i="211"/>
  <c r="J56" i="211"/>
  <c r="I56" i="211"/>
  <c r="H56" i="211"/>
  <c r="G56" i="211"/>
  <c r="J55" i="211"/>
  <c r="I55" i="211"/>
  <c r="H55" i="211"/>
  <c r="G55" i="211"/>
  <c r="J54" i="211"/>
  <c r="I54" i="211"/>
  <c r="H54" i="211"/>
  <c r="G54" i="211"/>
  <c r="J53" i="211"/>
  <c r="I53" i="211"/>
  <c r="H53" i="211"/>
  <c r="G53" i="211"/>
  <c r="J52" i="211"/>
  <c r="I52" i="211"/>
  <c r="H52" i="211"/>
  <c r="G52" i="211"/>
  <c r="J51" i="211"/>
  <c r="I51" i="211"/>
  <c r="H51" i="211"/>
  <c r="G51" i="211"/>
  <c r="J50" i="211"/>
  <c r="I50" i="211"/>
  <c r="H50" i="211"/>
  <c r="G50" i="211"/>
  <c r="Q49" i="211"/>
  <c r="Q50" i="211" s="1"/>
  <c r="J49" i="211"/>
  <c r="I49" i="211"/>
  <c r="H49" i="211"/>
  <c r="G49" i="211"/>
  <c r="J48" i="211"/>
  <c r="I48" i="211"/>
  <c r="H48" i="211"/>
  <c r="G48" i="211"/>
  <c r="B48" i="211"/>
  <c r="J129" i="210"/>
  <c r="I129" i="210"/>
  <c r="H129" i="210"/>
  <c r="G129" i="210"/>
  <c r="F129" i="210"/>
  <c r="J128" i="210"/>
  <c r="I128" i="210"/>
  <c r="H128" i="210"/>
  <c r="G128" i="210"/>
  <c r="F128" i="210"/>
  <c r="J127" i="210"/>
  <c r="I127" i="210"/>
  <c r="H127" i="210"/>
  <c r="G127" i="210"/>
  <c r="F127" i="210"/>
  <c r="J126" i="210"/>
  <c r="I126" i="210"/>
  <c r="H126" i="210"/>
  <c r="G126" i="210"/>
  <c r="F126" i="210"/>
  <c r="J125" i="210"/>
  <c r="I125" i="210"/>
  <c r="H125" i="210"/>
  <c r="G125" i="210"/>
  <c r="F125" i="210"/>
  <c r="J124" i="210"/>
  <c r="I124" i="210"/>
  <c r="H124" i="210"/>
  <c r="G124" i="210"/>
  <c r="F124" i="210"/>
  <c r="J123" i="210"/>
  <c r="I123" i="210"/>
  <c r="H123" i="210"/>
  <c r="G123" i="210"/>
  <c r="F123" i="210"/>
  <c r="J122" i="210"/>
  <c r="I122" i="210"/>
  <c r="H122" i="210"/>
  <c r="G122" i="210"/>
  <c r="F122" i="210"/>
  <c r="J121" i="210"/>
  <c r="I121" i="210"/>
  <c r="H121" i="210"/>
  <c r="G121" i="210"/>
  <c r="F121" i="210"/>
  <c r="J120" i="210"/>
  <c r="I120" i="210"/>
  <c r="H120" i="210"/>
  <c r="G120" i="210"/>
  <c r="F120" i="210"/>
  <c r="J119" i="210"/>
  <c r="I119" i="210"/>
  <c r="H119" i="210"/>
  <c r="G119" i="210"/>
  <c r="F119" i="210"/>
  <c r="J118" i="210"/>
  <c r="I118" i="210"/>
  <c r="H118" i="210"/>
  <c r="G118" i="210"/>
  <c r="F118" i="210"/>
  <c r="J117" i="210"/>
  <c r="I117" i="210"/>
  <c r="H117" i="210"/>
  <c r="G117" i="210"/>
  <c r="F117" i="210"/>
  <c r="J116" i="210"/>
  <c r="I116" i="210"/>
  <c r="H116" i="210"/>
  <c r="G116" i="210"/>
  <c r="F116" i="210"/>
  <c r="J115" i="210"/>
  <c r="I115" i="210"/>
  <c r="H115" i="210"/>
  <c r="G115" i="210"/>
  <c r="F115" i="210"/>
  <c r="J114" i="210"/>
  <c r="I114" i="210"/>
  <c r="H114" i="210"/>
  <c r="G114" i="210"/>
  <c r="F114" i="210"/>
  <c r="J113" i="210"/>
  <c r="I113" i="210"/>
  <c r="H113" i="210"/>
  <c r="G113" i="210"/>
  <c r="F113" i="210"/>
  <c r="J112" i="210"/>
  <c r="I112" i="210"/>
  <c r="H112" i="210"/>
  <c r="G112" i="210"/>
  <c r="F112" i="210"/>
  <c r="J111" i="210"/>
  <c r="I111" i="210"/>
  <c r="H111" i="210"/>
  <c r="G111" i="210"/>
  <c r="F111" i="210"/>
  <c r="J110" i="210"/>
  <c r="I110" i="210"/>
  <c r="H110" i="210"/>
  <c r="G110" i="210"/>
  <c r="F110" i="210"/>
  <c r="J109" i="210"/>
  <c r="I109" i="210"/>
  <c r="H109" i="210"/>
  <c r="G109" i="210"/>
  <c r="F109" i="210"/>
  <c r="J108" i="210"/>
  <c r="I108" i="210"/>
  <c r="H108" i="210"/>
  <c r="G108" i="210"/>
  <c r="F108" i="210"/>
  <c r="J107" i="210"/>
  <c r="I107" i="210"/>
  <c r="H107" i="210"/>
  <c r="G107" i="210"/>
  <c r="F107" i="210"/>
  <c r="J106" i="210"/>
  <c r="I106" i="210"/>
  <c r="H106" i="210"/>
  <c r="G106" i="210"/>
  <c r="F106" i="210"/>
  <c r="J105" i="210"/>
  <c r="I105" i="210"/>
  <c r="H105" i="210"/>
  <c r="G105" i="210"/>
  <c r="F105" i="210"/>
  <c r="J104" i="210"/>
  <c r="I104" i="210"/>
  <c r="H104" i="210"/>
  <c r="G104" i="210"/>
  <c r="F104" i="210"/>
  <c r="Q14" i="208"/>
  <c r="Q13" i="208"/>
  <c r="Q15" i="208" s="1"/>
  <c r="J47" i="211"/>
  <c r="I47" i="211"/>
  <c r="H47" i="211"/>
  <c r="G47" i="211"/>
  <c r="J46" i="211"/>
  <c r="I46" i="211"/>
  <c r="H46" i="211"/>
  <c r="G46" i="211"/>
  <c r="J45" i="211"/>
  <c r="I45" i="211"/>
  <c r="H45" i="211"/>
  <c r="G45" i="211"/>
  <c r="J44" i="211"/>
  <c r="I44" i="211"/>
  <c r="H44" i="211"/>
  <c r="G44" i="211"/>
  <c r="J43" i="211"/>
  <c r="I43" i="211"/>
  <c r="H43" i="211"/>
  <c r="G43" i="211"/>
  <c r="J42" i="211"/>
  <c r="I42" i="211"/>
  <c r="H42" i="211"/>
  <c r="G42" i="211"/>
  <c r="J41" i="211"/>
  <c r="I41" i="211"/>
  <c r="H41" i="211"/>
  <c r="G41" i="211"/>
  <c r="J40" i="211"/>
  <c r="I40" i="211"/>
  <c r="H40" i="211"/>
  <c r="G40" i="211"/>
  <c r="J39" i="211"/>
  <c r="I39" i="211"/>
  <c r="H39" i="211"/>
  <c r="G39" i="211"/>
  <c r="J38" i="211"/>
  <c r="I38" i="211"/>
  <c r="H38" i="211"/>
  <c r="G38" i="211"/>
  <c r="J37" i="211"/>
  <c r="I37" i="211"/>
  <c r="H37" i="211"/>
  <c r="G37" i="211"/>
  <c r="J36" i="211"/>
  <c r="I36" i="211"/>
  <c r="H36" i="211"/>
  <c r="G36" i="211"/>
  <c r="J35" i="211"/>
  <c r="I35" i="211"/>
  <c r="H35" i="211"/>
  <c r="G35" i="211"/>
  <c r="J34" i="211"/>
  <c r="I34" i="211"/>
  <c r="H34" i="211"/>
  <c r="G34" i="211"/>
  <c r="J33" i="211"/>
  <c r="I33" i="211"/>
  <c r="H33" i="211"/>
  <c r="G33" i="211"/>
  <c r="J32" i="211"/>
  <c r="I32" i="211"/>
  <c r="H32" i="211"/>
  <c r="G32" i="211"/>
  <c r="J31" i="211"/>
  <c r="I31" i="211"/>
  <c r="H31" i="211"/>
  <c r="G31" i="211"/>
  <c r="J30" i="211"/>
  <c r="I30" i="211"/>
  <c r="H30" i="211"/>
  <c r="G30" i="211"/>
  <c r="J29" i="211"/>
  <c r="I29" i="211"/>
  <c r="H29" i="211"/>
  <c r="G29" i="211"/>
  <c r="J28" i="211"/>
  <c r="I28" i="211"/>
  <c r="H28" i="211"/>
  <c r="G28" i="211"/>
  <c r="J27" i="211"/>
  <c r="I27" i="211"/>
  <c r="H27" i="211"/>
  <c r="G27" i="211"/>
  <c r="J26" i="211"/>
  <c r="I26" i="211"/>
  <c r="H26" i="211"/>
  <c r="G26" i="211"/>
  <c r="J25" i="211"/>
  <c r="I25" i="211"/>
  <c r="H25" i="211"/>
  <c r="G25" i="211"/>
  <c r="J24" i="211"/>
  <c r="I24" i="211"/>
  <c r="H24" i="211"/>
  <c r="G24" i="211"/>
  <c r="J23" i="211"/>
  <c r="I23" i="211"/>
  <c r="H23" i="211"/>
  <c r="G23" i="211"/>
  <c r="J22" i="211"/>
  <c r="I22" i="211"/>
  <c r="H22" i="211"/>
  <c r="G22" i="211"/>
  <c r="J21" i="211"/>
  <c r="I21" i="211"/>
  <c r="H21" i="211"/>
  <c r="G21" i="211"/>
  <c r="J20" i="211"/>
  <c r="I20" i="211"/>
  <c r="H20" i="211"/>
  <c r="G20" i="211"/>
  <c r="J19" i="211"/>
  <c r="I19" i="211"/>
  <c r="H19" i="211"/>
  <c r="G19" i="211"/>
  <c r="J18" i="211"/>
  <c r="I18" i="211"/>
  <c r="H18" i="211"/>
  <c r="G18" i="211"/>
  <c r="J17" i="211"/>
  <c r="I17" i="211"/>
  <c r="H17" i="211"/>
  <c r="G17" i="211"/>
  <c r="J16" i="211"/>
  <c r="I16" i="211"/>
  <c r="H16" i="211"/>
  <c r="G16" i="211"/>
  <c r="Q13" i="211"/>
  <c r="E7" i="211"/>
  <c r="E104" i="211" s="1"/>
  <c r="N6" i="211"/>
  <c r="T15" i="211" s="1"/>
  <c r="C15" i="211" s="1"/>
  <c r="B131" i="211"/>
  <c r="B130" i="211"/>
  <c r="B129" i="211"/>
  <c r="B128" i="211"/>
  <c r="B127" i="211"/>
  <c r="B126" i="211"/>
  <c r="B125" i="211"/>
  <c r="B124" i="211"/>
  <c r="B123" i="211"/>
  <c r="B122" i="211"/>
  <c r="B121" i="211"/>
  <c r="B120" i="211"/>
  <c r="B119" i="211"/>
  <c r="B118" i="211"/>
  <c r="B117" i="211"/>
  <c r="B116" i="211"/>
  <c r="B115" i="211"/>
  <c r="B114" i="211"/>
  <c r="B113" i="211"/>
  <c r="B112" i="211"/>
  <c r="B111" i="211"/>
  <c r="B110" i="211"/>
  <c r="A110" i="211"/>
  <c r="A111" i="211" s="1"/>
  <c r="A112" i="211" s="1"/>
  <c r="A113" i="211" s="1"/>
  <c r="A114" i="211" s="1"/>
  <c r="A115" i="211" s="1"/>
  <c r="A116" i="211" s="1"/>
  <c r="A117" i="211" s="1"/>
  <c r="A118" i="211" s="1"/>
  <c r="A119" i="211" s="1"/>
  <c r="A120" i="211" s="1"/>
  <c r="A121" i="211" s="1"/>
  <c r="A122" i="211" s="1"/>
  <c r="A123" i="211" s="1"/>
  <c r="A124" i="211" s="1"/>
  <c r="A125" i="211" s="1"/>
  <c r="A126" i="211" s="1"/>
  <c r="A127" i="211" s="1"/>
  <c r="A128" i="211" s="1"/>
  <c r="A129" i="211" s="1"/>
  <c r="A130" i="211" s="1"/>
  <c r="A131" i="211" s="1"/>
  <c r="A132" i="211" s="1"/>
  <c r="A133" i="211" s="1"/>
  <c r="B109" i="211"/>
  <c r="B108" i="211"/>
  <c r="A101" i="211"/>
  <c r="P85" i="211"/>
  <c r="J15" i="211"/>
  <c r="I15" i="211"/>
  <c r="H15" i="211"/>
  <c r="G15" i="211"/>
  <c r="J14" i="211"/>
  <c r="I14" i="211"/>
  <c r="H14" i="211"/>
  <c r="G14" i="211"/>
  <c r="J13" i="211"/>
  <c r="I13" i="211"/>
  <c r="H13" i="211"/>
  <c r="G13" i="211"/>
  <c r="J12" i="211"/>
  <c r="I12" i="211"/>
  <c r="H12" i="211"/>
  <c r="G12" i="211"/>
  <c r="B12" i="211"/>
  <c r="L6" i="211"/>
  <c r="N5" i="211"/>
  <c r="A5" i="211" s="1"/>
  <c r="A102" i="211" s="1"/>
  <c r="T46" i="211" l="1"/>
  <c r="C46" i="211" s="1"/>
  <c r="Q14" i="211"/>
  <c r="B13" i="211"/>
  <c r="B49" i="211"/>
  <c r="Q51" i="211"/>
  <c r="B50" i="211"/>
  <c r="T51" i="211"/>
  <c r="C51" i="211" s="1"/>
  <c r="T55" i="211"/>
  <c r="C55" i="211" s="1"/>
  <c r="T59" i="211"/>
  <c r="C59" i="211" s="1"/>
  <c r="T63" i="211"/>
  <c r="C63" i="211" s="1"/>
  <c r="T67" i="211"/>
  <c r="C67" i="211" s="1"/>
  <c r="T71" i="211"/>
  <c r="C71" i="211" s="1"/>
  <c r="T75" i="211"/>
  <c r="C75" i="211" s="1"/>
  <c r="T79" i="211"/>
  <c r="C79" i="211" s="1"/>
  <c r="T83" i="211"/>
  <c r="C83" i="211" s="1"/>
  <c r="T48" i="211"/>
  <c r="C48" i="211" s="1"/>
  <c r="T52" i="211"/>
  <c r="C52" i="211" s="1"/>
  <c r="T56" i="211"/>
  <c r="C56" i="211" s="1"/>
  <c r="T60" i="211"/>
  <c r="C60" i="211" s="1"/>
  <c r="T64" i="211"/>
  <c r="C64" i="211" s="1"/>
  <c r="T68" i="211"/>
  <c r="C68" i="211" s="1"/>
  <c r="T72" i="211"/>
  <c r="C72" i="211" s="1"/>
  <c r="T76" i="211"/>
  <c r="C76" i="211" s="1"/>
  <c r="T80" i="211"/>
  <c r="C80" i="211" s="1"/>
  <c r="T49" i="211"/>
  <c r="C49" i="211" s="1"/>
  <c r="T53" i="211"/>
  <c r="C53" i="211" s="1"/>
  <c r="T57" i="211"/>
  <c r="C57" i="211" s="1"/>
  <c r="T61" i="211"/>
  <c r="C61" i="211" s="1"/>
  <c r="T65" i="211"/>
  <c r="C65" i="211" s="1"/>
  <c r="T69" i="211"/>
  <c r="C69" i="211" s="1"/>
  <c r="T73" i="211"/>
  <c r="C73" i="211" s="1"/>
  <c r="T77" i="211"/>
  <c r="C77" i="211" s="1"/>
  <c r="T81" i="211"/>
  <c r="C81" i="211" s="1"/>
  <c r="T50" i="211"/>
  <c r="C50" i="211" s="1"/>
  <c r="T54" i="211"/>
  <c r="C54" i="211" s="1"/>
  <c r="T58" i="211"/>
  <c r="C58" i="211" s="1"/>
  <c r="T62" i="211"/>
  <c r="C62" i="211" s="1"/>
  <c r="T66" i="211"/>
  <c r="C66" i="211" s="1"/>
  <c r="T70" i="211"/>
  <c r="C70" i="211" s="1"/>
  <c r="T74" i="211"/>
  <c r="C74" i="211" s="1"/>
  <c r="T78" i="211"/>
  <c r="C78" i="211" s="1"/>
  <c r="T82" i="211"/>
  <c r="C82" i="211" s="1"/>
  <c r="T19" i="211"/>
  <c r="C19" i="211" s="1"/>
  <c r="T23" i="211"/>
  <c r="C23" i="211" s="1"/>
  <c r="T27" i="211"/>
  <c r="C27" i="211" s="1"/>
  <c r="T31" i="211"/>
  <c r="C31" i="211" s="1"/>
  <c r="T35" i="211"/>
  <c r="C35" i="211" s="1"/>
  <c r="T39" i="211"/>
  <c r="C39" i="211" s="1"/>
  <c r="T43" i="211"/>
  <c r="C43" i="211" s="1"/>
  <c r="T47" i="211"/>
  <c r="C47" i="211" s="1"/>
  <c r="T16" i="211"/>
  <c r="C16" i="211" s="1"/>
  <c r="T20" i="211"/>
  <c r="C20" i="211" s="1"/>
  <c r="T24" i="211"/>
  <c r="C24" i="211" s="1"/>
  <c r="T28" i="211"/>
  <c r="C28" i="211" s="1"/>
  <c r="T32" i="211"/>
  <c r="C32" i="211" s="1"/>
  <c r="T36" i="211"/>
  <c r="C36" i="211" s="1"/>
  <c r="T40" i="211"/>
  <c r="C40" i="211" s="1"/>
  <c r="T44" i="211"/>
  <c r="C44" i="211" s="1"/>
  <c r="T17" i="211"/>
  <c r="C17" i="211" s="1"/>
  <c r="T21" i="211"/>
  <c r="C21" i="211" s="1"/>
  <c r="T25" i="211"/>
  <c r="C25" i="211" s="1"/>
  <c r="T29" i="211"/>
  <c r="C29" i="211" s="1"/>
  <c r="T33" i="211"/>
  <c r="C33" i="211" s="1"/>
  <c r="T37" i="211"/>
  <c r="C37" i="211" s="1"/>
  <c r="T41" i="211"/>
  <c r="C41" i="211" s="1"/>
  <c r="T45" i="211"/>
  <c r="C45" i="211" s="1"/>
  <c r="T18" i="211"/>
  <c r="C18" i="211" s="1"/>
  <c r="T22" i="211"/>
  <c r="C22" i="211" s="1"/>
  <c r="T26" i="211"/>
  <c r="C26" i="211" s="1"/>
  <c r="T30" i="211"/>
  <c r="C30" i="211" s="1"/>
  <c r="T34" i="211"/>
  <c r="C34" i="211" s="1"/>
  <c r="T38" i="211"/>
  <c r="C38" i="211" s="1"/>
  <c r="T42" i="211"/>
  <c r="C42" i="211" s="1"/>
  <c r="A12" i="211"/>
  <c r="A6" i="211"/>
  <c r="A103" i="211" s="1"/>
  <c r="T12" i="211"/>
  <c r="C12" i="211" s="1"/>
  <c r="T14" i="211"/>
  <c r="C14" i="211" s="1"/>
  <c r="D108" i="211"/>
  <c r="D109" i="211" s="1"/>
  <c r="D110" i="211" s="1"/>
  <c r="D111" i="211" s="1"/>
  <c r="D112" i="211" s="1"/>
  <c r="D113" i="211" s="1"/>
  <c r="D114" i="211" s="1"/>
  <c r="D115" i="211" s="1"/>
  <c r="D116" i="211" s="1"/>
  <c r="D117" i="211" s="1"/>
  <c r="D118" i="211" s="1"/>
  <c r="D119" i="211" s="1"/>
  <c r="D120" i="211" s="1"/>
  <c r="D121" i="211" s="1"/>
  <c r="D122" i="211" s="1"/>
  <c r="D123" i="211" s="1"/>
  <c r="D124" i="211" s="1"/>
  <c r="D125" i="211" s="1"/>
  <c r="D126" i="211" s="1"/>
  <c r="D127" i="211" s="1"/>
  <c r="D128" i="211" s="1"/>
  <c r="D129" i="211" s="1"/>
  <c r="D130" i="211" s="1"/>
  <c r="D131" i="211" s="1"/>
  <c r="T13" i="211"/>
  <c r="C13" i="211" s="1"/>
  <c r="J103" i="210"/>
  <c r="I103" i="210"/>
  <c r="H103" i="210"/>
  <c r="G103" i="210"/>
  <c r="F103" i="210"/>
  <c r="J102" i="210"/>
  <c r="I102" i="210"/>
  <c r="H102" i="210"/>
  <c r="G102" i="210"/>
  <c r="F102" i="210"/>
  <c r="J101" i="210"/>
  <c r="I101" i="210"/>
  <c r="H101" i="210"/>
  <c r="G101" i="210"/>
  <c r="F101" i="210"/>
  <c r="J100" i="210"/>
  <c r="I100" i="210"/>
  <c r="H100" i="210"/>
  <c r="G100" i="210"/>
  <c r="F100" i="210"/>
  <c r="J99" i="210"/>
  <c r="I99" i="210"/>
  <c r="H99" i="210"/>
  <c r="G99" i="210"/>
  <c r="F99" i="210"/>
  <c r="J98" i="210"/>
  <c r="I98" i="210"/>
  <c r="H98" i="210"/>
  <c r="G98" i="210"/>
  <c r="F98" i="210"/>
  <c r="J97" i="210"/>
  <c r="I97" i="210"/>
  <c r="H97" i="210"/>
  <c r="G97" i="210"/>
  <c r="F97" i="210"/>
  <c r="J96" i="210"/>
  <c r="I96" i="210"/>
  <c r="H96" i="210"/>
  <c r="G96" i="210"/>
  <c r="F96" i="210"/>
  <c r="J95" i="210"/>
  <c r="I95" i="210"/>
  <c r="H95" i="210"/>
  <c r="G95" i="210"/>
  <c r="F95" i="210"/>
  <c r="J94" i="210"/>
  <c r="I94" i="210"/>
  <c r="H94" i="210"/>
  <c r="G94" i="210"/>
  <c r="F94" i="210"/>
  <c r="J93" i="210"/>
  <c r="I93" i="210"/>
  <c r="H93" i="210"/>
  <c r="G93" i="210"/>
  <c r="F93" i="210"/>
  <c r="J92" i="210"/>
  <c r="I92" i="210"/>
  <c r="H92" i="210"/>
  <c r="G92" i="210"/>
  <c r="F92" i="210"/>
  <c r="J91" i="210"/>
  <c r="I91" i="210"/>
  <c r="H91" i="210"/>
  <c r="G91" i="210"/>
  <c r="F91" i="210"/>
  <c r="J90" i="210"/>
  <c r="I90" i="210"/>
  <c r="H90" i="210"/>
  <c r="G90" i="210"/>
  <c r="F90" i="210"/>
  <c r="J89" i="210"/>
  <c r="I89" i="210"/>
  <c r="H89" i="210"/>
  <c r="G89" i="210"/>
  <c r="F89" i="210"/>
  <c r="J88" i="210"/>
  <c r="I88" i="210"/>
  <c r="H88" i="210"/>
  <c r="G88" i="210"/>
  <c r="F88" i="210"/>
  <c r="J87" i="210"/>
  <c r="I87" i="210"/>
  <c r="H87" i="210"/>
  <c r="G87" i="210"/>
  <c r="F87" i="210"/>
  <c r="J86" i="210"/>
  <c r="I86" i="210"/>
  <c r="H86" i="210"/>
  <c r="G86" i="210"/>
  <c r="F86" i="210"/>
  <c r="J85" i="210"/>
  <c r="I85" i="210"/>
  <c r="H85" i="210"/>
  <c r="G85" i="210"/>
  <c r="F85" i="210"/>
  <c r="J84" i="210"/>
  <c r="I84" i="210"/>
  <c r="H84" i="210"/>
  <c r="G84" i="210"/>
  <c r="F84" i="210"/>
  <c r="J83" i="210"/>
  <c r="I83" i="210"/>
  <c r="H83" i="210"/>
  <c r="G83" i="210"/>
  <c r="F83" i="210"/>
  <c r="J82" i="210"/>
  <c r="I82" i="210"/>
  <c r="H82" i="210"/>
  <c r="G82" i="210"/>
  <c r="F82" i="210"/>
  <c r="J81" i="210"/>
  <c r="I81" i="210"/>
  <c r="H81" i="210"/>
  <c r="G81" i="210"/>
  <c r="F81" i="210"/>
  <c r="Q80" i="210"/>
  <c r="B80" i="210" s="1"/>
  <c r="J80" i="210"/>
  <c r="I80" i="210"/>
  <c r="H80" i="210"/>
  <c r="G80" i="210"/>
  <c r="F80" i="210"/>
  <c r="J79" i="210"/>
  <c r="I79" i="210"/>
  <c r="H79" i="210"/>
  <c r="G79" i="210"/>
  <c r="F79" i="210"/>
  <c r="B79" i="210"/>
  <c r="J44" i="210"/>
  <c r="I44" i="210"/>
  <c r="H44" i="210"/>
  <c r="G44" i="210"/>
  <c r="F44" i="210"/>
  <c r="J43" i="210"/>
  <c r="I43" i="210"/>
  <c r="H43" i="210"/>
  <c r="G43" i="210"/>
  <c r="F43" i="210"/>
  <c r="J42" i="210"/>
  <c r="I42" i="210"/>
  <c r="H42" i="210"/>
  <c r="G42" i="210"/>
  <c r="F42" i="210"/>
  <c r="J41" i="210"/>
  <c r="I41" i="210"/>
  <c r="H41" i="210"/>
  <c r="G41" i="210"/>
  <c r="F41" i="210"/>
  <c r="J40" i="210"/>
  <c r="I40" i="210"/>
  <c r="H40" i="210"/>
  <c r="G40" i="210"/>
  <c r="F40" i="210"/>
  <c r="J39" i="210"/>
  <c r="I39" i="210"/>
  <c r="H39" i="210"/>
  <c r="G39" i="210"/>
  <c r="F39" i="210"/>
  <c r="J38" i="210"/>
  <c r="I38" i="210"/>
  <c r="H38" i="210"/>
  <c r="G38" i="210"/>
  <c r="F38" i="210"/>
  <c r="J37" i="210"/>
  <c r="I37" i="210"/>
  <c r="H37" i="210"/>
  <c r="G37" i="210"/>
  <c r="F37" i="210"/>
  <c r="J36" i="210"/>
  <c r="I36" i="210"/>
  <c r="H36" i="210"/>
  <c r="G36" i="210"/>
  <c r="F36" i="210"/>
  <c r="J35" i="210"/>
  <c r="I35" i="210"/>
  <c r="H35" i="210"/>
  <c r="G35" i="210"/>
  <c r="F35" i="210"/>
  <c r="J34" i="210"/>
  <c r="I34" i="210"/>
  <c r="H34" i="210"/>
  <c r="G34" i="210"/>
  <c r="F34" i="210"/>
  <c r="J33" i="210"/>
  <c r="I33" i="210"/>
  <c r="H33" i="210"/>
  <c r="G33" i="210"/>
  <c r="F33" i="210"/>
  <c r="J32" i="210"/>
  <c r="I32" i="210"/>
  <c r="H32" i="210"/>
  <c r="G32" i="210"/>
  <c r="F32" i="210"/>
  <c r="J31" i="210"/>
  <c r="I31" i="210"/>
  <c r="H31" i="210"/>
  <c r="G31" i="210"/>
  <c r="F31" i="210"/>
  <c r="J30" i="210"/>
  <c r="I30" i="210"/>
  <c r="H30" i="210"/>
  <c r="G30" i="210"/>
  <c r="F30" i="210"/>
  <c r="J29" i="210"/>
  <c r="I29" i="210"/>
  <c r="H29" i="210"/>
  <c r="G29" i="210"/>
  <c r="F29" i="210"/>
  <c r="J28" i="210"/>
  <c r="I28" i="210"/>
  <c r="H28" i="210"/>
  <c r="G28" i="210"/>
  <c r="F28" i="210"/>
  <c r="J27" i="210"/>
  <c r="I27" i="210"/>
  <c r="H27" i="210"/>
  <c r="G27" i="210"/>
  <c r="F27" i="210"/>
  <c r="J26" i="210"/>
  <c r="I26" i="210"/>
  <c r="H26" i="210"/>
  <c r="G26" i="210"/>
  <c r="F26" i="210"/>
  <c r="J25" i="210"/>
  <c r="I25" i="210"/>
  <c r="H25" i="210"/>
  <c r="G25" i="210"/>
  <c r="F25" i="210"/>
  <c r="J24" i="210"/>
  <c r="I24" i="210"/>
  <c r="H24" i="210"/>
  <c r="G24" i="210"/>
  <c r="F24" i="210"/>
  <c r="J23" i="210"/>
  <c r="I23" i="210"/>
  <c r="H23" i="210"/>
  <c r="G23" i="210"/>
  <c r="F23" i="210"/>
  <c r="J22" i="210"/>
  <c r="I22" i="210"/>
  <c r="H22" i="210"/>
  <c r="G22" i="210"/>
  <c r="F22" i="210"/>
  <c r="Q13" i="210"/>
  <c r="Q14" i="210" s="1"/>
  <c r="L7" i="210"/>
  <c r="E7" i="210" s="1"/>
  <c r="E150" i="210" s="1"/>
  <c r="N6" i="210"/>
  <c r="B177" i="210"/>
  <c r="B176" i="210"/>
  <c r="B175" i="210"/>
  <c r="B174" i="210"/>
  <c r="B173" i="210"/>
  <c r="B172" i="210"/>
  <c r="B171" i="210"/>
  <c r="B170" i="210"/>
  <c r="B169" i="210"/>
  <c r="B168" i="210"/>
  <c r="B167" i="210"/>
  <c r="B166" i="210"/>
  <c r="B165" i="210"/>
  <c r="B164" i="210"/>
  <c r="B163" i="210"/>
  <c r="B162" i="210"/>
  <c r="B161" i="210"/>
  <c r="B160" i="210"/>
  <c r="B159" i="210"/>
  <c r="B158" i="210"/>
  <c r="B157" i="210"/>
  <c r="B156" i="210"/>
  <c r="A156" i="210"/>
  <c r="A157" i="210" s="1"/>
  <c r="A158" i="210" s="1"/>
  <c r="A159" i="210" s="1"/>
  <c r="A160" i="210" s="1"/>
  <c r="A161" i="210" s="1"/>
  <c r="A162" i="210" s="1"/>
  <c r="A163" i="210" s="1"/>
  <c r="A164" i="210" s="1"/>
  <c r="A165" i="210" s="1"/>
  <c r="A166" i="210" s="1"/>
  <c r="A167" i="210" s="1"/>
  <c r="A168" i="210" s="1"/>
  <c r="A169" i="210" s="1"/>
  <c r="A170" i="210" s="1"/>
  <c r="A171" i="210" s="1"/>
  <c r="A172" i="210" s="1"/>
  <c r="A173" i="210" s="1"/>
  <c r="A174" i="210" s="1"/>
  <c r="A175" i="210" s="1"/>
  <c r="A176" i="210" s="1"/>
  <c r="A177" i="210" s="1"/>
  <c r="A178" i="210" s="1"/>
  <c r="A179" i="210" s="1"/>
  <c r="B155" i="210"/>
  <c r="B154" i="210"/>
  <c r="A147" i="210"/>
  <c r="P131" i="210"/>
  <c r="J21" i="210"/>
  <c r="I21" i="210"/>
  <c r="H21" i="210"/>
  <c r="G21" i="210"/>
  <c r="F21" i="210"/>
  <c r="J20" i="210"/>
  <c r="I20" i="210"/>
  <c r="H20" i="210"/>
  <c r="G20" i="210"/>
  <c r="F20" i="210"/>
  <c r="J19" i="210"/>
  <c r="I19" i="210"/>
  <c r="H19" i="210"/>
  <c r="G19" i="210"/>
  <c r="F19" i="210"/>
  <c r="J18" i="210"/>
  <c r="I18" i="210"/>
  <c r="H18" i="210"/>
  <c r="G18" i="210"/>
  <c r="F18" i="210"/>
  <c r="J17" i="210"/>
  <c r="I17" i="210"/>
  <c r="H17" i="210"/>
  <c r="G17" i="210"/>
  <c r="F17" i="210"/>
  <c r="J16" i="210"/>
  <c r="I16" i="210"/>
  <c r="H16" i="210"/>
  <c r="G16" i="210"/>
  <c r="F16" i="210"/>
  <c r="J15" i="210"/>
  <c r="I15" i="210"/>
  <c r="H15" i="210"/>
  <c r="G15" i="210"/>
  <c r="F15" i="210"/>
  <c r="J14" i="210"/>
  <c r="I14" i="210"/>
  <c r="H14" i="210"/>
  <c r="G14" i="210"/>
  <c r="F14" i="210"/>
  <c r="J13" i="210"/>
  <c r="I13" i="210"/>
  <c r="H13" i="210"/>
  <c r="G13" i="210"/>
  <c r="F13" i="210"/>
  <c r="J12" i="210"/>
  <c r="I12" i="210"/>
  <c r="H12" i="210"/>
  <c r="G12" i="210"/>
  <c r="F12" i="210"/>
  <c r="B12" i="210"/>
  <c r="A12" i="210" s="1"/>
  <c r="L6" i="210"/>
  <c r="N5" i="210"/>
  <c r="A5" i="210" s="1"/>
  <c r="A148" i="210" s="1"/>
  <c r="J21" i="209"/>
  <c r="I21" i="209"/>
  <c r="H21" i="209"/>
  <c r="G21" i="209"/>
  <c r="F21" i="209"/>
  <c r="B21" i="209"/>
  <c r="J20" i="209"/>
  <c r="I20" i="209"/>
  <c r="H20" i="209"/>
  <c r="G20" i="209"/>
  <c r="F20" i="209"/>
  <c r="B20" i="209"/>
  <c r="J19" i="209"/>
  <c r="I19" i="209"/>
  <c r="H19" i="209"/>
  <c r="G19" i="209"/>
  <c r="F19" i="209"/>
  <c r="B19" i="209"/>
  <c r="J18" i="209"/>
  <c r="I18" i="209"/>
  <c r="H18" i="209"/>
  <c r="G18" i="209"/>
  <c r="F18" i="209"/>
  <c r="B18" i="209"/>
  <c r="J17" i="209"/>
  <c r="I17" i="209"/>
  <c r="H17" i="209"/>
  <c r="G17" i="209"/>
  <c r="F17" i="209"/>
  <c r="B17" i="209"/>
  <c r="J16" i="209"/>
  <c r="I16" i="209"/>
  <c r="H16" i="209"/>
  <c r="G16" i="209"/>
  <c r="F16" i="209"/>
  <c r="B16" i="209"/>
  <c r="L7" i="209"/>
  <c r="E7" i="209" s="1"/>
  <c r="E42" i="209" s="1"/>
  <c r="N6" i="209"/>
  <c r="D46" i="209" s="1"/>
  <c r="D47" i="209" s="1"/>
  <c r="D48" i="209" s="1"/>
  <c r="D49" i="209" s="1"/>
  <c r="D50" i="209" s="1"/>
  <c r="D51" i="209" s="1"/>
  <c r="D52" i="209" s="1"/>
  <c r="D53" i="209" s="1"/>
  <c r="D54" i="209" s="1"/>
  <c r="D55" i="209" s="1"/>
  <c r="D56" i="209" s="1"/>
  <c r="D57" i="209" s="1"/>
  <c r="D58" i="209" s="1"/>
  <c r="D59" i="209" s="1"/>
  <c r="D60" i="209" s="1"/>
  <c r="D61" i="209" s="1"/>
  <c r="D62" i="209" s="1"/>
  <c r="D63" i="209" s="1"/>
  <c r="D64" i="209" s="1"/>
  <c r="D65" i="209" s="1"/>
  <c r="D66" i="209" s="1"/>
  <c r="D67" i="209" s="1"/>
  <c r="D68" i="209" s="1"/>
  <c r="D69" i="209" s="1"/>
  <c r="B69" i="209"/>
  <c r="B68" i="209"/>
  <c r="B67" i="209"/>
  <c r="B66" i="209"/>
  <c r="B65" i="209"/>
  <c r="B64" i="209"/>
  <c r="B63" i="209"/>
  <c r="B62" i="209"/>
  <c r="B61" i="209"/>
  <c r="B60" i="209"/>
  <c r="B59" i="209"/>
  <c r="B58" i="209"/>
  <c r="B57" i="209"/>
  <c r="B56" i="209"/>
  <c r="B55" i="209"/>
  <c r="B54" i="209"/>
  <c r="B53" i="209"/>
  <c r="B52" i="209"/>
  <c r="B51" i="209"/>
  <c r="B50" i="209"/>
  <c r="B49" i="209"/>
  <c r="B48" i="209"/>
  <c r="A48" i="209"/>
  <c r="A49" i="209" s="1"/>
  <c r="A50" i="209" s="1"/>
  <c r="A51" i="209" s="1"/>
  <c r="A52" i="209" s="1"/>
  <c r="A53" i="209" s="1"/>
  <c r="A54" i="209" s="1"/>
  <c r="A55" i="209" s="1"/>
  <c r="A56" i="209" s="1"/>
  <c r="A57" i="209" s="1"/>
  <c r="A58" i="209" s="1"/>
  <c r="A59" i="209" s="1"/>
  <c r="A60" i="209" s="1"/>
  <c r="A61" i="209" s="1"/>
  <c r="A62" i="209" s="1"/>
  <c r="A63" i="209" s="1"/>
  <c r="A64" i="209" s="1"/>
  <c r="A65" i="209" s="1"/>
  <c r="A66" i="209" s="1"/>
  <c r="A67" i="209" s="1"/>
  <c r="A68" i="209" s="1"/>
  <c r="A69" i="209" s="1"/>
  <c r="A70" i="209" s="1"/>
  <c r="A71" i="209" s="1"/>
  <c r="B47" i="209"/>
  <c r="B46" i="209"/>
  <c r="A39" i="209"/>
  <c r="P23" i="209"/>
  <c r="J15" i="209"/>
  <c r="I15" i="209"/>
  <c r="H15" i="209"/>
  <c r="G15" i="209"/>
  <c r="F15" i="209"/>
  <c r="B15" i="209"/>
  <c r="J14" i="209"/>
  <c r="I14" i="209"/>
  <c r="H14" i="209"/>
  <c r="G14" i="209"/>
  <c r="F14" i="209"/>
  <c r="B14" i="209"/>
  <c r="J13" i="209"/>
  <c r="I13" i="209"/>
  <c r="H13" i="209"/>
  <c r="G13" i="209"/>
  <c r="F13" i="209"/>
  <c r="B13" i="209"/>
  <c r="J12" i="209"/>
  <c r="I12" i="209"/>
  <c r="H12" i="209"/>
  <c r="G12" i="209"/>
  <c r="F12" i="209"/>
  <c r="B12" i="209"/>
  <c r="A12" i="209" s="1"/>
  <c r="L6" i="209"/>
  <c r="N5" i="209"/>
  <c r="A5" i="209" s="1"/>
  <c r="A40" i="209" s="1"/>
  <c r="N5" i="208"/>
  <c r="A5" i="208" s="1"/>
  <c r="A34" i="208" s="1"/>
  <c r="L7" i="208"/>
  <c r="E7" i="208" s="1"/>
  <c r="E36" i="208" s="1"/>
  <c r="N6" i="208"/>
  <c r="T12" i="208" s="1"/>
  <c r="C12" i="208" s="1"/>
  <c r="B63" i="208"/>
  <c r="B62" i="208"/>
  <c r="B61" i="208"/>
  <c r="B60" i="208"/>
  <c r="B59" i="208"/>
  <c r="B58" i="208"/>
  <c r="B57" i="208"/>
  <c r="B56" i="208"/>
  <c r="B55" i="208"/>
  <c r="B54" i="208"/>
  <c r="B53" i="208"/>
  <c r="B52" i="208"/>
  <c r="B51" i="208"/>
  <c r="B50" i="208"/>
  <c r="B49" i="208"/>
  <c r="B48" i="208"/>
  <c r="B47" i="208"/>
  <c r="B46" i="208"/>
  <c r="B45" i="208"/>
  <c r="B44" i="208"/>
  <c r="B43" i="208"/>
  <c r="B42" i="208"/>
  <c r="A42" i="208"/>
  <c r="A43" i="208" s="1"/>
  <c r="A44" i="208" s="1"/>
  <c r="A45" i="208" s="1"/>
  <c r="A46" i="208" s="1"/>
  <c r="A47" i="208" s="1"/>
  <c r="A48" i="208" s="1"/>
  <c r="A49" i="208" s="1"/>
  <c r="A50" i="208" s="1"/>
  <c r="A51" i="208" s="1"/>
  <c r="A52" i="208" s="1"/>
  <c r="A53" i="208" s="1"/>
  <c r="A54" i="208" s="1"/>
  <c r="A55" i="208" s="1"/>
  <c r="A56" i="208" s="1"/>
  <c r="A57" i="208" s="1"/>
  <c r="A58" i="208" s="1"/>
  <c r="A59" i="208" s="1"/>
  <c r="A60" i="208" s="1"/>
  <c r="A61" i="208" s="1"/>
  <c r="A62" i="208" s="1"/>
  <c r="A63" i="208" s="1"/>
  <c r="A64" i="208" s="1"/>
  <c r="A65" i="208" s="1"/>
  <c r="B41" i="208"/>
  <c r="B40" i="208"/>
  <c r="A33" i="208"/>
  <c r="P17" i="208"/>
  <c r="J15" i="208"/>
  <c r="G15" i="208"/>
  <c r="H15" i="208" s="1"/>
  <c r="I15" i="208" s="1"/>
  <c r="B15" i="208"/>
  <c r="J14" i="208"/>
  <c r="G14" i="208"/>
  <c r="H14" i="208" s="1"/>
  <c r="I14" i="208" s="1"/>
  <c r="B14" i="208"/>
  <c r="J13" i="208"/>
  <c r="G13" i="208"/>
  <c r="F13" i="208"/>
  <c r="B13" i="208"/>
  <c r="J12" i="208"/>
  <c r="G12" i="208"/>
  <c r="F12" i="208"/>
  <c r="B12" i="208"/>
  <c r="L6" i="208"/>
  <c r="L7" i="207"/>
  <c r="E7" i="207" s="1"/>
  <c r="E33" i="207" s="1"/>
  <c r="N6" i="207"/>
  <c r="N5" i="207"/>
  <c r="A5" i="207" s="1"/>
  <c r="A31" i="207" s="1"/>
  <c r="B60" i="207"/>
  <c r="B59" i="207"/>
  <c r="B58" i="207"/>
  <c r="B57" i="207"/>
  <c r="B56" i="207"/>
  <c r="B55" i="207"/>
  <c r="B54" i="207"/>
  <c r="B53" i="207"/>
  <c r="B52" i="207"/>
  <c r="B51" i="207"/>
  <c r="B50" i="207"/>
  <c r="B49" i="207"/>
  <c r="B48" i="207"/>
  <c r="B47" i="207"/>
  <c r="B46" i="207"/>
  <c r="B45" i="207"/>
  <c r="B44" i="207"/>
  <c r="B43" i="207"/>
  <c r="B42" i="207"/>
  <c r="B41" i="207"/>
  <c r="B40" i="207"/>
  <c r="B39" i="207"/>
  <c r="A39" i="207"/>
  <c r="A40" i="207" s="1"/>
  <c r="A41" i="207" s="1"/>
  <c r="A42" i="207" s="1"/>
  <c r="A43" i="207" s="1"/>
  <c r="A44" i="207" s="1"/>
  <c r="A45" i="207" s="1"/>
  <c r="A46" i="207" s="1"/>
  <c r="A47" i="207" s="1"/>
  <c r="A48" i="207" s="1"/>
  <c r="A49" i="207" s="1"/>
  <c r="A50" i="207" s="1"/>
  <c r="A51" i="207" s="1"/>
  <c r="A52" i="207" s="1"/>
  <c r="A53" i="207" s="1"/>
  <c r="A54" i="207" s="1"/>
  <c r="A55" i="207" s="1"/>
  <c r="A56" i="207" s="1"/>
  <c r="A57" i="207" s="1"/>
  <c r="A58" i="207" s="1"/>
  <c r="A59" i="207" s="1"/>
  <c r="A60" i="207" s="1"/>
  <c r="A61" i="207" s="1"/>
  <c r="A62" i="207" s="1"/>
  <c r="B38" i="207"/>
  <c r="B37" i="207"/>
  <c r="A30" i="207"/>
  <c r="P14" i="207"/>
  <c r="J12" i="207"/>
  <c r="J14" i="207" s="1"/>
  <c r="I60" i="144" s="1"/>
  <c r="I12" i="207"/>
  <c r="I14" i="207" s="1"/>
  <c r="H12" i="207"/>
  <c r="H14" i="207" s="1"/>
  <c r="G60" i="144" s="1"/>
  <c r="G12" i="207"/>
  <c r="G14" i="207" s="1"/>
  <c r="F60" i="144" s="1"/>
  <c r="F14" i="207"/>
  <c r="B12" i="207"/>
  <c r="A12" i="207" s="1"/>
  <c r="L6" i="207"/>
  <c r="E155" i="144" l="1"/>
  <c r="H85" i="211"/>
  <c r="H123" i="211" s="1"/>
  <c r="H12" i="208"/>
  <c r="I12" i="208" s="1"/>
  <c r="H13" i="208"/>
  <c r="I13" i="208" s="1"/>
  <c r="I17" i="208" s="1"/>
  <c r="H49" i="209"/>
  <c r="H64" i="208"/>
  <c r="H40" i="208"/>
  <c r="A13" i="209"/>
  <c r="A6" i="207"/>
  <c r="A32" i="207" s="1"/>
  <c r="H69" i="209"/>
  <c r="F154" i="145"/>
  <c r="D70" i="209"/>
  <c r="D71" i="209"/>
  <c r="B13" i="210"/>
  <c r="A13" i="210" s="1"/>
  <c r="Q15" i="211"/>
  <c r="B14" i="211"/>
  <c r="A14" i="211" s="1"/>
  <c r="H37" i="207"/>
  <c r="H62" i="207"/>
  <c r="A7" i="207"/>
  <c r="A33" i="207" s="1"/>
  <c r="H60" i="144"/>
  <c r="A20" i="209"/>
  <c r="H61" i="207"/>
  <c r="A15" i="208"/>
  <c r="H65" i="208"/>
  <c r="D132" i="211"/>
  <c r="D133" i="211"/>
  <c r="H71" i="209"/>
  <c r="H17" i="208"/>
  <c r="G154" i="144" s="1"/>
  <c r="H70" i="209"/>
  <c r="A16" i="209"/>
  <c r="A13" i="211"/>
  <c r="T21" i="209"/>
  <c r="C21" i="209" s="1"/>
  <c r="T19" i="209"/>
  <c r="C19" i="209" s="1"/>
  <c r="T17" i="209"/>
  <c r="C17" i="209" s="1"/>
  <c r="T77" i="210"/>
  <c r="C77" i="210" s="1"/>
  <c r="T76" i="210"/>
  <c r="C76" i="210" s="1"/>
  <c r="T78" i="210"/>
  <c r="C78" i="210" s="1"/>
  <c r="T74" i="210"/>
  <c r="C74" i="210" s="1"/>
  <c r="T70" i="210"/>
  <c r="C70" i="210" s="1"/>
  <c r="T71" i="210"/>
  <c r="C71" i="210" s="1"/>
  <c r="T73" i="210"/>
  <c r="C73" i="210" s="1"/>
  <c r="T72" i="210"/>
  <c r="C72" i="210" s="1"/>
  <c r="T75" i="210"/>
  <c r="C75" i="210" s="1"/>
  <c r="T68" i="210"/>
  <c r="C68" i="210" s="1"/>
  <c r="T64" i="210"/>
  <c r="C64" i="210" s="1"/>
  <c r="T60" i="210"/>
  <c r="C60" i="210" s="1"/>
  <c r="T56" i="210"/>
  <c r="C56" i="210" s="1"/>
  <c r="T67" i="210"/>
  <c r="C67" i="210" s="1"/>
  <c r="T63" i="210"/>
  <c r="C63" i="210" s="1"/>
  <c r="T59" i="210"/>
  <c r="C59" i="210" s="1"/>
  <c r="T55" i="210"/>
  <c r="C55" i="210" s="1"/>
  <c r="T66" i="210"/>
  <c r="C66" i="210" s="1"/>
  <c r="T62" i="210"/>
  <c r="C62" i="210" s="1"/>
  <c r="T58" i="210"/>
  <c r="C58" i="210" s="1"/>
  <c r="T69" i="210"/>
  <c r="C69" i="210" s="1"/>
  <c r="T65" i="210"/>
  <c r="C65" i="210" s="1"/>
  <c r="T61" i="210"/>
  <c r="C61" i="210" s="1"/>
  <c r="T57" i="210"/>
  <c r="C57" i="210" s="1"/>
  <c r="T53" i="210"/>
  <c r="C53" i="210" s="1"/>
  <c r="T49" i="210"/>
  <c r="C49" i="210" s="1"/>
  <c r="T52" i="210"/>
  <c r="C52" i="210" s="1"/>
  <c r="T48" i="210"/>
  <c r="C48" i="210" s="1"/>
  <c r="T51" i="210"/>
  <c r="C51" i="210" s="1"/>
  <c r="T47" i="210"/>
  <c r="C47" i="210" s="1"/>
  <c r="T54" i="210"/>
  <c r="C54" i="210" s="1"/>
  <c r="T50" i="210"/>
  <c r="C50" i="210" s="1"/>
  <c r="T46" i="210"/>
  <c r="C46" i="210" s="1"/>
  <c r="T129" i="210"/>
  <c r="C129" i="210" s="1"/>
  <c r="T45" i="210"/>
  <c r="C45" i="210" s="1"/>
  <c r="Q81" i="210"/>
  <c r="Q82" i="210" s="1"/>
  <c r="Q83" i="210" s="1"/>
  <c r="Q52" i="211"/>
  <c r="B51" i="211"/>
  <c r="T27" i="210"/>
  <c r="C27" i="210" s="1"/>
  <c r="T127" i="210"/>
  <c r="C127" i="210" s="1"/>
  <c r="T123" i="210"/>
  <c r="C123" i="210" s="1"/>
  <c r="T119" i="210"/>
  <c r="C119" i="210" s="1"/>
  <c r="T115" i="210"/>
  <c r="C115" i="210" s="1"/>
  <c r="T111" i="210"/>
  <c r="C111" i="210" s="1"/>
  <c r="T107" i="210"/>
  <c r="C107" i="210" s="1"/>
  <c r="T126" i="210"/>
  <c r="C126" i="210" s="1"/>
  <c r="T122" i="210"/>
  <c r="C122" i="210" s="1"/>
  <c r="T118" i="210"/>
  <c r="C118" i="210" s="1"/>
  <c r="T114" i="210"/>
  <c r="C114" i="210" s="1"/>
  <c r="T110" i="210"/>
  <c r="C110" i="210" s="1"/>
  <c r="T106" i="210"/>
  <c r="C106" i="210" s="1"/>
  <c r="T125" i="210"/>
  <c r="C125" i="210" s="1"/>
  <c r="T121" i="210"/>
  <c r="C121" i="210" s="1"/>
  <c r="T117" i="210"/>
  <c r="C117" i="210" s="1"/>
  <c r="T113" i="210"/>
  <c r="C113" i="210" s="1"/>
  <c r="T109" i="210"/>
  <c r="C109" i="210" s="1"/>
  <c r="T105" i="210"/>
  <c r="C105" i="210" s="1"/>
  <c r="T128" i="210"/>
  <c r="C128" i="210" s="1"/>
  <c r="T124" i="210"/>
  <c r="C124" i="210" s="1"/>
  <c r="T120" i="210"/>
  <c r="C120" i="210" s="1"/>
  <c r="T116" i="210"/>
  <c r="C116" i="210" s="1"/>
  <c r="T112" i="210"/>
  <c r="C112" i="210" s="1"/>
  <c r="T108" i="210"/>
  <c r="C108" i="210" s="1"/>
  <c r="T104" i="210"/>
  <c r="C104" i="210" s="1"/>
  <c r="G17" i="208"/>
  <c r="F154" i="144" s="1"/>
  <c r="A6" i="210"/>
  <c r="A149" i="210" s="1"/>
  <c r="T79" i="210"/>
  <c r="C79" i="210" s="1"/>
  <c r="T83" i="210"/>
  <c r="C83" i="210" s="1"/>
  <c r="T87" i="210"/>
  <c r="C87" i="210" s="1"/>
  <c r="T91" i="210"/>
  <c r="C91" i="210" s="1"/>
  <c r="T95" i="210"/>
  <c r="C95" i="210" s="1"/>
  <c r="T99" i="210"/>
  <c r="C99" i="210" s="1"/>
  <c r="T103" i="210"/>
  <c r="C103" i="210" s="1"/>
  <c r="T80" i="210"/>
  <c r="C80" i="210" s="1"/>
  <c r="T84" i="210"/>
  <c r="C84" i="210" s="1"/>
  <c r="T88" i="210"/>
  <c r="C88" i="210" s="1"/>
  <c r="T92" i="210"/>
  <c r="C92" i="210" s="1"/>
  <c r="T96" i="210"/>
  <c r="C96" i="210" s="1"/>
  <c r="T100" i="210"/>
  <c r="C100" i="210" s="1"/>
  <c r="T81" i="210"/>
  <c r="C81" i="210" s="1"/>
  <c r="T85" i="210"/>
  <c r="C85" i="210" s="1"/>
  <c r="T89" i="210"/>
  <c r="C89" i="210" s="1"/>
  <c r="T93" i="210"/>
  <c r="C93" i="210" s="1"/>
  <c r="T97" i="210"/>
  <c r="C97" i="210" s="1"/>
  <c r="T101" i="210"/>
  <c r="C101" i="210" s="1"/>
  <c r="T82" i="210"/>
  <c r="C82" i="210" s="1"/>
  <c r="T86" i="210"/>
  <c r="C86" i="210" s="1"/>
  <c r="T90" i="210"/>
  <c r="C90" i="210" s="1"/>
  <c r="T94" i="210"/>
  <c r="C94" i="210" s="1"/>
  <c r="T98" i="210"/>
  <c r="C98" i="210" s="1"/>
  <c r="T102" i="210"/>
  <c r="C102" i="210" s="1"/>
  <c r="Q15" i="210"/>
  <c r="Q16" i="210" s="1"/>
  <c r="Q17" i="210" s="1"/>
  <c r="Q18" i="210" s="1"/>
  <c r="B14" i="210"/>
  <c r="T41" i="210"/>
  <c r="C41" i="210" s="1"/>
  <c r="T42" i="210"/>
  <c r="C42" i="210" s="1"/>
  <c r="T39" i="210"/>
  <c r="C39" i="210" s="1"/>
  <c r="T43" i="210"/>
  <c r="C43" i="210" s="1"/>
  <c r="T40" i="210"/>
  <c r="C40" i="210" s="1"/>
  <c r="T44" i="210"/>
  <c r="C44" i="210" s="1"/>
  <c r="T34" i="210"/>
  <c r="C34" i="210" s="1"/>
  <c r="T38" i="210"/>
  <c r="C38" i="210" s="1"/>
  <c r="T35" i="210"/>
  <c r="C35" i="210" s="1"/>
  <c r="T36" i="210"/>
  <c r="C36" i="210" s="1"/>
  <c r="T37" i="210"/>
  <c r="C37" i="210" s="1"/>
  <c r="T29" i="210"/>
  <c r="C29" i="210" s="1"/>
  <c r="T33" i="210"/>
  <c r="C33" i="210" s="1"/>
  <c r="T30" i="210"/>
  <c r="C30" i="210" s="1"/>
  <c r="T31" i="210"/>
  <c r="C31" i="210" s="1"/>
  <c r="T32" i="210"/>
  <c r="C32" i="210" s="1"/>
  <c r="T24" i="210"/>
  <c r="C24" i="210" s="1"/>
  <c r="T28" i="210"/>
  <c r="C28" i="210" s="1"/>
  <c r="T25" i="210"/>
  <c r="C25" i="210" s="1"/>
  <c r="T22" i="210"/>
  <c r="C22" i="210" s="1"/>
  <c r="T26" i="210"/>
  <c r="C26" i="210" s="1"/>
  <c r="T23" i="210"/>
  <c r="C23" i="210" s="1"/>
  <c r="Q19" i="210"/>
  <c r="Q20" i="210" s="1"/>
  <c r="G155" i="144"/>
  <c r="T12" i="210"/>
  <c r="C12" i="210" s="1"/>
  <c r="T14" i="210"/>
  <c r="C14" i="210" s="1"/>
  <c r="T16" i="210"/>
  <c r="C16" i="210" s="1"/>
  <c r="T18" i="210"/>
  <c r="C18" i="210" s="1"/>
  <c r="T20" i="210"/>
  <c r="C20" i="210" s="1"/>
  <c r="D154" i="210"/>
  <c r="D155" i="210" s="1"/>
  <c r="D156" i="210" s="1"/>
  <c r="D157" i="210" s="1"/>
  <c r="D158" i="210" s="1"/>
  <c r="D159" i="210" s="1"/>
  <c r="D160" i="210" s="1"/>
  <c r="D161" i="210" s="1"/>
  <c r="D162" i="210" s="1"/>
  <c r="D163" i="210" s="1"/>
  <c r="D164" i="210" s="1"/>
  <c r="D165" i="210" s="1"/>
  <c r="D166" i="210" s="1"/>
  <c r="D167" i="210" s="1"/>
  <c r="D168" i="210" s="1"/>
  <c r="D169" i="210" s="1"/>
  <c r="D170" i="210" s="1"/>
  <c r="D171" i="210" s="1"/>
  <c r="D172" i="210" s="1"/>
  <c r="D173" i="210" s="1"/>
  <c r="D174" i="210" s="1"/>
  <c r="D175" i="210" s="1"/>
  <c r="D176" i="210" s="1"/>
  <c r="D177" i="210" s="1"/>
  <c r="T13" i="210"/>
  <c r="C13" i="210" s="1"/>
  <c r="T15" i="210"/>
  <c r="C15" i="210" s="1"/>
  <c r="T17" i="210"/>
  <c r="C17" i="210" s="1"/>
  <c r="T19" i="210"/>
  <c r="C19" i="210" s="1"/>
  <c r="T21" i="210"/>
  <c r="C21" i="210" s="1"/>
  <c r="H48" i="209"/>
  <c r="T18" i="209"/>
  <c r="C18" i="209" s="1"/>
  <c r="T20" i="209"/>
  <c r="C20" i="209" s="1"/>
  <c r="A17" i="209"/>
  <c r="A19" i="209"/>
  <c r="A21" i="209"/>
  <c r="A18" i="209"/>
  <c r="T16" i="209"/>
  <c r="C16" i="209" s="1"/>
  <c r="G156" i="144"/>
  <c r="F156" i="144"/>
  <c r="H52" i="209"/>
  <c r="H54" i="209"/>
  <c r="H56" i="209"/>
  <c r="H58" i="209"/>
  <c r="H50" i="209"/>
  <c r="A14" i="209"/>
  <c r="A15" i="209"/>
  <c r="H60" i="209"/>
  <c r="H51" i="209"/>
  <c r="H55" i="209"/>
  <c r="H57" i="209"/>
  <c r="H62" i="209"/>
  <c r="H53" i="209"/>
  <c r="H47" i="209"/>
  <c r="H46" i="209"/>
  <c r="F156" i="145" s="1"/>
  <c r="H66" i="209"/>
  <c r="H68" i="209"/>
  <c r="H59" i="209"/>
  <c r="H61" i="209"/>
  <c r="H63" i="209"/>
  <c r="H65" i="209"/>
  <c r="H67" i="209"/>
  <c r="A6" i="209"/>
  <c r="A41" i="209" s="1"/>
  <c r="T13" i="209"/>
  <c r="C13" i="209" s="1"/>
  <c r="T15" i="209"/>
  <c r="C15" i="209" s="1"/>
  <c r="T12" i="209"/>
  <c r="C12" i="209" s="1"/>
  <c r="T14" i="209"/>
  <c r="C14" i="209" s="1"/>
  <c r="T14" i="208"/>
  <c r="C14" i="208" s="1"/>
  <c r="A6" i="208"/>
  <c r="A35" i="208" s="1"/>
  <c r="D40" i="208"/>
  <c r="D41" i="208" s="1"/>
  <c r="D42" i="208" s="1"/>
  <c r="D43" i="208" s="1"/>
  <c r="D44" i="208" s="1"/>
  <c r="D45" i="208" s="1"/>
  <c r="D46" i="208" s="1"/>
  <c r="D47" i="208" s="1"/>
  <c r="D48" i="208" s="1"/>
  <c r="D49" i="208" s="1"/>
  <c r="D50" i="208" s="1"/>
  <c r="D51" i="208" s="1"/>
  <c r="D52" i="208" s="1"/>
  <c r="D53" i="208" s="1"/>
  <c r="D54" i="208" s="1"/>
  <c r="D55" i="208" s="1"/>
  <c r="D56" i="208" s="1"/>
  <c r="D57" i="208" s="1"/>
  <c r="D58" i="208" s="1"/>
  <c r="D59" i="208" s="1"/>
  <c r="D60" i="208" s="1"/>
  <c r="D61" i="208" s="1"/>
  <c r="D62" i="208" s="1"/>
  <c r="D63" i="208" s="1"/>
  <c r="H43" i="208"/>
  <c r="H46" i="208"/>
  <c r="H51" i="208"/>
  <c r="H54" i="208"/>
  <c r="H59" i="208"/>
  <c r="H41" i="208"/>
  <c r="H44" i="208"/>
  <c r="H47" i="208"/>
  <c r="H49" i="208"/>
  <c r="H53" i="208"/>
  <c r="H55" i="208"/>
  <c r="H58" i="208"/>
  <c r="H61" i="208"/>
  <c r="H62" i="208"/>
  <c r="T13" i="208"/>
  <c r="C13" i="208" s="1"/>
  <c r="T15" i="208"/>
  <c r="C15" i="208" s="1"/>
  <c r="A12" i="208"/>
  <c r="A14" i="208"/>
  <c r="H42" i="208"/>
  <c r="H45" i="208"/>
  <c r="H48" i="208"/>
  <c r="H50" i="208"/>
  <c r="H52" i="208"/>
  <c r="H57" i="208"/>
  <c r="H60" i="208"/>
  <c r="H63" i="208"/>
  <c r="A13" i="208"/>
  <c r="H59" i="207"/>
  <c r="H40" i="207"/>
  <c r="H42" i="207"/>
  <c r="H44" i="207"/>
  <c r="H46" i="207"/>
  <c r="H48" i="207"/>
  <c r="H50" i="207"/>
  <c r="H52" i="207"/>
  <c r="H54" i="207"/>
  <c r="H56" i="207"/>
  <c r="H38" i="207"/>
  <c r="H58" i="207"/>
  <c r="H60" i="207"/>
  <c r="H39" i="207"/>
  <c r="H41" i="207"/>
  <c r="H43" i="207"/>
  <c r="H45" i="207"/>
  <c r="H47" i="207"/>
  <c r="H49" i="207"/>
  <c r="H51" i="207"/>
  <c r="H53" i="207"/>
  <c r="H55" i="207"/>
  <c r="T12" i="207"/>
  <c r="C12" i="207" s="1"/>
  <c r="D37" i="207"/>
  <c r="D38" i="207" s="1"/>
  <c r="D39" i="207" s="1"/>
  <c r="D40" i="207" s="1"/>
  <c r="D41" i="207" s="1"/>
  <c r="D42" i="207" s="1"/>
  <c r="D43" i="207" s="1"/>
  <c r="D44" i="207" s="1"/>
  <c r="D45" i="207" s="1"/>
  <c r="D46" i="207" s="1"/>
  <c r="D47" i="207" s="1"/>
  <c r="D48" i="207" s="1"/>
  <c r="D49" i="207" s="1"/>
  <c r="D50" i="207" s="1"/>
  <c r="D51" i="207" s="1"/>
  <c r="D52" i="207" s="1"/>
  <c r="D53" i="207" s="1"/>
  <c r="D54" i="207" s="1"/>
  <c r="D55" i="207" s="1"/>
  <c r="D56" i="207" s="1"/>
  <c r="D57" i="207" s="1"/>
  <c r="D58" i="207" s="1"/>
  <c r="D59" i="207" s="1"/>
  <c r="D60" i="207" s="1"/>
  <c r="H57" i="207"/>
  <c r="F155" i="144" l="1"/>
  <c r="E156" i="144"/>
  <c r="I23" i="209"/>
  <c r="A7" i="209" s="1"/>
  <c r="A42" i="209" s="1"/>
  <c r="A14" i="210"/>
  <c r="H56" i="208"/>
  <c r="I85" i="211"/>
  <c r="G153" i="144"/>
  <c r="B15" i="210"/>
  <c r="A15" i="210" s="1"/>
  <c r="B15" i="211"/>
  <c r="Q16" i="211"/>
  <c r="H66" i="208"/>
  <c r="D62" i="207"/>
  <c r="D61" i="207"/>
  <c r="F60" i="145"/>
  <c r="H63" i="207"/>
  <c r="D179" i="210"/>
  <c r="D178" i="210"/>
  <c r="B16" i="210"/>
  <c r="H72" i="209"/>
  <c r="D65" i="208"/>
  <c r="D64" i="208"/>
  <c r="A7" i="210"/>
  <c r="A150" i="210" s="1"/>
  <c r="H155" i="144"/>
  <c r="A7" i="208"/>
  <c r="A36" i="208" s="1"/>
  <c r="H154" i="144"/>
  <c r="B52" i="211"/>
  <c r="Q53" i="211"/>
  <c r="B81" i="210"/>
  <c r="A16" i="210"/>
  <c r="B17" i="210"/>
  <c r="H156" i="144" l="1"/>
  <c r="H153" i="144"/>
  <c r="A7" i="211"/>
  <c r="A104" i="211" s="1"/>
  <c r="B16" i="211"/>
  <c r="Q17" i="211"/>
  <c r="A15" i="211"/>
  <c r="B53" i="211"/>
  <c r="Q54" i="211"/>
  <c r="B82" i="210"/>
  <c r="A17" i="210"/>
  <c r="B18" i="210"/>
  <c r="L7" i="206"/>
  <c r="E7" i="206" s="1"/>
  <c r="E37" i="206" s="1"/>
  <c r="N6" i="206"/>
  <c r="T16" i="206" s="1"/>
  <c r="C16" i="206" s="1"/>
  <c r="B64" i="206"/>
  <c r="B63" i="206"/>
  <c r="B62" i="206"/>
  <c r="B61" i="206"/>
  <c r="B60" i="206"/>
  <c r="B59" i="206"/>
  <c r="B58" i="206"/>
  <c r="B57" i="206"/>
  <c r="B56" i="206"/>
  <c r="B55" i="206"/>
  <c r="B54" i="206"/>
  <c r="B53" i="206"/>
  <c r="B52" i="206"/>
  <c r="B51" i="206"/>
  <c r="B50" i="206"/>
  <c r="B49" i="206"/>
  <c r="B48" i="206"/>
  <c r="B47" i="206"/>
  <c r="B46" i="206"/>
  <c r="B45" i="206"/>
  <c r="B44" i="206"/>
  <c r="B43" i="206"/>
  <c r="A43" i="206"/>
  <c r="A44" i="206" s="1"/>
  <c r="A45" i="206" s="1"/>
  <c r="A46" i="206" s="1"/>
  <c r="A47" i="206" s="1"/>
  <c r="A48" i="206" s="1"/>
  <c r="A49" i="206" s="1"/>
  <c r="A50" i="206" s="1"/>
  <c r="A51" i="206" s="1"/>
  <c r="A52" i="206" s="1"/>
  <c r="A53" i="206" s="1"/>
  <c r="A54" i="206" s="1"/>
  <c r="A55" i="206" s="1"/>
  <c r="A56" i="206" s="1"/>
  <c r="A57" i="206" s="1"/>
  <c r="A58" i="206" s="1"/>
  <c r="A59" i="206" s="1"/>
  <c r="A60" i="206" s="1"/>
  <c r="A61" i="206" s="1"/>
  <c r="A62" i="206" s="1"/>
  <c r="A63" i="206" s="1"/>
  <c r="A64" i="206" s="1"/>
  <c r="A65" i="206" s="1"/>
  <c r="A66" i="206" s="1"/>
  <c r="B42" i="206"/>
  <c r="B41" i="206"/>
  <c r="A34" i="206"/>
  <c r="P18" i="206"/>
  <c r="J15" i="206"/>
  <c r="G15" i="206"/>
  <c r="H15" i="206" s="1"/>
  <c r="B15" i="206"/>
  <c r="J14" i="206"/>
  <c r="G14" i="206"/>
  <c r="H14" i="206" s="1"/>
  <c r="B14" i="206"/>
  <c r="J13" i="206"/>
  <c r="G13" i="206"/>
  <c r="B13" i="206"/>
  <c r="J12" i="206"/>
  <c r="G12" i="206"/>
  <c r="B12" i="206"/>
  <c r="L6" i="206"/>
  <c r="N5" i="206"/>
  <c r="A5" i="206" s="1"/>
  <c r="A35" i="206" s="1"/>
  <c r="J15" i="195"/>
  <c r="I15" i="195"/>
  <c r="H15" i="195"/>
  <c r="G15" i="195"/>
  <c r="F15" i="195"/>
  <c r="B15" i="195"/>
  <c r="J14" i="195"/>
  <c r="I14" i="195"/>
  <c r="H14" i="195"/>
  <c r="G14" i="195"/>
  <c r="F14" i="195"/>
  <c r="B14" i="195"/>
  <c r="J15" i="194"/>
  <c r="I15" i="194"/>
  <c r="H15" i="194"/>
  <c r="G15" i="194"/>
  <c r="F15" i="194"/>
  <c r="B15" i="194"/>
  <c r="J14" i="194"/>
  <c r="I14" i="194"/>
  <c r="H14" i="194"/>
  <c r="G14" i="194"/>
  <c r="F14" i="194"/>
  <c r="B14" i="194"/>
  <c r="J15" i="193"/>
  <c r="I15" i="193"/>
  <c r="H15" i="193"/>
  <c r="G15" i="193"/>
  <c r="F15" i="193"/>
  <c r="B15" i="193"/>
  <c r="J14" i="193"/>
  <c r="I14" i="193"/>
  <c r="H14" i="193"/>
  <c r="G14" i="193"/>
  <c r="F14" i="193"/>
  <c r="B14" i="193"/>
  <c r="J15" i="192"/>
  <c r="I15" i="192"/>
  <c r="H15" i="192"/>
  <c r="G15" i="192"/>
  <c r="F15" i="192"/>
  <c r="B15" i="192"/>
  <c r="J14" i="192"/>
  <c r="I14" i="192"/>
  <c r="H14" i="192"/>
  <c r="G14" i="192"/>
  <c r="F14" i="192"/>
  <c r="B14" i="192"/>
  <c r="N5" i="192"/>
  <c r="N5" i="193"/>
  <c r="N5" i="194"/>
  <c r="N5" i="195"/>
  <c r="L7" i="205"/>
  <c r="E7" i="205" s="1"/>
  <c r="E34" i="205" s="1"/>
  <c r="N6" i="205"/>
  <c r="B61" i="205"/>
  <c r="B60" i="205"/>
  <c r="B59" i="205"/>
  <c r="B58" i="205"/>
  <c r="B57" i="205"/>
  <c r="B56" i="205"/>
  <c r="B55" i="205"/>
  <c r="B54" i="205"/>
  <c r="B53" i="205"/>
  <c r="B52" i="205"/>
  <c r="B51" i="205"/>
  <c r="B50" i="205"/>
  <c r="B49" i="205"/>
  <c r="B48" i="205"/>
  <c r="B47" i="205"/>
  <c r="B46" i="205"/>
  <c r="B45" i="205"/>
  <c r="B44" i="205"/>
  <c r="B43" i="205"/>
  <c r="B42" i="205"/>
  <c r="B41" i="205"/>
  <c r="B40" i="205"/>
  <c r="A40" i="205"/>
  <c r="A41" i="205" s="1"/>
  <c r="A42" i="205" s="1"/>
  <c r="A43" i="205" s="1"/>
  <c r="A44" i="205" s="1"/>
  <c r="A45" i="205" s="1"/>
  <c r="A46" i="205" s="1"/>
  <c r="A47" i="205" s="1"/>
  <c r="A48" i="205" s="1"/>
  <c r="A49" i="205" s="1"/>
  <c r="A50" i="205" s="1"/>
  <c r="A51" i="205" s="1"/>
  <c r="A52" i="205" s="1"/>
  <c r="A53" i="205" s="1"/>
  <c r="A54" i="205" s="1"/>
  <c r="A55" i="205" s="1"/>
  <c r="A56" i="205" s="1"/>
  <c r="A57" i="205" s="1"/>
  <c r="A58" i="205" s="1"/>
  <c r="A59" i="205" s="1"/>
  <c r="A60" i="205" s="1"/>
  <c r="A61" i="205" s="1"/>
  <c r="A62" i="205" s="1"/>
  <c r="A63" i="205" s="1"/>
  <c r="B39" i="205"/>
  <c r="B38" i="205"/>
  <c r="A31" i="205"/>
  <c r="P15" i="205"/>
  <c r="J13" i="205"/>
  <c r="I13" i="205"/>
  <c r="H13" i="205"/>
  <c r="G13" i="205"/>
  <c r="F13" i="205"/>
  <c r="B13" i="205"/>
  <c r="J12" i="205"/>
  <c r="I12" i="205"/>
  <c r="H12" i="205"/>
  <c r="G12" i="205"/>
  <c r="F12" i="205"/>
  <c r="B12" i="205"/>
  <c r="L6" i="205"/>
  <c r="N5" i="205"/>
  <c r="A5" i="205" s="1"/>
  <c r="A32" i="205" s="1"/>
  <c r="L7" i="204"/>
  <c r="E7" i="204" s="1"/>
  <c r="E34" i="204" s="1"/>
  <c r="N6" i="204"/>
  <c r="B61" i="204"/>
  <c r="B60" i="204"/>
  <c r="B59" i="204"/>
  <c r="B58" i="204"/>
  <c r="B57" i="204"/>
  <c r="B56" i="204"/>
  <c r="B55" i="204"/>
  <c r="B54" i="204"/>
  <c r="B53" i="204"/>
  <c r="B52" i="204"/>
  <c r="B51" i="204"/>
  <c r="B50" i="204"/>
  <c r="B49" i="204"/>
  <c r="B48" i="204"/>
  <c r="B47" i="204"/>
  <c r="B46" i="204"/>
  <c r="B45" i="204"/>
  <c r="B44" i="204"/>
  <c r="B43" i="204"/>
  <c r="B42" i="204"/>
  <c r="B41" i="204"/>
  <c r="B40" i="204"/>
  <c r="A40" i="204"/>
  <c r="A41" i="204" s="1"/>
  <c r="A42" i="204" s="1"/>
  <c r="A43" i="204" s="1"/>
  <c r="A44" i="204" s="1"/>
  <c r="A45" i="204" s="1"/>
  <c r="A46" i="204" s="1"/>
  <c r="A47" i="204" s="1"/>
  <c r="A48" i="204" s="1"/>
  <c r="A49" i="204" s="1"/>
  <c r="A50" i="204" s="1"/>
  <c r="A51" i="204" s="1"/>
  <c r="A52" i="204" s="1"/>
  <c r="A53" i="204" s="1"/>
  <c r="A54" i="204" s="1"/>
  <c r="A55" i="204" s="1"/>
  <c r="A56" i="204" s="1"/>
  <c r="A57" i="204" s="1"/>
  <c r="A58" i="204" s="1"/>
  <c r="A59" i="204" s="1"/>
  <c r="A60" i="204" s="1"/>
  <c r="A61" i="204" s="1"/>
  <c r="A62" i="204" s="1"/>
  <c r="A63" i="204" s="1"/>
  <c r="B39" i="204"/>
  <c r="B38" i="204"/>
  <c r="A31" i="204"/>
  <c r="P15" i="204"/>
  <c r="J13" i="204"/>
  <c r="B13" i="204"/>
  <c r="J12" i="204"/>
  <c r="B12" i="204"/>
  <c r="L6" i="204"/>
  <c r="N5" i="204"/>
  <c r="A5" i="204" s="1"/>
  <c r="A32" i="204" s="1"/>
  <c r="L7" i="203"/>
  <c r="E7" i="203" s="1"/>
  <c r="E34" i="203" s="1"/>
  <c r="N6" i="203"/>
  <c r="T13" i="203" s="1"/>
  <c r="C13" i="203" s="1"/>
  <c r="B61" i="203"/>
  <c r="B60" i="203"/>
  <c r="B59" i="203"/>
  <c r="B58" i="203"/>
  <c r="B57" i="203"/>
  <c r="B56" i="203"/>
  <c r="B55" i="203"/>
  <c r="B54" i="203"/>
  <c r="B53" i="203"/>
  <c r="B52" i="203"/>
  <c r="B51" i="203"/>
  <c r="B50" i="203"/>
  <c r="B49" i="203"/>
  <c r="B48" i="203"/>
  <c r="B47" i="203"/>
  <c r="B46" i="203"/>
  <c r="B45" i="203"/>
  <c r="B44" i="203"/>
  <c r="B43" i="203"/>
  <c r="B42" i="203"/>
  <c r="B41" i="203"/>
  <c r="B40" i="203"/>
  <c r="A40" i="203"/>
  <c r="A41" i="203" s="1"/>
  <c r="A42" i="203" s="1"/>
  <c r="A43" i="203" s="1"/>
  <c r="A44" i="203" s="1"/>
  <c r="A45" i="203" s="1"/>
  <c r="A46" i="203" s="1"/>
  <c r="A47" i="203" s="1"/>
  <c r="A48" i="203" s="1"/>
  <c r="A49" i="203" s="1"/>
  <c r="A50" i="203" s="1"/>
  <c r="A51" i="203" s="1"/>
  <c r="A52" i="203" s="1"/>
  <c r="A53" i="203" s="1"/>
  <c r="A54" i="203" s="1"/>
  <c r="A55" i="203" s="1"/>
  <c r="A56" i="203" s="1"/>
  <c r="A57" i="203" s="1"/>
  <c r="A58" i="203" s="1"/>
  <c r="A59" i="203" s="1"/>
  <c r="A60" i="203" s="1"/>
  <c r="A61" i="203" s="1"/>
  <c r="A62" i="203" s="1"/>
  <c r="A63" i="203" s="1"/>
  <c r="B39" i="203"/>
  <c r="B38" i="203"/>
  <c r="A31" i="203"/>
  <c r="P15" i="203"/>
  <c r="J13" i="203"/>
  <c r="G13" i="203"/>
  <c r="F13" i="203"/>
  <c r="B13" i="203"/>
  <c r="J12" i="203"/>
  <c r="H12" i="203"/>
  <c r="G12" i="203"/>
  <c r="F12" i="203"/>
  <c r="B12" i="203"/>
  <c r="L6" i="203"/>
  <c r="N5" i="203"/>
  <c r="A5" i="203" s="1"/>
  <c r="A32" i="203" s="1"/>
  <c r="L7" i="202"/>
  <c r="E7" i="202" s="1"/>
  <c r="E34" i="202" s="1"/>
  <c r="N6" i="202"/>
  <c r="T12" i="202" s="1"/>
  <c r="C12" i="202" s="1"/>
  <c r="B61" i="202"/>
  <c r="B60" i="202"/>
  <c r="B59" i="202"/>
  <c r="B58" i="202"/>
  <c r="B57" i="202"/>
  <c r="B56" i="202"/>
  <c r="B55" i="202"/>
  <c r="B54" i="202"/>
  <c r="B53" i="202"/>
  <c r="B52" i="202"/>
  <c r="B51" i="202"/>
  <c r="B50" i="202"/>
  <c r="B49" i="202"/>
  <c r="B48" i="202"/>
  <c r="B47" i="202"/>
  <c r="B46" i="202"/>
  <c r="B45" i="202"/>
  <c r="B44" i="202"/>
  <c r="B43" i="202"/>
  <c r="B42" i="202"/>
  <c r="B41" i="202"/>
  <c r="B40" i="202"/>
  <c r="A40" i="202"/>
  <c r="A41" i="202" s="1"/>
  <c r="A42" i="202" s="1"/>
  <c r="A43" i="202" s="1"/>
  <c r="A44" i="202" s="1"/>
  <c r="A45" i="202" s="1"/>
  <c r="A46" i="202" s="1"/>
  <c r="A47" i="202" s="1"/>
  <c r="A48" i="202" s="1"/>
  <c r="A49" i="202" s="1"/>
  <c r="A50" i="202" s="1"/>
  <c r="A51" i="202" s="1"/>
  <c r="A52" i="202" s="1"/>
  <c r="A53" i="202" s="1"/>
  <c r="A54" i="202" s="1"/>
  <c r="A55" i="202" s="1"/>
  <c r="A56" i="202" s="1"/>
  <c r="A57" i="202" s="1"/>
  <c r="A58" i="202" s="1"/>
  <c r="A59" i="202" s="1"/>
  <c r="A60" i="202" s="1"/>
  <c r="A61" i="202" s="1"/>
  <c r="A62" i="202" s="1"/>
  <c r="A63" i="202" s="1"/>
  <c r="B39" i="202"/>
  <c r="B38" i="202"/>
  <c r="A31" i="202"/>
  <c r="P15" i="202"/>
  <c r="J13" i="202"/>
  <c r="I13" i="202"/>
  <c r="H13" i="202"/>
  <c r="G13" i="202"/>
  <c r="F13" i="202"/>
  <c r="B13" i="202"/>
  <c r="J12" i="202"/>
  <c r="I12" i="202"/>
  <c r="H12" i="202"/>
  <c r="G12" i="202"/>
  <c r="F12" i="202"/>
  <c r="B12" i="202"/>
  <c r="L6" i="202"/>
  <c r="N5" i="202"/>
  <c r="A5" i="202" s="1"/>
  <c r="A32" i="202" s="1"/>
  <c r="L7" i="201"/>
  <c r="E7" i="201" s="1"/>
  <c r="E34" i="201" s="1"/>
  <c r="N6" i="201"/>
  <c r="T13" i="201" s="1"/>
  <c r="C13" i="201" s="1"/>
  <c r="B61" i="201"/>
  <c r="B60" i="201"/>
  <c r="B59" i="201"/>
  <c r="B58" i="201"/>
  <c r="B57" i="201"/>
  <c r="B56" i="201"/>
  <c r="B55" i="201"/>
  <c r="B54" i="201"/>
  <c r="B53" i="201"/>
  <c r="B52" i="201"/>
  <c r="B51" i="201"/>
  <c r="B50" i="201"/>
  <c r="B49" i="201"/>
  <c r="B48" i="201"/>
  <c r="B47" i="201"/>
  <c r="B46" i="201"/>
  <c r="B45" i="201"/>
  <c r="B44" i="201"/>
  <c r="B43" i="201"/>
  <c r="B42" i="201"/>
  <c r="B41" i="201"/>
  <c r="B40" i="201"/>
  <c r="A40" i="201"/>
  <c r="A41" i="201" s="1"/>
  <c r="A42" i="201" s="1"/>
  <c r="A43" i="201" s="1"/>
  <c r="A44" i="201" s="1"/>
  <c r="A45" i="201" s="1"/>
  <c r="A46" i="201" s="1"/>
  <c r="A47" i="201" s="1"/>
  <c r="A48" i="201" s="1"/>
  <c r="A49" i="201" s="1"/>
  <c r="A50" i="201" s="1"/>
  <c r="A51" i="201" s="1"/>
  <c r="A52" i="201" s="1"/>
  <c r="A53" i="201" s="1"/>
  <c r="A54" i="201" s="1"/>
  <c r="A55" i="201" s="1"/>
  <c r="A56" i="201" s="1"/>
  <c r="A57" i="201" s="1"/>
  <c r="A58" i="201" s="1"/>
  <c r="A59" i="201" s="1"/>
  <c r="A60" i="201" s="1"/>
  <c r="A61" i="201" s="1"/>
  <c r="A62" i="201" s="1"/>
  <c r="A63" i="201" s="1"/>
  <c r="B39" i="201"/>
  <c r="B38" i="201"/>
  <c r="A31" i="201"/>
  <c r="P15" i="201"/>
  <c r="J13" i="201"/>
  <c r="I13" i="201"/>
  <c r="H13" i="201"/>
  <c r="G13" i="201"/>
  <c r="B13" i="201"/>
  <c r="J12" i="201"/>
  <c r="I12" i="201"/>
  <c r="H12" i="201"/>
  <c r="G12" i="201"/>
  <c r="B12" i="201"/>
  <c r="H61" i="201" s="1"/>
  <c r="L6" i="201"/>
  <c r="N5" i="201"/>
  <c r="A5" i="201" s="1"/>
  <c r="A32" i="201" s="1"/>
  <c r="L7" i="200"/>
  <c r="E7" i="200" s="1"/>
  <c r="E34" i="200" s="1"/>
  <c r="N6" i="200"/>
  <c r="D38" i="200" s="1"/>
  <c r="D39" i="200" s="1"/>
  <c r="D40" i="200" s="1"/>
  <c r="D41" i="200" s="1"/>
  <c r="D42" i="200" s="1"/>
  <c r="D43" i="200" s="1"/>
  <c r="D44" i="200" s="1"/>
  <c r="D45" i="200" s="1"/>
  <c r="D46" i="200" s="1"/>
  <c r="D47" i="200" s="1"/>
  <c r="D48" i="200" s="1"/>
  <c r="D49" i="200" s="1"/>
  <c r="D50" i="200" s="1"/>
  <c r="D51" i="200" s="1"/>
  <c r="D52" i="200" s="1"/>
  <c r="D53" i="200" s="1"/>
  <c r="D54" i="200" s="1"/>
  <c r="D55" i="200" s="1"/>
  <c r="D56" i="200" s="1"/>
  <c r="D57" i="200" s="1"/>
  <c r="D58" i="200" s="1"/>
  <c r="D59" i="200" s="1"/>
  <c r="D60" i="200" s="1"/>
  <c r="D61" i="200" s="1"/>
  <c r="B61" i="200"/>
  <c r="B60" i="200"/>
  <c r="B59" i="200"/>
  <c r="B58" i="200"/>
  <c r="B57" i="200"/>
  <c r="B56" i="200"/>
  <c r="B55" i="200"/>
  <c r="B54" i="200"/>
  <c r="B53" i="200"/>
  <c r="B52" i="200"/>
  <c r="B51" i="200"/>
  <c r="B50" i="200"/>
  <c r="B49" i="200"/>
  <c r="B48" i="200"/>
  <c r="B47" i="200"/>
  <c r="B46" i="200"/>
  <c r="B45" i="200"/>
  <c r="B44" i="200"/>
  <c r="B43" i="200"/>
  <c r="B42" i="200"/>
  <c r="B41" i="200"/>
  <c r="B40" i="200"/>
  <c r="A40" i="200"/>
  <c r="A41" i="200" s="1"/>
  <c r="A42" i="200" s="1"/>
  <c r="A43" i="200" s="1"/>
  <c r="A44" i="200" s="1"/>
  <c r="A45" i="200" s="1"/>
  <c r="A46" i="200" s="1"/>
  <c r="A47" i="200" s="1"/>
  <c r="A48" i="200" s="1"/>
  <c r="A49" i="200" s="1"/>
  <c r="A50" i="200" s="1"/>
  <c r="A51" i="200" s="1"/>
  <c r="A52" i="200" s="1"/>
  <c r="A53" i="200" s="1"/>
  <c r="A54" i="200" s="1"/>
  <c r="A55" i="200" s="1"/>
  <c r="A56" i="200" s="1"/>
  <c r="A57" i="200" s="1"/>
  <c r="A58" i="200" s="1"/>
  <c r="A59" i="200" s="1"/>
  <c r="A60" i="200" s="1"/>
  <c r="A61" i="200" s="1"/>
  <c r="A62" i="200" s="1"/>
  <c r="A63" i="200" s="1"/>
  <c r="B39" i="200"/>
  <c r="B38" i="200"/>
  <c r="A31" i="200"/>
  <c r="B13" i="200"/>
  <c r="J13" i="200"/>
  <c r="J12" i="200"/>
  <c r="G12" i="200"/>
  <c r="F12" i="200"/>
  <c r="B12" i="200"/>
  <c r="L6" i="200"/>
  <c r="N5" i="200"/>
  <c r="A5" i="200" s="1"/>
  <c r="A32" i="200" s="1"/>
  <c r="L7" i="199"/>
  <c r="E7" i="199" s="1"/>
  <c r="E34" i="199" s="1"/>
  <c r="N6" i="199"/>
  <c r="H61" i="199"/>
  <c r="B61" i="199"/>
  <c r="B60" i="199"/>
  <c r="B59" i="199"/>
  <c r="B58" i="199"/>
  <c r="B57" i="199"/>
  <c r="B56" i="199"/>
  <c r="B55" i="199"/>
  <c r="B54" i="199"/>
  <c r="B53" i="199"/>
  <c r="B52" i="199"/>
  <c r="B51" i="199"/>
  <c r="B50" i="199"/>
  <c r="B49" i="199"/>
  <c r="B48" i="199"/>
  <c r="B47" i="199"/>
  <c r="B46" i="199"/>
  <c r="B45" i="199"/>
  <c r="B44" i="199"/>
  <c r="B43" i="199"/>
  <c r="B42" i="199"/>
  <c r="B41" i="199"/>
  <c r="B40" i="199"/>
  <c r="A40" i="199"/>
  <c r="A41" i="199" s="1"/>
  <c r="A42" i="199" s="1"/>
  <c r="A43" i="199" s="1"/>
  <c r="A44" i="199" s="1"/>
  <c r="A45" i="199" s="1"/>
  <c r="A46" i="199" s="1"/>
  <c r="A47" i="199" s="1"/>
  <c r="A48" i="199" s="1"/>
  <c r="A49" i="199" s="1"/>
  <c r="A50" i="199" s="1"/>
  <c r="A51" i="199" s="1"/>
  <c r="A52" i="199" s="1"/>
  <c r="A53" i="199" s="1"/>
  <c r="A54" i="199" s="1"/>
  <c r="A55" i="199" s="1"/>
  <c r="A56" i="199" s="1"/>
  <c r="A57" i="199" s="1"/>
  <c r="A58" i="199" s="1"/>
  <c r="A59" i="199" s="1"/>
  <c r="A60" i="199" s="1"/>
  <c r="A61" i="199" s="1"/>
  <c r="A62" i="199" s="1"/>
  <c r="A63" i="199" s="1"/>
  <c r="H39" i="199"/>
  <c r="B39" i="199"/>
  <c r="B38" i="199"/>
  <c r="A31" i="199"/>
  <c r="P15" i="199"/>
  <c r="J13" i="199"/>
  <c r="I13" i="199"/>
  <c r="H59" i="199" s="1"/>
  <c r="H13" i="199"/>
  <c r="H15" i="199" s="1"/>
  <c r="G138" i="144" s="1"/>
  <c r="G13" i="199"/>
  <c r="E138" i="144"/>
  <c r="A13" i="199"/>
  <c r="J12" i="199"/>
  <c r="I12" i="199"/>
  <c r="G12" i="199"/>
  <c r="L6" i="199"/>
  <c r="N5" i="199"/>
  <c r="A5" i="199" s="1"/>
  <c r="A32" i="199" s="1"/>
  <c r="L7" i="198"/>
  <c r="E7" i="198" s="1"/>
  <c r="E34" i="198" s="1"/>
  <c r="N6" i="198"/>
  <c r="T12" i="198" s="1"/>
  <c r="C12" i="198" s="1"/>
  <c r="B61" i="198"/>
  <c r="B60" i="198"/>
  <c r="B59" i="198"/>
  <c r="B58" i="198"/>
  <c r="B57" i="198"/>
  <c r="B56" i="198"/>
  <c r="B55" i="198"/>
  <c r="B54" i="198"/>
  <c r="B53" i="198"/>
  <c r="B52" i="198"/>
  <c r="B51" i="198"/>
  <c r="B50" i="198"/>
  <c r="B49" i="198"/>
  <c r="B48" i="198"/>
  <c r="B47" i="198"/>
  <c r="B46" i="198"/>
  <c r="B45" i="198"/>
  <c r="B44" i="198"/>
  <c r="B43" i="198"/>
  <c r="B42" i="198"/>
  <c r="B41" i="198"/>
  <c r="B40" i="198"/>
  <c r="A40" i="198"/>
  <c r="A41" i="198" s="1"/>
  <c r="A42" i="198" s="1"/>
  <c r="A43" i="198" s="1"/>
  <c r="A44" i="198" s="1"/>
  <c r="A45" i="198" s="1"/>
  <c r="A46" i="198" s="1"/>
  <c r="A47" i="198" s="1"/>
  <c r="A48" i="198" s="1"/>
  <c r="A49" i="198" s="1"/>
  <c r="A50" i="198" s="1"/>
  <c r="A51" i="198" s="1"/>
  <c r="A52" i="198" s="1"/>
  <c r="A53" i="198" s="1"/>
  <c r="A54" i="198" s="1"/>
  <c r="A55" i="198" s="1"/>
  <c r="A56" i="198" s="1"/>
  <c r="A57" i="198" s="1"/>
  <c r="A58" i="198" s="1"/>
  <c r="A59" i="198" s="1"/>
  <c r="A60" i="198" s="1"/>
  <c r="A61" i="198" s="1"/>
  <c r="A62" i="198" s="1"/>
  <c r="A63" i="198" s="1"/>
  <c r="B39" i="198"/>
  <c r="H38" i="198"/>
  <c r="F137" i="145" s="1"/>
  <c r="B38" i="198"/>
  <c r="A31" i="198"/>
  <c r="P15" i="198"/>
  <c r="J13" i="198"/>
  <c r="I13" i="198"/>
  <c r="H13" i="198"/>
  <c r="G13" i="198"/>
  <c r="J12" i="198"/>
  <c r="I12" i="198"/>
  <c r="H12" i="198"/>
  <c r="G12" i="198"/>
  <c r="L6" i="198"/>
  <c r="N5" i="198"/>
  <c r="A5" i="198" s="1"/>
  <c r="A32" i="198" s="1"/>
  <c r="L7" i="197"/>
  <c r="E7" i="197" s="1"/>
  <c r="E52" i="197" s="1"/>
  <c r="N6" i="197"/>
  <c r="B79" i="197"/>
  <c r="B78" i="197"/>
  <c r="B77" i="197"/>
  <c r="B76" i="197"/>
  <c r="B75" i="197"/>
  <c r="B74" i="197"/>
  <c r="B73" i="197"/>
  <c r="B72" i="197"/>
  <c r="B71" i="197"/>
  <c r="B70" i="197"/>
  <c r="B69" i="197"/>
  <c r="B68" i="197"/>
  <c r="B67" i="197"/>
  <c r="B66" i="197"/>
  <c r="B65" i="197"/>
  <c r="B64" i="197"/>
  <c r="B63" i="197"/>
  <c r="B62" i="197"/>
  <c r="B61" i="197"/>
  <c r="B60" i="197"/>
  <c r="B59" i="197"/>
  <c r="B58" i="197"/>
  <c r="A58" i="197"/>
  <c r="A59" i="197" s="1"/>
  <c r="A60" i="197" s="1"/>
  <c r="A61" i="197" s="1"/>
  <c r="A62" i="197" s="1"/>
  <c r="A63" i="197" s="1"/>
  <c r="A64" i="197" s="1"/>
  <c r="A65" i="197" s="1"/>
  <c r="A66" i="197" s="1"/>
  <c r="A67" i="197" s="1"/>
  <c r="A68" i="197" s="1"/>
  <c r="A69" i="197" s="1"/>
  <c r="A70" i="197" s="1"/>
  <c r="A71" i="197" s="1"/>
  <c r="A72" i="197" s="1"/>
  <c r="A73" i="197" s="1"/>
  <c r="A74" i="197" s="1"/>
  <c r="A75" i="197" s="1"/>
  <c r="A76" i="197" s="1"/>
  <c r="A77" i="197" s="1"/>
  <c r="A78" i="197" s="1"/>
  <c r="A79" i="197" s="1"/>
  <c r="A80" i="197" s="1"/>
  <c r="A81" i="197" s="1"/>
  <c r="B57" i="197"/>
  <c r="B56" i="197"/>
  <c r="A49" i="197"/>
  <c r="P33" i="197"/>
  <c r="J12" i="197"/>
  <c r="G12" i="197"/>
  <c r="I12" i="197" s="1"/>
  <c r="B12" i="197"/>
  <c r="L6" i="197"/>
  <c r="N5" i="197"/>
  <c r="A5" i="197" s="1"/>
  <c r="A50" i="197" s="1"/>
  <c r="N5" i="196"/>
  <c r="A5" i="196" s="1"/>
  <c r="A32" i="196" s="1"/>
  <c r="L7" i="196"/>
  <c r="E7" i="196" s="1"/>
  <c r="E34" i="196" s="1"/>
  <c r="N6" i="196"/>
  <c r="T13" i="196" s="1"/>
  <c r="C13" i="196" s="1"/>
  <c r="B61" i="196"/>
  <c r="B60" i="196"/>
  <c r="B59" i="196"/>
  <c r="B58" i="196"/>
  <c r="B57" i="196"/>
  <c r="B56" i="196"/>
  <c r="B55" i="196"/>
  <c r="B54" i="196"/>
  <c r="B53" i="196"/>
  <c r="B52" i="196"/>
  <c r="B51" i="196"/>
  <c r="B50" i="196"/>
  <c r="B49" i="196"/>
  <c r="B48" i="196"/>
  <c r="B47" i="196"/>
  <c r="B46" i="196"/>
  <c r="B45" i="196"/>
  <c r="B44" i="196"/>
  <c r="H43" i="196"/>
  <c r="B43" i="196"/>
  <c r="B42" i="196"/>
  <c r="B41" i="196"/>
  <c r="H40" i="196"/>
  <c r="B40" i="196"/>
  <c r="A40" i="196"/>
  <c r="A41" i="196" s="1"/>
  <c r="A42" i="196" s="1"/>
  <c r="A43" i="196" s="1"/>
  <c r="A44" i="196" s="1"/>
  <c r="A45" i="196" s="1"/>
  <c r="A46" i="196" s="1"/>
  <c r="A47" i="196" s="1"/>
  <c r="A48" i="196" s="1"/>
  <c r="A49" i="196" s="1"/>
  <c r="A50" i="196" s="1"/>
  <c r="A51" i="196" s="1"/>
  <c r="A52" i="196" s="1"/>
  <c r="A53" i="196" s="1"/>
  <c r="A54" i="196" s="1"/>
  <c r="A55" i="196" s="1"/>
  <c r="A56" i="196" s="1"/>
  <c r="A57" i="196" s="1"/>
  <c r="A58" i="196" s="1"/>
  <c r="A59" i="196" s="1"/>
  <c r="A60" i="196" s="1"/>
  <c r="A61" i="196" s="1"/>
  <c r="A62" i="196" s="1"/>
  <c r="A63" i="196" s="1"/>
  <c r="B39" i="196"/>
  <c r="B38" i="196"/>
  <c r="A31" i="196"/>
  <c r="P15" i="196"/>
  <c r="E135" i="144"/>
  <c r="J13" i="196"/>
  <c r="H48" i="196"/>
  <c r="J12" i="196"/>
  <c r="A12" i="196"/>
  <c r="L6" i="196"/>
  <c r="I15" i="205" l="1"/>
  <c r="G15" i="205"/>
  <c r="F121" i="144" s="1"/>
  <c r="J15" i="203"/>
  <c r="I126" i="144" s="1"/>
  <c r="G15" i="204"/>
  <c r="F128" i="144" s="1"/>
  <c r="H45" i="204"/>
  <c r="A22" i="197"/>
  <c r="A24" i="197"/>
  <c r="A23" i="197"/>
  <c r="A25" i="197"/>
  <c r="A26" i="197"/>
  <c r="A27" i="197"/>
  <c r="A28" i="197"/>
  <c r="A31" i="197"/>
  <c r="A29" i="197"/>
  <c r="A30" i="197"/>
  <c r="T29" i="197"/>
  <c r="C29" i="197" s="1"/>
  <c r="T30" i="197"/>
  <c r="C30" i="197" s="1"/>
  <c r="T28" i="197"/>
  <c r="C28" i="197" s="1"/>
  <c r="T26" i="197"/>
  <c r="C26" i="197" s="1"/>
  <c r="T24" i="197"/>
  <c r="C24" i="197" s="1"/>
  <c r="T22" i="197"/>
  <c r="C22" i="197" s="1"/>
  <c r="T31" i="197"/>
  <c r="C31" i="197" s="1"/>
  <c r="T27" i="197"/>
  <c r="C27" i="197" s="1"/>
  <c r="T25" i="197"/>
  <c r="C25" i="197" s="1"/>
  <c r="T23" i="197"/>
  <c r="C23" i="197" s="1"/>
  <c r="A13" i="197"/>
  <c r="A17" i="197"/>
  <c r="A15" i="197"/>
  <c r="A19" i="197"/>
  <c r="A20" i="197"/>
  <c r="A14" i="197"/>
  <c r="A18" i="197"/>
  <c r="A16" i="197"/>
  <c r="A21" i="197"/>
  <c r="T12" i="197"/>
  <c r="C12" i="197" s="1"/>
  <c r="T18" i="197"/>
  <c r="C18" i="197" s="1"/>
  <c r="T14" i="197"/>
  <c r="C14" i="197" s="1"/>
  <c r="T16" i="197"/>
  <c r="C16" i="197" s="1"/>
  <c r="T21" i="197"/>
  <c r="C21" i="197" s="1"/>
  <c r="T13" i="197"/>
  <c r="C13" i="197" s="1"/>
  <c r="T19" i="197"/>
  <c r="C19" i="197" s="1"/>
  <c r="T15" i="197"/>
  <c r="C15" i="197" s="1"/>
  <c r="T20" i="197"/>
  <c r="C20" i="197" s="1"/>
  <c r="T17" i="197"/>
  <c r="C17" i="197" s="1"/>
  <c r="G15" i="199"/>
  <c r="F138" i="144" s="1"/>
  <c r="I15" i="201"/>
  <c r="H124" i="144" s="1"/>
  <c r="H61" i="206"/>
  <c r="H12" i="206"/>
  <c r="I12" i="206" s="1"/>
  <c r="A16" i="206"/>
  <c r="A6" i="198"/>
  <c r="A33" i="198" s="1"/>
  <c r="H47" i="204"/>
  <c r="G15" i="203"/>
  <c r="F126" i="144" s="1"/>
  <c r="H43" i="204"/>
  <c r="H52" i="204"/>
  <c r="A13" i="204"/>
  <c r="H54" i="204"/>
  <c r="A6" i="206"/>
  <c r="A36" i="206" s="1"/>
  <c r="J15" i="204"/>
  <c r="I128" i="144" s="1"/>
  <c r="A12" i="206"/>
  <c r="H50" i="204"/>
  <c r="I15" i="204"/>
  <c r="H128" i="144" s="1"/>
  <c r="H41" i="204"/>
  <c r="H48" i="206"/>
  <c r="A15" i="206"/>
  <c r="H56" i="206"/>
  <c r="A13" i="206"/>
  <c r="H50" i="206"/>
  <c r="H58" i="206"/>
  <c r="J15" i="196"/>
  <c r="I135" i="144" s="1"/>
  <c r="H15" i="198"/>
  <c r="G137" i="144" s="1"/>
  <c r="J15" i="199"/>
  <c r="I138" i="144" s="1"/>
  <c r="H56" i="203"/>
  <c r="I15" i="203"/>
  <c r="H126" i="144" s="1"/>
  <c r="H40" i="204"/>
  <c r="H42" i="204"/>
  <c r="H44" i="204"/>
  <c r="H46" i="204"/>
  <c r="H48" i="204"/>
  <c r="H56" i="204"/>
  <c r="H45" i="206"/>
  <c r="H44" i="206"/>
  <c r="H52" i="206"/>
  <c r="G15" i="198"/>
  <c r="F137" i="144" s="1"/>
  <c r="I15" i="199"/>
  <c r="H138" i="144" s="1"/>
  <c r="G15" i="201"/>
  <c r="F124" i="144" s="1"/>
  <c r="H15" i="202"/>
  <c r="G125" i="144" s="1"/>
  <c r="E126" i="144"/>
  <c r="A12" i="204"/>
  <c r="H15" i="204"/>
  <c r="G128" i="144" s="1"/>
  <c r="H59" i="206"/>
  <c r="H46" i="206"/>
  <c r="H54" i="206"/>
  <c r="H44" i="201"/>
  <c r="H50" i="201"/>
  <c r="H56" i="201"/>
  <c r="H60" i="203"/>
  <c r="H61" i="196"/>
  <c r="H63" i="196"/>
  <c r="H62" i="196"/>
  <c r="I15" i="198"/>
  <c r="A12" i="199"/>
  <c r="H41" i="199"/>
  <c r="H43" i="199"/>
  <c r="H45" i="199"/>
  <c r="H47" i="199"/>
  <c r="H49" i="199"/>
  <c r="H51" i="199"/>
  <c r="H53" i="199"/>
  <c r="H55" i="199"/>
  <c r="H57" i="199"/>
  <c r="A6" i="199"/>
  <c r="A33" i="199" s="1"/>
  <c r="E124" i="144"/>
  <c r="J15" i="201"/>
  <c r="I124" i="144" s="1"/>
  <c r="H39" i="201"/>
  <c r="H59" i="201"/>
  <c r="G15" i="202"/>
  <c r="F125" i="144" s="1"/>
  <c r="H40" i="203"/>
  <c r="H42" i="203"/>
  <c r="H44" i="203"/>
  <c r="H46" i="203"/>
  <c r="H48" i="203"/>
  <c r="H50" i="203"/>
  <c r="H52" i="203"/>
  <c r="H54" i="203"/>
  <c r="H63" i="204"/>
  <c r="H62" i="204"/>
  <c r="H39" i="204"/>
  <c r="H59" i="204"/>
  <c r="H61" i="204"/>
  <c r="H38" i="205"/>
  <c r="F121" i="145" s="1"/>
  <c r="G18" i="206"/>
  <c r="F37" i="144" s="1"/>
  <c r="A14" i="206"/>
  <c r="H63" i="206"/>
  <c r="Q18" i="211"/>
  <c r="B17" i="211"/>
  <c r="H38" i="201"/>
  <c r="F124" i="145" s="1"/>
  <c r="H62" i="201"/>
  <c r="H63" i="201"/>
  <c r="H40" i="201"/>
  <c r="H46" i="201"/>
  <c r="H52" i="201"/>
  <c r="H63" i="203"/>
  <c r="H62" i="203"/>
  <c r="A13" i="198"/>
  <c r="H62" i="198"/>
  <c r="H63" i="198"/>
  <c r="H62" i="199"/>
  <c r="H63" i="199"/>
  <c r="H63" i="200"/>
  <c r="H62" i="200"/>
  <c r="A13" i="201"/>
  <c r="H41" i="201"/>
  <c r="H43" i="201"/>
  <c r="H45" i="201"/>
  <c r="H47" i="201"/>
  <c r="H49" i="201"/>
  <c r="H51" i="201"/>
  <c r="H53" i="201"/>
  <c r="H55" i="201"/>
  <c r="H57" i="201"/>
  <c r="A13" i="203"/>
  <c r="H39" i="203"/>
  <c r="H59" i="203"/>
  <c r="H61" i="203"/>
  <c r="H49" i="204"/>
  <c r="H51" i="204"/>
  <c r="H53" i="204"/>
  <c r="H55" i="204"/>
  <c r="H57" i="204"/>
  <c r="A6" i="204"/>
  <c r="A33" i="204" s="1"/>
  <c r="E121" i="144"/>
  <c r="J15" i="205"/>
  <c r="I121" i="144" s="1"/>
  <c r="A6" i="205"/>
  <c r="A33" i="205" s="1"/>
  <c r="H43" i="206"/>
  <c r="H47" i="206"/>
  <c r="H49" i="206"/>
  <c r="H51" i="206"/>
  <c r="H53" i="206"/>
  <c r="H55" i="206"/>
  <c r="H57" i="206"/>
  <c r="A16" i="211"/>
  <c r="H81" i="197"/>
  <c r="H80" i="197"/>
  <c r="H42" i="201"/>
  <c r="H48" i="201"/>
  <c r="H54" i="201"/>
  <c r="A7" i="203"/>
  <c r="A34" i="203" s="1"/>
  <c r="H40" i="199"/>
  <c r="H42" i="199"/>
  <c r="H44" i="199"/>
  <c r="H46" i="199"/>
  <c r="H48" i="199"/>
  <c r="H50" i="199"/>
  <c r="H52" i="199"/>
  <c r="H54" i="199"/>
  <c r="H56" i="199"/>
  <c r="H58" i="199"/>
  <c r="D63" i="200"/>
  <c r="D62" i="200"/>
  <c r="A12" i="201"/>
  <c r="H15" i="201"/>
  <c r="G124" i="144" s="1"/>
  <c r="H60" i="201"/>
  <c r="A13" i="202"/>
  <c r="H63" i="202"/>
  <c r="H62" i="202"/>
  <c r="I15" i="202"/>
  <c r="A6" i="202"/>
  <c r="A33" i="202" s="1"/>
  <c r="A12" i="203"/>
  <c r="H15" i="203"/>
  <c r="G126" i="144" s="1"/>
  <c r="H41" i="203"/>
  <c r="H43" i="203"/>
  <c r="H45" i="203"/>
  <c r="H47" i="203"/>
  <c r="H49" i="203"/>
  <c r="H51" i="203"/>
  <c r="H53" i="203"/>
  <c r="H55" i="203"/>
  <c r="H57" i="203"/>
  <c r="H60" i="204"/>
  <c r="H62" i="205"/>
  <c r="H63" i="205"/>
  <c r="A7" i="205"/>
  <c r="A34" i="205" s="1"/>
  <c r="H121" i="144"/>
  <c r="H65" i="206"/>
  <c r="H66" i="206"/>
  <c r="H42" i="206"/>
  <c r="H62" i="206"/>
  <c r="H64" i="206"/>
  <c r="A6" i="197"/>
  <c r="A51" i="197" s="1"/>
  <c r="Q55" i="211"/>
  <c r="B54" i="211"/>
  <c r="Q84" i="210"/>
  <c r="Q85" i="210" s="1"/>
  <c r="Q86" i="210" s="1"/>
  <c r="Q87" i="210" s="1"/>
  <c r="B83" i="210"/>
  <c r="A18" i="210"/>
  <c r="B19" i="210"/>
  <c r="J18" i="206"/>
  <c r="I37" i="144" s="1"/>
  <c r="T12" i="206"/>
  <c r="C12" i="206" s="1"/>
  <c r="T14" i="206"/>
  <c r="C14" i="206" s="1"/>
  <c r="H41" i="206"/>
  <c r="D41" i="206"/>
  <c r="D42" i="206" s="1"/>
  <c r="D43" i="206" s="1"/>
  <c r="D44" i="206" s="1"/>
  <c r="D45" i="206" s="1"/>
  <c r="D46" i="206" s="1"/>
  <c r="D47" i="206" s="1"/>
  <c r="D48" i="206" s="1"/>
  <c r="D49" i="206" s="1"/>
  <c r="D50" i="206" s="1"/>
  <c r="D51" i="206" s="1"/>
  <c r="D52" i="206" s="1"/>
  <c r="D53" i="206" s="1"/>
  <c r="D54" i="206" s="1"/>
  <c r="D55" i="206" s="1"/>
  <c r="D56" i="206" s="1"/>
  <c r="D57" i="206" s="1"/>
  <c r="D58" i="206" s="1"/>
  <c r="D59" i="206" s="1"/>
  <c r="D60" i="206" s="1"/>
  <c r="D61" i="206" s="1"/>
  <c r="D62" i="206" s="1"/>
  <c r="D63" i="206" s="1"/>
  <c r="D64" i="206" s="1"/>
  <c r="T13" i="206"/>
  <c r="C13" i="206" s="1"/>
  <c r="T15" i="206"/>
  <c r="C15" i="206" s="1"/>
  <c r="A13" i="205"/>
  <c r="H15" i="205"/>
  <c r="G121" i="144" s="1"/>
  <c r="T12" i="205"/>
  <c r="D38" i="205"/>
  <c r="D39" i="205" s="1"/>
  <c r="D40" i="205" s="1"/>
  <c r="D41" i="205" s="1"/>
  <c r="D42" i="205" s="1"/>
  <c r="D43" i="205" s="1"/>
  <c r="D44" i="205" s="1"/>
  <c r="D45" i="205" s="1"/>
  <c r="D46" i="205" s="1"/>
  <c r="D47" i="205" s="1"/>
  <c r="D48" i="205" s="1"/>
  <c r="D49" i="205" s="1"/>
  <c r="D50" i="205" s="1"/>
  <c r="D51" i="205" s="1"/>
  <c r="D52" i="205" s="1"/>
  <c r="D53" i="205" s="1"/>
  <c r="D54" i="205" s="1"/>
  <c r="D55" i="205" s="1"/>
  <c r="D56" i="205" s="1"/>
  <c r="D57" i="205" s="1"/>
  <c r="D58" i="205" s="1"/>
  <c r="D59" i="205" s="1"/>
  <c r="D60" i="205" s="1"/>
  <c r="D61" i="205" s="1"/>
  <c r="H39" i="205"/>
  <c r="H42" i="205"/>
  <c r="H43" i="205"/>
  <c r="H44" i="205"/>
  <c r="H45" i="205"/>
  <c r="H46" i="205"/>
  <c r="H47" i="205"/>
  <c r="H48" i="205"/>
  <c r="H49" i="205"/>
  <c r="H50" i="205"/>
  <c r="H51" i="205"/>
  <c r="H52" i="205"/>
  <c r="H53" i="205"/>
  <c r="H54" i="205"/>
  <c r="H55" i="205"/>
  <c r="H56" i="205"/>
  <c r="H57" i="205"/>
  <c r="H58" i="205"/>
  <c r="H59" i="205"/>
  <c r="H60" i="205"/>
  <c r="H61" i="205"/>
  <c r="H40" i="205"/>
  <c r="T13" i="205"/>
  <c r="A12" i="205"/>
  <c r="H41" i="205"/>
  <c r="T12" i="204"/>
  <c r="C12" i="204" s="1"/>
  <c r="H38" i="204"/>
  <c r="F128" i="145" s="1"/>
  <c r="H58" i="204"/>
  <c r="D38" i="204"/>
  <c r="D39" i="204" s="1"/>
  <c r="D40" i="204" s="1"/>
  <c r="D41" i="204" s="1"/>
  <c r="D42" i="204" s="1"/>
  <c r="D43" i="204" s="1"/>
  <c r="D44" i="204" s="1"/>
  <c r="D45" i="204" s="1"/>
  <c r="D46" i="204" s="1"/>
  <c r="D47" i="204" s="1"/>
  <c r="D48" i="204" s="1"/>
  <c r="D49" i="204" s="1"/>
  <c r="D50" i="204" s="1"/>
  <c r="D51" i="204" s="1"/>
  <c r="D52" i="204" s="1"/>
  <c r="D53" i="204" s="1"/>
  <c r="D54" i="204" s="1"/>
  <c r="D55" i="204" s="1"/>
  <c r="D56" i="204" s="1"/>
  <c r="D57" i="204" s="1"/>
  <c r="D58" i="204" s="1"/>
  <c r="D59" i="204" s="1"/>
  <c r="D60" i="204" s="1"/>
  <c r="D61" i="204" s="1"/>
  <c r="T13" i="204"/>
  <c r="C13" i="204" s="1"/>
  <c r="A6" i="203"/>
  <c r="A33" i="203" s="1"/>
  <c r="T12" i="203"/>
  <c r="C12" i="203" s="1"/>
  <c r="H38" i="203"/>
  <c r="F126" i="145" s="1"/>
  <c r="D38" i="203"/>
  <c r="D39" i="203" s="1"/>
  <c r="D40" i="203" s="1"/>
  <c r="D41" i="203" s="1"/>
  <c r="D42" i="203" s="1"/>
  <c r="D43" i="203" s="1"/>
  <c r="D44" i="203" s="1"/>
  <c r="D45" i="203" s="1"/>
  <c r="D46" i="203" s="1"/>
  <c r="D47" i="203" s="1"/>
  <c r="D48" i="203" s="1"/>
  <c r="D49" i="203" s="1"/>
  <c r="D50" i="203" s="1"/>
  <c r="D51" i="203" s="1"/>
  <c r="D52" i="203" s="1"/>
  <c r="D53" i="203" s="1"/>
  <c r="D54" i="203" s="1"/>
  <c r="D55" i="203" s="1"/>
  <c r="D56" i="203" s="1"/>
  <c r="D57" i="203" s="1"/>
  <c r="D58" i="203" s="1"/>
  <c r="D59" i="203" s="1"/>
  <c r="D60" i="203" s="1"/>
  <c r="D61" i="203" s="1"/>
  <c r="H58" i="203"/>
  <c r="F15" i="202"/>
  <c r="J15" i="202"/>
  <c r="I125" i="144" s="1"/>
  <c r="H40" i="202"/>
  <c r="H42" i="202"/>
  <c r="H44" i="202"/>
  <c r="H46" i="202"/>
  <c r="H48" i="202"/>
  <c r="H50" i="202"/>
  <c r="H52" i="202"/>
  <c r="T13" i="202"/>
  <c r="C13" i="202" s="1"/>
  <c r="H38" i="202"/>
  <c r="F125" i="145" s="1"/>
  <c r="A12" i="202"/>
  <c r="D38" i="202"/>
  <c r="D39" i="202" s="1"/>
  <c r="D40" i="202" s="1"/>
  <c r="D41" i="202" s="1"/>
  <c r="D42" i="202" s="1"/>
  <c r="D43" i="202" s="1"/>
  <c r="D44" i="202" s="1"/>
  <c r="D45" i="202" s="1"/>
  <c r="D46" i="202" s="1"/>
  <c r="D47" i="202" s="1"/>
  <c r="D48" i="202" s="1"/>
  <c r="D49" i="202" s="1"/>
  <c r="D50" i="202" s="1"/>
  <c r="D51" i="202" s="1"/>
  <c r="D52" i="202" s="1"/>
  <c r="D53" i="202" s="1"/>
  <c r="D54" i="202" s="1"/>
  <c r="D55" i="202" s="1"/>
  <c r="D56" i="202" s="1"/>
  <c r="D57" i="202" s="1"/>
  <c r="D58" i="202" s="1"/>
  <c r="D59" i="202" s="1"/>
  <c r="D60" i="202" s="1"/>
  <c r="D61" i="202" s="1"/>
  <c r="H39" i="202"/>
  <c r="H41" i="202"/>
  <c r="H43" i="202"/>
  <c r="H45" i="202"/>
  <c r="H47" i="202"/>
  <c r="H49" i="202"/>
  <c r="H51" i="202"/>
  <c r="H53" i="202"/>
  <c r="H54" i="202"/>
  <c r="H55" i="202"/>
  <c r="H56" i="202"/>
  <c r="H57" i="202"/>
  <c r="H58" i="202"/>
  <c r="H59" i="202"/>
  <c r="H60" i="202"/>
  <c r="H61" i="202"/>
  <c r="A6" i="201"/>
  <c r="A33" i="201" s="1"/>
  <c r="T12" i="201"/>
  <c r="C12" i="201" s="1"/>
  <c r="D38" i="201"/>
  <c r="D39" i="201" s="1"/>
  <c r="D40" i="201" s="1"/>
  <c r="D41" i="201" s="1"/>
  <c r="D42" i="201" s="1"/>
  <c r="D43" i="201" s="1"/>
  <c r="D44" i="201" s="1"/>
  <c r="D45" i="201" s="1"/>
  <c r="D46" i="201" s="1"/>
  <c r="D47" i="201" s="1"/>
  <c r="D48" i="201" s="1"/>
  <c r="D49" i="201" s="1"/>
  <c r="D50" i="201" s="1"/>
  <c r="D51" i="201" s="1"/>
  <c r="D52" i="201" s="1"/>
  <c r="D53" i="201" s="1"/>
  <c r="D54" i="201" s="1"/>
  <c r="D55" i="201" s="1"/>
  <c r="D56" i="201" s="1"/>
  <c r="D57" i="201" s="1"/>
  <c r="D58" i="201" s="1"/>
  <c r="D59" i="201" s="1"/>
  <c r="D60" i="201" s="1"/>
  <c r="D61" i="201" s="1"/>
  <c r="H58" i="201"/>
  <c r="G13" i="200"/>
  <c r="H12" i="200"/>
  <c r="A6" i="200"/>
  <c r="A33" i="200" s="1"/>
  <c r="A12" i="200"/>
  <c r="P15" i="200"/>
  <c r="A13" i="200"/>
  <c r="T12" i="200"/>
  <c r="C12" i="200" s="1"/>
  <c r="F13" i="200"/>
  <c r="T13" i="200"/>
  <c r="C13" i="200" s="1"/>
  <c r="T12" i="199"/>
  <c r="C12" i="199" s="1"/>
  <c r="H38" i="199"/>
  <c r="H60" i="199"/>
  <c r="D38" i="199"/>
  <c r="D39" i="199" s="1"/>
  <c r="D40" i="199" s="1"/>
  <c r="D41" i="199" s="1"/>
  <c r="D42" i="199" s="1"/>
  <c r="D43" i="199" s="1"/>
  <c r="D44" i="199" s="1"/>
  <c r="D45" i="199" s="1"/>
  <c r="D46" i="199" s="1"/>
  <c r="D47" i="199" s="1"/>
  <c r="D48" i="199" s="1"/>
  <c r="D49" i="199" s="1"/>
  <c r="D50" i="199" s="1"/>
  <c r="D51" i="199" s="1"/>
  <c r="D52" i="199" s="1"/>
  <c r="D53" i="199" s="1"/>
  <c r="D54" i="199" s="1"/>
  <c r="D55" i="199" s="1"/>
  <c r="D56" i="199" s="1"/>
  <c r="D57" i="199" s="1"/>
  <c r="D58" i="199" s="1"/>
  <c r="D59" i="199" s="1"/>
  <c r="D60" i="199" s="1"/>
  <c r="D61" i="199" s="1"/>
  <c r="T13" i="199"/>
  <c r="C13" i="199" s="1"/>
  <c r="J15" i="198"/>
  <c r="I137" i="144" s="1"/>
  <c r="E137" i="144"/>
  <c r="A12" i="198"/>
  <c r="H39" i="198"/>
  <c r="H41" i="198"/>
  <c r="H43" i="198"/>
  <c r="H45" i="198"/>
  <c r="H47" i="198"/>
  <c r="H49" i="198"/>
  <c r="H51" i="198"/>
  <c r="H53" i="198"/>
  <c r="H54" i="198"/>
  <c r="H55" i="198"/>
  <c r="H57" i="198"/>
  <c r="H58" i="198"/>
  <c r="H59" i="198"/>
  <c r="H60" i="198"/>
  <c r="H61" i="198"/>
  <c r="D38" i="198"/>
  <c r="D39" i="198" s="1"/>
  <c r="D40" i="198" s="1"/>
  <c r="D41" i="198" s="1"/>
  <c r="D42" i="198" s="1"/>
  <c r="D43" i="198" s="1"/>
  <c r="D44" i="198" s="1"/>
  <c r="D45" i="198" s="1"/>
  <c r="D46" i="198" s="1"/>
  <c r="D47" i="198" s="1"/>
  <c r="D48" i="198" s="1"/>
  <c r="D49" i="198" s="1"/>
  <c r="D50" i="198" s="1"/>
  <c r="D51" i="198" s="1"/>
  <c r="D52" i="198" s="1"/>
  <c r="D53" i="198" s="1"/>
  <c r="D54" i="198" s="1"/>
  <c r="D55" i="198" s="1"/>
  <c r="D56" i="198" s="1"/>
  <c r="D57" i="198" s="1"/>
  <c r="D58" i="198" s="1"/>
  <c r="D59" i="198" s="1"/>
  <c r="D60" i="198" s="1"/>
  <c r="D61" i="198" s="1"/>
  <c r="H40" i="198"/>
  <c r="H42" i="198"/>
  <c r="H44" i="198"/>
  <c r="H46" i="198"/>
  <c r="H48" i="198"/>
  <c r="H50" i="198"/>
  <c r="H52" i="198"/>
  <c r="H56" i="198"/>
  <c r="T13" i="198"/>
  <c r="C13" i="198" s="1"/>
  <c r="E136" i="144"/>
  <c r="J33" i="197"/>
  <c r="I136" i="144" s="1"/>
  <c r="H56" i="197"/>
  <c r="F136" i="145" s="1"/>
  <c r="H57" i="197"/>
  <c r="H59" i="197"/>
  <c r="H61" i="197"/>
  <c r="H63" i="197"/>
  <c r="H65" i="197"/>
  <c r="H67" i="197"/>
  <c r="H69" i="197"/>
  <c r="H71" i="197"/>
  <c r="H72" i="197"/>
  <c r="H73" i="197"/>
  <c r="H75" i="197"/>
  <c r="H76" i="197"/>
  <c r="H78" i="197"/>
  <c r="H79" i="197"/>
  <c r="D56" i="197"/>
  <c r="D57" i="197" s="1"/>
  <c r="D58" i="197" s="1"/>
  <c r="D59" i="197" s="1"/>
  <c r="D60" i="197" s="1"/>
  <c r="D61" i="197" s="1"/>
  <c r="D62" i="197" s="1"/>
  <c r="D63" i="197" s="1"/>
  <c r="D64" i="197" s="1"/>
  <c r="D65" i="197" s="1"/>
  <c r="D66" i="197" s="1"/>
  <c r="D67" i="197" s="1"/>
  <c r="D68" i="197" s="1"/>
  <c r="D69" i="197" s="1"/>
  <c r="D70" i="197" s="1"/>
  <c r="D71" i="197" s="1"/>
  <c r="D72" i="197" s="1"/>
  <c r="D73" i="197" s="1"/>
  <c r="D74" i="197" s="1"/>
  <c r="D75" i="197" s="1"/>
  <c r="D76" i="197" s="1"/>
  <c r="D77" i="197" s="1"/>
  <c r="D78" i="197" s="1"/>
  <c r="D79" i="197" s="1"/>
  <c r="H58" i="197"/>
  <c r="H60" i="197"/>
  <c r="H62" i="197"/>
  <c r="H64" i="197"/>
  <c r="H66" i="197"/>
  <c r="H68" i="197"/>
  <c r="H70" i="197"/>
  <c r="H74" i="197"/>
  <c r="A12" i="197"/>
  <c r="H45" i="196"/>
  <c r="H47" i="196"/>
  <c r="H49" i="196"/>
  <c r="H41" i="196"/>
  <c r="A13" i="196"/>
  <c r="H51" i="196"/>
  <c r="H42" i="196"/>
  <c r="H44" i="196"/>
  <c r="H46" i="196"/>
  <c r="H52" i="196"/>
  <c r="H54" i="196"/>
  <c r="H56" i="196"/>
  <c r="H50" i="196"/>
  <c r="H60" i="196"/>
  <c r="H53" i="196"/>
  <c r="H55" i="196"/>
  <c r="H57" i="196"/>
  <c r="H39" i="196"/>
  <c r="H59" i="196"/>
  <c r="A6" i="196"/>
  <c r="A33" i="196" s="1"/>
  <c r="T12" i="196"/>
  <c r="C12" i="196" s="1"/>
  <c r="H38" i="196"/>
  <c r="F135" i="145" s="1"/>
  <c r="D38" i="196"/>
  <c r="D39" i="196" s="1"/>
  <c r="D40" i="196" s="1"/>
  <c r="D41" i="196" s="1"/>
  <c r="D42" i="196" s="1"/>
  <c r="D43" i="196" s="1"/>
  <c r="D44" i="196" s="1"/>
  <c r="D45" i="196" s="1"/>
  <c r="D46" i="196" s="1"/>
  <c r="D47" i="196" s="1"/>
  <c r="D48" i="196" s="1"/>
  <c r="D49" i="196" s="1"/>
  <c r="D50" i="196" s="1"/>
  <c r="D51" i="196" s="1"/>
  <c r="D52" i="196" s="1"/>
  <c r="D53" i="196" s="1"/>
  <c r="D54" i="196" s="1"/>
  <c r="D55" i="196" s="1"/>
  <c r="D56" i="196" s="1"/>
  <c r="D57" i="196" s="1"/>
  <c r="D58" i="196" s="1"/>
  <c r="D59" i="196" s="1"/>
  <c r="D60" i="196" s="1"/>
  <c r="D61" i="196" s="1"/>
  <c r="B13" i="195"/>
  <c r="F13" i="195"/>
  <c r="G13" i="195"/>
  <c r="H13" i="195"/>
  <c r="I13" i="195"/>
  <c r="J13" i="195"/>
  <c r="B13" i="194"/>
  <c r="F13" i="194"/>
  <c r="G13" i="194"/>
  <c r="H13" i="194"/>
  <c r="I13" i="194"/>
  <c r="J13" i="194"/>
  <c r="B13" i="193"/>
  <c r="F13" i="193"/>
  <c r="G13" i="193"/>
  <c r="H13" i="193"/>
  <c r="I13" i="193"/>
  <c r="J13" i="193"/>
  <c r="B13" i="192"/>
  <c r="F13" i="192"/>
  <c r="G13" i="192"/>
  <c r="H13" i="192"/>
  <c r="I13" i="192"/>
  <c r="J13" i="192"/>
  <c r="B13" i="191"/>
  <c r="F13" i="191"/>
  <c r="G13" i="191"/>
  <c r="H13" i="191"/>
  <c r="I13" i="191"/>
  <c r="J13" i="191"/>
  <c r="L7" i="195"/>
  <c r="E7" i="195" s="1"/>
  <c r="E36" i="195" s="1"/>
  <c r="N6" i="195"/>
  <c r="B63" i="195"/>
  <c r="B62" i="195"/>
  <c r="B61" i="195"/>
  <c r="B60" i="195"/>
  <c r="B59" i="195"/>
  <c r="B58" i="195"/>
  <c r="B57" i="195"/>
  <c r="B56" i="195"/>
  <c r="B55" i="195"/>
  <c r="B54" i="195"/>
  <c r="B53" i="195"/>
  <c r="B52" i="195"/>
  <c r="B51" i="195"/>
  <c r="B50" i="195"/>
  <c r="B49" i="195"/>
  <c r="B48" i="195"/>
  <c r="B47" i="195"/>
  <c r="B46" i="195"/>
  <c r="B45" i="195"/>
  <c r="B44" i="195"/>
  <c r="B43" i="195"/>
  <c r="B42" i="195"/>
  <c r="A42" i="195"/>
  <c r="A43" i="195" s="1"/>
  <c r="A44" i="195" s="1"/>
  <c r="A45" i="195" s="1"/>
  <c r="A46" i="195" s="1"/>
  <c r="A47" i="195" s="1"/>
  <c r="A48" i="195" s="1"/>
  <c r="A49" i="195" s="1"/>
  <c r="A50" i="195" s="1"/>
  <c r="A51" i="195" s="1"/>
  <c r="A52" i="195" s="1"/>
  <c r="A53" i="195" s="1"/>
  <c r="A54" i="195" s="1"/>
  <c r="A55" i="195" s="1"/>
  <c r="A56" i="195" s="1"/>
  <c r="A57" i="195" s="1"/>
  <c r="A58" i="195" s="1"/>
  <c r="A59" i="195" s="1"/>
  <c r="A60" i="195" s="1"/>
  <c r="A61" i="195" s="1"/>
  <c r="A62" i="195" s="1"/>
  <c r="A63" i="195" s="1"/>
  <c r="A64" i="195" s="1"/>
  <c r="A65" i="195" s="1"/>
  <c r="B41" i="195"/>
  <c r="B40" i="195"/>
  <c r="A33" i="195"/>
  <c r="P17" i="195"/>
  <c r="J12" i="195"/>
  <c r="I12" i="195"/>
  <c r="H12" i="195"/>
  <c r="G12" i="195"/>
  <c r="G17" i="195" s="1"/>
  <c r="F58" i="144" s="1"/>
  <c r="F12" i="195"/>
  <c r="B12" i="195"/>
  <c r="A12" i="195" s="1"/>
  <c r="L6" i="195"/>
  <c r="A5" i="195"/>
  <c r="A34" i="195" s="1"/>
  <c r="L7" i="194"/>
  <c r="E7" i="194" s="1"/>
  <c r="E36" i="194" s="1"/>
  <c r="N6" i="194"/>
  <c r="T13" i="194" s="1"/>
  <c r="C13" i="194" s="1"/>
  <c r="B63" i="194"/>
  <c r="B62" i="194"/>
  <c r="B61" i="194"/>
  <c r="B60" i="194"/>
  <c r="B59" i="194"/>
  <c r="B58" i="194"/>
  <c r="B57" i="194"/>
  <c r="B56" i="194"/>
  <c r="B55" i="194"/>
  <c r="B54" i="194"/>
  <c r="B53" i="194"/>
  <c r="B52" i="194"/>
  <c r="B51" i="194"/>
  <c r="B50" i="194"/>
  <c r="B49" i="194"/>
  <c r="B48" i="194"/>
  <c r="B47" i="194"/>
  <c r="B46" i="194"/>
  <c r="B45" i="194"/>
  <c r="B44" i="194"/>
  <c r="B43" i="194"/>
  <c r="B42" i="194"/>
  <c r="A42" i="194"/>
  <c r="A43" i="194" s="1"/>
  <c r="A44" i="194" s="1"/>
  <c r="A45" i="194" s="1"/>
  <c r="A46" i="194" s="1"/>
  <c r="A47" i="194" s="1"/>
  <c r="A48" i="194" s="1"/>
  <c r="A49" i="194" s="1"/>
  <c r="A50" i="194" s="1"/>
  <c r="A51" i="194" s="1"/>
  <c r="A52" i="194" s="1"/>
  <c r="A53" i="194" s="1"/>
  <c r="A54" i="194" s="1"/>
  <c r="A55" i="194" s="1"/>
  <c r="A56" i="194" s="1"/>
  <c r="A57" i="194" s="1"/>
  <c r="A58" i="194" s="1"/>
  <c r="A59" i="194" s="1"/>
  <c r="A60" i="194" s="1"/>
  <c r="A61" i="194" s="1"/>
  <c r="A62" i="194" s="1"/>
  <c r="A63" i="194" s="1"/>
  <c r="A64" i="194" s="1"/>
  <c r="A65" i="194" s="1"/>
  <c r="B41" i="194"/>
  <c r="B40" i="194"/>
  <c r="A33" i="194"/>
  <c r="P17" i="194"/>
  <c r="J12" i="194"/>
  <c r="I12" i="194"/>
  <c r="H12" i="194"/>
  <c r="G12" i="194"/>
  <c r="F12" i="194"/>
  <c r="B12" i="194"/>
  <c r="L6" i="194"/>
  <c r="A5" i="194"/>
  <c r="A34" i="194" s="1"/>
  <c r="L7" i="193"/>
  <c r="E7" i="193" s="1"/>
  <c r="E36" i="193" s="1"/>
  <c r="N6" i="193"/>
  <c r="B63" i="193"/>
  <c r="B62" i="193"/>
  <c r="B61" i="193"/>
  <c r="B60" i="193"/>
  <c r="B59" i="193"/>
  <c r="B58" i="193"/>
  <c r="B57" i="193"/>
  <c r="B56" i="193"/>
  <c r="B55" i="193"/>
  <c r="B54" i="193"/>
  <c r="B53" i="193"/>
  <c r="B52" i="193"/>
  <c r="B51" i="193"/>
  <c r="B50" i="193"/>
  <c r="B49" i="193"/>
  <c r="B48" i="193"/>
  <c r="B47" i="193"/>
  <c r="B46" i="193"/>
  <c r="B45" i="193"/>
  <c r="B44" i="193"/>
  <c r="B43" i="193"/>
  <c r="B42" i="193"/>
  <c r="A42" i="193"/>
  <c r="A43" i="193" s="1"/>
  <c r="A44" i="193" s="1"/>
  <c r="A45" i="193" s="1"/>
  <c r="A46" i="193" s="1"/>
  <c r="A47" i="193" s="1"/>
  <c r="A48" i="193" s="1"/>
  <c r="A49" i="193" s="1"/>
  <c r="A50" i="193" s="1"/>
  <c r="A51" i="193" s="1"/>
  <c r="A52" i="193" s="1"/>
  <c r="A53" i="193" s="1"/>
  <c r="A54" i="193" s="1"/>
  <c r="A55" i="193" s="1"/>
  <c r="A56" i="193" s="1"/>
  <c r="A57" i="193" s="1"/>
  <c r="A58" i="193" s="1"/>
  <c r="A59" i="193" s="1"/>
  <c r="A60" i="193" s="1"/>
  <c r="A61" i="193" s="1"/>
  <c r="A62" i="193" s="1"/>
  <c r="A63" i="193" s="1"/>
  <c r="A64" i="193" s="1"/>
  <c r="A65" i="193" s="1"/>
  <c r="B41" i="193"/>
  <c r="B40" i="193"/>
  <c r="A33" i="193"/>
  <c r="P17" i="193"/>
  <c r="J12" i="193"/>
  <c r="I12" i="193"/>
  <c r="H12" i="193"/>
  <c r="G12" i="193"/>
  <c r="F12" i="193"/>
  <c r="B12" i="193"/>
  <c r="L6" i="193"/>
  <c r="A5" i="193"/>
  <c r="A34" i="193" s="1"/>
  <c r="L7" i="192"/>
  <c r="E7" i="192" s="1"/>
  <c r="E36" i="192" s="1"/>
  <c r="N6" i="192"/>
  <c r="B63" i="192"/>
  <c r="B62" i="192"/>
  <c r="B61" i="192"/>
  <c r="B60" i="192"/>
  <c r="B59" i="192"/>
  <c r="B58" i="192"/>
  <c r="B57" i="192"/>
  <c r="B56" i="192"/>
  <c r="B55" i="192"/>
  <c r="B54" i="192"/>
  <c r="B53" i="192"/>
  <c r="B52" i="192"/>
  <c r="B51" i="192"/>
  <c r="B50" i="192"/>
  <c r="B49" i="192"/>
  <c r="B48" i="192"/>
  <c r="B47" i="192"/>
  <c r="B46" i="192"/>
  <c r="B45" i="192"/>
  <c r="B44" i="192"/>
  <c r="B43" i="192"/>
  <c r="B42" i="192"/>
  <c r="A42" i="192"/>
  <c r="A43" i="192" s="1"/>
  <c r="A44" i="192" s="1"/>
  <c r="A45" i="192" s="1"/>
  <c r="A46" i="192" s="1"/>
  <c r="A47" i="192" s="1"/>
  <c r="A48" i="192" s="1"/>
  <c r="A49" i="192" s="1"/>
  <c r="A50" i="192" s="1"/>
  <c r="A51" i="192" s="1"/>
  <c r="A52" i="192" s="1"/>
  <c r="A53" i="192" s="1"/>
  <c r="A54" i="192" s="1"/>
  <c r="A55" i="192" s="1"/>
  <c r="A56" i="192" s="1"/>
  <c r="A57" i="192" s="1"/>
  <c r="A58" i="192" s="1"/>
  <c r="A59" i="192" s="1"/>
  <c r="A60" i="192" s="1"/>
  <c r="A61" i="192" s="1"/>
  <c r="A62" i="192" s="1"/>
  <c r="A63" i="192" s="1"/>
  <c r="A64" i="192" s="1"/>
  <c r="A65" i="192" s="1"/>
  <c r="B41" i="192"/>
  <c r="B40" i="192"/>
  <c r="A33" i="192"/>
  <c r="P17" i="192"/>
  <c r="J12" i="192"/>
  <c r="I12" i="192"/>
  <c r="H12" i="192"/>
  <c r="G12" i="192"/>
  <c r="F12" i="192"/>
  <c r="B12" i="192"/>
  <c r="L6" i="192"/>
  <c r="A5" i="192"/>
  <c r="A34" i="192" s="1"/>
  <c r="N5" i="191"/>
  <c r="A5" i="191" s="1"/>
  <c r="A32" i="191" s="1"/>
  <c r="L7" i="191"/>
  <c r="E7" i="191" s="1"/>
  <c r="E34" i="191" s="1"/>
  <c r="N6" i="191"/>
  <c r="D38" i="191" s="1"/>
  <c r="D39" i="191" s="1"/>
  <c r="D40" i="191" s="1"/>
  <c r="D41" i="191" s="1"/>
  <c r="D42" i="191" s="1"/>
  <c r="D43" i="191" s="1"/>
  <c r="D44" i="191" s="1"/>
  <c r="D45" i="191" s="1"/>
  <c r="D46" i="191" s="1"/>
  <c r="D47" i="191" s="1"/>
  <c r="D48" i="191" s="1"/>
  <c r="D49" i="191" s="1"/>
  <c r="D50" i="191" s="1"/>
  <c r="D51" i="191" s="1"/>
  <c r="D52" i="191" s="1"/>
  <c r="D53" i="191" s="1"/>
  <c r="D54" i="191" s="1"/>
  <c r="D55" i="191" s="1"/>
  <c r="D56" i="191" s="1"/>
  <c r="D57" i="191" s="1"/>
  <c r="D58" i="191" s="1"/>
  <c r="D59" i="191" s="1"/>
  <c r="D60" i="191" s="1"/>
  <c r="D61" i="191" s="1"/>
  <c r="B61" i="191"/>
  <c r="B60" i="191"/>
  <c r="B59" i="191"/>
  <c r="B58" i="191"/>
  <c r="B57" i="191"/>
  <c r="B56" i="191"/>
  <c r="B55" i="191"/>
  <c r="B54" i="191"/>
  <c r="B53" i="191"/>
  <c r="B52" i="191"/>
  <c r="B51" i="191"/>
  <c r="B50" i="191"/>
  <c r="B49" i="191"/>
  <c r="B48" i="191"/>
  <c r="B47" i="191"/>
  <c r="B46" i="191"/>
  <c r="B45" i="191"/>
  <c r="B44" i="191"/>
  <c r="B43" i="191"/>
  <c r="B42" i="191"/>
  <c r="B41" i="191"/>
  <c r="B40" i="191"/>
  <c r="A40" i="191"/>
  <c r="A41" i="191" s="1"/>
  <c r="A42" i="191" s="1"/>
  <c r="A43" i="191" s="1"/>
  <c r="A44" i="191" s="1"/>
  <c r="A45" i="191" s="1"/>
  <c r="A46" i="191" s="1"/>
  <c r="A47" i="191" s="1"/>
  <c r="A48" i="191" s="1"/>
  <c r="A49" i="191" s="1"/>
  <c r="A50" i="191" s="1"/>
  <c r="A51" i="191" s="1"/>
  <c r="A52" i="191" s="1"/>
  <c r="A53" i="191" s="1"/>
  <c r="A54" i="191" s="1"/>
  <c r="A55" i="191" s="1"/>
  <c r="A56" i="191" s="1"/>
  <c r="A57" i="191" s="1"/>
  <c r="A58" i="191" s="1"/>
  <c r="A59" i="191" s="1"/>
  <c r="A60" i="191" s="1"/>
  <c r="A61" i="191" s="1"/>
  <c r="A62" i="191" s="1"/>
  <c r="A63" i="191" s="1"/>
  <c r="B39" i="191"/>
  <c r="B38" i="191"/>
  <c r="A31" i="191"/>
  <c r="I12" i="191"/>
  <c r="J12" i="191"/>
  <c r="H12" i="191"/>
  <c r="G12" i="191"/>
  <c r="F12" i="191"/>
  <c r="B12" i="191"/>
  <c r="L6" i="191"/>
  <c r="P13" i="190"/>
  <c r="G13" i="190" s="1"/>
  <c r="P14" i="190"/>
  <c r="G14" i="190" s="1"/>
  <c r="P15" i="190"/>
  <c r="G15" i="190" s="1"/>
  <c r="P16" i="190"/>
  <c r="P17" i="190"/>
  <c r="G17" i="190" s="1"/>
  <c r="P18" i="190"/>
  <c r="I18" i="190" s="1"/>
  <c r="P19" i="190"/>
  <c r="I19" i="190" s="1"/>
  <c r="P20" i="190"/>
  <c r="P21" i="190"/>
  <c r="G21" i="190" s="1"/>
  <c r="P22" i="190"/>
  <c r="G22" i="190" s="1"/>
  <c r="P23" i="190"/>
  <c r="G23" i="190" s="1"/>
  <c r="P24" i="190"/>
  <c r="G24" i="190" s="1"/>
  <c r="P25" i="190"/>
  <c r="I25" i="190" s="1"/>
  <c r="P26" i="190"/>
  <c r="G26" i="190" s="1"/>
  <c r="P27" i="190"/>
  <c r="G27" i="190" s="1"/>
  <c r="P28" i="190"/>
  <c r="G28" i="190" s="1"/>
  <c r="P29" i="190"/>
  <c r="I29" i="190" s="1"/>
  <c r="P30" i="190"/>
  <c r="G30" i="190" s="1"/>
  <c r="P12" i="190"/>
  <c r="J12" i="190" s="1"/>
  <c r="P31" i="189"/>
  <c r="G31" i="189" s="1"/>
  <c r="P13" i="189"/>
  <c r="F13" i="189" s="1"/>
  <c r="P14" i="189"/>
  <c r="I14" i="189" s="1"/>
  <c r="P15" i="189"/>
  <c r="F15" i="189" s="1"/>
  <c r="P16" i="189"/>
  <c r="H16" i="189" s="1"/>
  <c r="P17" i="189"/>
  <c r="G17" i="189" s="1"/>
  <c r="P18" i="189"/>
  <c r="H18" i="189" s="1"/>
  <c r="P19" i="189"/>
  <c r="P20" i="189"/>
  <c r="G20" i="189" s="1"/>
  <c r="P21" i="189"/>
  <c r="G21" i="189" s="1"/>
  <c r="P22" i="189"/>
  <c r="G22" i="189" s="1"/>
  <c r="P23" i="189"/>
  <c r="H23" i="189" s="1"/>
  <c r="P24" i="189"/>
  <c r="G24" i="189" s="1"/>
  <c r="P25" i="189"/>
  <c r="G25" i="189" s="1"/>
  <c r="P26" i="189"/>
  <c r="P27" i="189"/>
  <c r="G27" i="189" s="1"/>
  <c r="P28" i="189"/>
  <c r="G28" i="189" s="1"/>
  <c r="P29" i="189"/>
  <c r="H29" i="189" s="1"/>
  <c r="P30" i="189"/>
  <c r="P12" i="189"/>
  <c r="F12" i="189" s="1"/>
  <c r="L7" i="190"/>
  <c r="E7" i="190" s="1"/>
  <c r="E52" i="190" s="1"/>
  <c r="N6" i="190"/>
  <c r="T31" i="190" s="1"/>
  <c r="C31" i="190" s="1"/>
  <c r="B79" i="190"/>
  <c r="B78" i="190"/>
  <c r="B77" i="190"/>
  <c r="B76" i="190"/>
  <c r="B75" i="190"/>
  <c r="B74" i="190"/>
  <c r="B73" i="190"/>
  <c r="B72" i="190"/>
  <c r="B71" i="190"/>
  <c r="B70" i="190"/>
  <c r="B69" i="190"/>
  <c r="B68" i="190"/>
  <c r="B67" i="190"/>
  <c r="B66" i="190"/>
  <c r="B65" i="190"/>
  <c r="B64" i="190"/>
  <c r="B63" i="190"/>
  <c r="B62" i="190"/>
  <c r="B61" i="190"/>
  <c r="B60" i="190"/>
  <c r="B59" i="190"/>
  <c r="B58" i="190"/>
  <c r="A58" i="190"/>
  <c r="A59" i="190" s="1"/>
  <c r="A60" i="190" s="1"/>
  <c r="A61" i="190" s="1"/>
  <c r="A62" i="190" s="1"/>
  <c r="A63" i="190" s="1"/>
  <c r="A64" i="190" s="1"/>
  <c r="A65" i="190" s="1"/>
  <c r="A66" i="190" s="1"/>
  <c r="A67" i="190" s="1"/>
  <c r="A68" i="190" s="1"/>
  <c r="A69" i="190" s="1"/>
  <c r="A70" i="190" s="1"/>
  <c r="A71" i="190" s="1"/>
  <c r="A72" i="190" s="1"/>
  <c r="A73" i="190" s="1"/>
  <c r="A74" i="190" s="1"/>
  <c r="A75" i="190" s="1"/>
  <c r="A76" i="190" s="1"/>
  <c r="A77" i="190" s="1"/>
  <c r="A78" i="190" s="1"/>
  <c r="A79" i="190" s="1"/>
  <c r="A80" i="190" s="1"/>
  <c r="A81" i="190" s="1"/>
  <c r="B57" i="190"/>
  <c r="B56" i="190"/>
  <c r="A49" i="190"/>
  <c r="Q21" i="190"/>
  <c r="Q22" i="190" s="1"/>
  <c r="Q13" i="190"/>
  <c r="B12" i="190"/>
  <c r="L6" i="190"/>
  <c r="N5" i="190"/>
  <c r="A5" i="190" s="1"/>
  <c r="A50" i="190" s="1"/>
  <c r="Q21" i="189"/>
  <c r="Q22" i="189" s="1"/>
  <c r="Q23" i="189" s="1"/>
  <c r="Q13" i="189"/>
  <c r="Q14" i="189" s="1"/>
  <c r="L7" i="189"/>
  <c r="E7" i="189" s="1"/>
  <c r="E52" i="189" s="1"/>
  <c r="N6" i="189"/>
  <c r="T21" i="189" s="1"/>
  <c r="C21" i="189" s="1"/>
  <c r="N5" i="189"/>
  <c r="A5" i="189" s="1"/>
  <c r="A50" i="189" s="1"/>
  <c r="B79" i="189"/>
  <c r="B78" i="189"/>
  <c r="B77" i="189"/>
  <c r="B76" i="189"/>
  <c r="B75" i="189"/>
  <c r="B74" i="189"/>
  <c r="B73" i="189"/>
  <c r="B72" i="189"/>
  <c r="B71" i="189"/>
  <c r="B70" i="189"/>
  <c r="B69" i="189"/>
  <c r="B68" i="189"/>
  <c r="B67" i="189"/>
  <c r="B66" i="189"/>
  <c r="B65" i="189"/>
  <c r="B64" i="189"/>
  <c r="B63" i="189"/>
  <c r="B62" i="189"/>
  <c r="B61" i="189"/>
  <c r="B60" i="189"/>
  <c r="B59" i="189"/>
  <c r="B58" i="189"/>
  <c r="A58" i="189"/>
  <c r="A59" i="189" s="1"/>
  <c r="A60" i="189" s="1"/>
  <c r="A61" i="189" s="1"/>
  <c r="A62" i="189" s="1"/>
  <c r="A63" i="189" s="1"/>
  <c r="A64" i="189" s="1"/>
  <c r="A65" i="189" s="1"/>
  <c r="A66" i="189" s="1"/>
  <c r="A67" i="189" s="1"/>
  <c r="A68" i="189" s="1"/>
  <c r="A69" i="189" s="1"/>
  <c r="A70" i="189" s="1"/>
  <c r="A71" i="189" s="1"/>
  <c r="A72" i="189" s="1"/>
  <c r="A73" i="189" s="1"/>
  <c r="A74" i="189" s="1"/>
  <c r="A75" i="189" s="1"/>
  <c r="A76" i="189" s="1"/>
  <c r="A77" i="189" s="1"/>
  <c r="A78" i="189" s="1"/>
  <c r="A79" i="189" s="1"/>
  <c r="A80" i="189" s="1"/>
  <c r="A81" i="189" s="1"/>
  <c r="B57" i="189"/>
  <c r="B56" i="189"/>
  <c r="A49" i="189"/>
  <c r="G15" i="189"/>
  <c r="B12" i="189"/>
  <c r="A12" i="189" s="1"/>
  <c r="L6" i="189"/>
  <c r="L7" i="187"/>
  <c r="E7" i="187" s="1"/>
  <c r="E33" i="187" s="1"/>
  <c r="N6" i="187"/>
  <c r="B60" i="187"/>
  <c r="B59" i="187"/>
  <c r="B58" i="187"/>
  <c r="B57" i="187"/>
  <c r="B56" i="187"/>
  <c r="B55" i="187"/>
  <c r="B54" i="187"/>
  <c r="B53" i="187"/>
  <c r="B52" i="187"/>
  <c r="B51" i="187"/>
  <c r="B50" i="187"/>
  <c r="B49" i="187"/>
  <c r="B48" i="187"/>
  <c r="B47" i="187"/>
  <c r="B46" i="187"/>
  <c r="B45" i="187"/>
  <c r="B44" i="187"/>
  <c r="B43" i="187"/>
  <c r="B42" i="187"/>
  <c r="B41" i="187"/>
  <c r="B40" i="187"/>
  <c r="B39" i="187"/>
  <c r="A39" i="187"/>
  <c r="A40" i="187" s="1"/>
  <c r="A41" i="187" s="1"/>
  <c r="A42" i="187" s="1"/>
  <c r="A43" i="187" s="1"/>
  <c r="A44" i="187" s="1"/>
  <c r="A45" i="187" s="1"/>
  <c r="A46" i="187" s="1"/>
  <c r="A47" i="187" s="1"/>
  <c r="A48" i="187" s="1"/>
  <c r="A49" i="187" s="1"/>
  <c r="A50" i="187" s="1"/>
  <c r="A51" i="187" s="1"/>
  <c r="A52" i="187" s="1"/>
  <c r="A53" i="187" s="1"/>
  <c r="A54" i="187" s="1"/>
  <c r="A55" i="187" s="1"/>
  <c r="A56" i="187" s="1"/>
  <c r="A57" i="187" s="1"/>
  <c r="A58" i="187" s="1"/>
  <c r="A59" i="187" s="1"/>
  <c r="A60" i="187" s="1"/>
  <c r="A61" i="187" s="1"/>
  <c r="A62" i="187" s="1"/>
  <c r="B38" i="187"/>
  <c r="B37" i="187"/>
  <c r="A30" i="187"/>
  <c r="P14" i="187"/>
  <c r="J12" i="187"/>
  <c r="I12" i="187"/>
  <c r="H12" i="187"/>
  <c r="G12" i="187"/>
  <c r="F12" i="187"/>
  <c r="F14" i="187" s="1"/>
  <c r="B12" i="187"/>
  <c r="H51" i="187" s="1"/>
  <c r="L6" i="187"/>
  <c r="N5" i="187"/>
  <c r="A5" i="187" s="1"/>
  <c r="A31" i="187" s="1"/>
  <c r="L7" i="186"/>
  <c r="E7" i="186" s="1"/>
  <c r="E33" i="186" s="1"/>
  <c r="N6" i="186"/>
  <c r="T12" i="186" s="1"/>
  <c r="C12" i="186" s="1"/>
  <c r="B60" i="186"/>
  <c r="B59" i="186"/>
  <c r="B58" i="186"/>
  <c r="B57" i="186"/>
  <c r="B56" i="186"/>
  <c r="B55" i="186"/>
  <c r="B54" i="186"/>
  <c r="B53" i="186"/>
  <c r="B52" i="186"/>
  <c r="B51" i="186"/>
  <c r="B50" i="186"/>
  <c r="B49" i="186"/>
  <c r="B48" i="186"/>
  <c r="B47" i="186"/>
  <c r="B46" i="186"/>
  <c r="B45" i="186"/>
  <c r="B44" i="186"/>
  <c r="B43" i="186"/>
  <c r="B42" i="186"/>
  <c r="B41" i="186"/>
  <c r="B40" i="186"/>
  <c r="B39" i="186"/>
  <c r="A39" i="186"/>
  <c r="A40" i="186" s="1"/>
  <c r="A41" i="186" s="1"/>
  <c r="A42" i="186" s="1"/>
  <c r="A43" i="186" s="1"/>
  <c r="A44" i="186" s="1"/>
  <c r="A45" i="186" s="1"/>
  <c r="A46" i="186" s="1"/>
  <c r="A47" i="186" s="1"/>
  <c r="A48" i="186" s="1"/>
  <c r="A49" i="186" s="1"/>
  <c r="A50" i="186" s="1"/>
  <c r="A51" i="186" s="1"/>
  <c r="A52" i="186" s="1"/>
  <c r="A53" i="186" s="1"/>
  <c r="A54" i="186" s="1"/>
  <c r="A55" i="186" s="1"/>
  <c r="A56" i="186" s="1"/>
  <c r="A57" i="186" s="1"/>
  <c r="A58" i="186" s="1"/>
  <c r="A59" i="186" s="1"/>
  <c r="A60" i="186" s="1"/>
  <c r="A61" i="186" s="1"/>
  <c r="A62" i="186" s="1"/>
  <c r="B38" i="186"/>
  <c r="B37" i="186"/>
  <c r="A30" i="186"/>
  <c r="P14" i="186"/>
  <c r="J12" i="186"/>
  <c r="J14" i="186" s="1"/>
  <c r="I173" i="144" s="1"/>
  <c r="I174" i="144" s="1"/>
  <c r="I12" i="186"/>
  <c r="I14" i="186" s="1"/>
  <c r="H12" i="186"/>
  <c r="H14" i="186" s="1"/>
  <c r="G173" i="144" s="1"/>
  <c r="G174" i="144" s="1"/>
  <c r="G12" i="186"/>
  <c r="G14" i="186" s="1"/>
  <c r="F173" i="144" s="1"/>
  <c r="F174" i="144" s="1"/>
  <c r="F12" i="186"/>
  <c r="F14" i="186" s="1"/>
  <c r="B12" i="186"/>
  <c r="H59" i="186" s="1"/>
  <c r="L6" i="186"/>
  <c r="N5" i="186"/>
  <c r="A5" i="186" s="1"/>
  <c r="A31" i="186" s="1"/>
  <c r="L7" i="185"/>
  <c r="E7" i="185" s="1"/>
  <c r="E33" i="185" s="1"/>
  <c r="N6" i="185"/>
  <c r="D37" i="185" s="1"/>
  <c r="D38" i="185" s="1"/>
  <c r="D39" i="185" s="1"/>
  <c r="D40" i="185" s="1"/>
  <c r="D41" i="185" s="1"/>
  <c r="D42" i="185" s="1"/>
  <c r="D43" i="185" s="1"/>
  <c r="D44" i="185" s="1"/>
  <c r="D45" i="185" s="1"/>
  <c r="D46" i="185" s="1"/>
  <c r="D47" i="185" s="1"/>
  <c r="D48" i="185" s="1"/>
  <c r="D49" i="185" s="1"/>
  <c r="D50" i="185" s="1"/>
  <c r="D51" i="185" s="1"/>
  <c r="D52" i="185" s="1"/>
  <c r="D53" i="185" s="1"/>
  <c r="D54" i="185" s="1"/>
  <c r="D55" i="185" s="1"/>
  <c r="D56" i="185" s="1"/>
  <c r="D57" i="185" s="1"/>
  <c r="D58" i="185" s="1"/>
  <c r="D59" i="185" s="1"/>
  <c r="D60" i="185" s="1"/>
  <c r="B60" i="185"/>
  <c r="B59" i="185"/>
  <c r="B58" i="185"/>
  <c r="B57" i="185"/>
  <c r="B56" i="185"/>
  <c r="B55" i="185"/>
  <c r="B54" i="185"/>
  <c r="B53" i="185"/>
  <c r="B52" i="185"/>
  <c r="B51" i="185"/>
  <c r="B50" i="185"/>
  <c r="B49" i="185"/>
  <c r="B48" i="185"/>
  <c r="B47" i="185"/>
  <c r="B46" i="185"/>
  <c r="B45" i="185"/>
  <c r="B44" i="185"/>
  <c r="B43" i="185"/>
  <c r="B42" i="185"/>
  <c r="B41" i="185"/>
  <c r="B40" i="185"/>
  <c r="B39" i="185"/>
  <c r="A39" i="185"/>
  <c r="A40" i="185" s="1"/>
  <c r="A41" i="185" s="1"/>
  <c r="A42" i="185" s="1"/>
  <c r="A43" i="185" s="1"/>
  <c r="A44" i="185" s="1"/>
  <c r="A45" i="185" s="1"/>
  <c r="A46" i="185" s="1"/>
  <c r="A47" i="185" s="1"/>
  <c r="A48" i="185" s="1"/>
  <c r="A49" i="185" s="1"/>
  <c r="A50" i="185" s="1"/>
  <c r="A51" i="185" s="1"/>
  <c r="A52" i="185" s="1"/>
  <c r="A53" i="185" s="1"/>
  <c r="A54" i="185" s="1"/>
  <c r="A55" i="185" s="1"/>
  <c r="A56" i="185" s="1"/>
  <c r="A57" i="185" s="1"/>
  <c r="A58" i="185" s="1"/>
  <c r="A59" i="185" s="1"/>
  <c r="A60" i="185" s="1"/>
  <c r="A61" i="185" s="1"/>
  <c r="A62" i="185" s="1"/>
  <c r="B38" i="185"/>
  <c r="B37" i="185"/>
  <c r="A30" i="185"/>
  <c r="P14" i="185"/>
  <c r="J12" i="185"/>
  <c r="J14" i="185" s="1"/>
  <c r="I172" i="144" s="1"/>
  <c r="I12" i="185"/>
  <c r="I14" i="185" s="1"/>
  <c r="H12" i="185"/>
  <c r="H14" i="185" s="1"/>
  <c r="G172" i="144" s="1"/>
  <c r="G12" i="185"/>
  <c r="G14" i="185" s="1"/>
  <c r="F172" i="144" s="1"/>
  <c r="F12" i="185"/>
  <c r="F14" i="185" s="1"/>
  <c r="E172" i="144" s="1"/>
  <c r="B12" i="185"/>
  <c r="H51" i="185" s="1"/>
  <c r="L6" i="185"/>
  <c r="N5" i="185"/>
  <c r="A5" i="185" s="1"/>
  <c r="A31" i="185" s="1"/>
  <c r="L7" i="184"/>
  <c r="E7" i="184" s="1"/>
  <c r="E33" i="184" s="1"/>
  <c r="N6" i="184"/>
  <c r="T12" i="184" s="1"/>
  <c r="C12" i="184" s="1"/>
  <c r="B60" i="184"/>
  <c r="B59" i="184"/>
  <c r="B58" i="184"/>
  <c r="B57" i="184"/>
  <c r="B56" i="184"/>
  <c r="B55" i="184"/>
  <c r="B54" i="184"/>
  <c r="B53" i="184"/>
  <c r="B52" i="184"/>
  <c r="B51" i="184"/>
  <c r="B50" i="184"/>
  <c r="B49" i="184"/>
  <c r="B48" i="184"/>
  <c r="B47" i="184"/>
  <c r="B46" i="184"/>
  <c r="B45" i="184"/>
  <c r="B44" i="184"/>
  <c r="B43" i="184"/>
  <c r="B42" i="184"/>
  <c r="B41" i="184"/>
  <c r="B40" i="184"/>
  <c r="B39" i="184"/>
  <c r="A39" i="184"/>
  <c r="A40" i="184" s="1"/>
  <c r="A41" i="184" s="1"/>
  <c r="A42" i="184" s="1"/>
  <c r="A43" i="184" s="1"/>
  <c r="A44" i="184" s="1"/>
  <c r="A45" i="184" s="1"/>
  <c r="A46" i="184" s="1"/>
  <c r="A47" i="184" s="1"/>
  <c r="A48" i="184" s="1"/>
  <c r="A49" i="184" s="1"/>
  <c r="A50" i="184" s="1"/>
  <c r="A51" i="184" s="1"/>
  <c r="A52" i="184" s="1"/>
  <c r="A53" i="184" s="1"/>
  <c r="A54" i="184" s="1"/>
  <c r="A55" i="184" s="1"/>
  <c r="A56" i="184" s="1"/>
  <c r="A57" i="184" s="1"/>
  <c r="A58" i="184" s="1"/>
  <c r="A59" i="184" s="1"/>
  <c r="A60" i="184" s="1"/>
  <c r="A61" i="184" s="1"/>
  <c r="A62" i="184" s="1"/>
  <c r="B38" i="184"/>
  <c r="B37" i="184"/>
  <c r="A30" i="184"/>
  <c r="P14" i="184"/>
  <c r="J12" i="184"/>
  <c r="J14" i="184" s="1"/>
  <c r="I175" i="144" s="1"/>
  <c r="I12" i="184"/>
  <c r="I14" i="184" s="1"/>
  <c r="H175" i="144" s="1"/>
  <c r="H12" i="184"/>
  <c r="H14" i="184" s="1"/>
  <c r="G175" i="144" s="1"/>
  <c r="G12" i="184"/>
  <c r="G14" i="184" s="1"/>
  <c r="F175" i="144" s="1"/>
  <c r="F12" i="184"/>
  <c r="F14" i="184" s="1"/>
  <c r="B12" i="184"/>
  <c r="H41" i="184" s="1"/>
  <c r="L6" i="184"/>
  <c r="N5" i="184"/>
  <c r="A5" i="184" s="1"/>
  <c r="A31" i="184" s="1"/>
  <c r="L7" i="183"/>
  <c r="E7" i="183" s="1"/>
  <c r="E33" i="183" s="1"/>
  <c r="N6" i="183"/>
  <c r="N5" i="183"/>
  <c r="A5" i="183" s="1"/>
  <c r="A31" i="183" s="1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A39" i="183"/>
  <c r="A40" i="183" s="1"/>
  <c r="A41" i="183" s="1"/>
  <c r="A42" i="183" s="1"/>
  <c r="A43" i="183" s="1"/>
  <c r="A44" i="183" s="1"/>
  <c r="A45" i="183" s="1"/>
  <c r="A46" i="183" s="1"/>
  <c r="A47" i="183" s="1"/>
  <c r="A48" i="183" s="1"/>
  <c r="A49" i="183" s="1"/>
  <c r="A50" i="183" s="1"/>
  <c r="A51" i="183" s="1"/>
  <c r="A52" i="183" s="1"/>
  <c r="A53" i="183" s="1"/>
  <c r="A54" i="183" s="1"/>
  <c r="A55" i="183" s="1"/>
  <c r="A56" i="183" s="1"/>
  <c r="A57" i="183" s="1"/>
  <c r="A58" i="183" s="1"/>
  <c r="A59" i="183" s="1"/>
  <c r="A60" i="183" s="1"/>
  <c r="A61" i="183" s="1"/>
  <c r="A62" i="183" s="1"/>
  <c r="B38" i="183"/>
  <c r="B37" i="183"/>
  <c r="A30" i="183"/>
  <c r="P14" i="183"/>
  <c r="J12" i="183"/>
  <c r="J14" i="183" s="1"/>
  <c r="I177" i="144" s="1"/>
  <c r="I12" i="183"/>
  <c r="I14" i="183" s="1"/>
  <c r="H12" i="183"/>
  <c r="H14" i="183" s="1"/>
  <c r="G177" i="144" s="1"/>
  <c r="G12" i="183"/>
  <c r="G14" i="183" s="1"/>
  <c r="F177" i="144" s="1"/>
  <c r="F12" i="183"/>
  <c r="F14" i="183" s="1"/>
  <c r="B12" i="183"/>
  <c r="L6" i="183"/>
  <c r="L7" i="182"/>
  <c r="E7" i="182" s="1"/>
  <c r="E33" i="182" s="1"/>
  <c r="N6" i="182"/>
  <c r="T12" i="182" s="1"/>
  <c r="C12" i="182" s="1"/>
  <c r="B60" i="182"/>
  <c r="B59" i="182"/>
  <c r="B58" i="182"/>
  <c r="B57" i="182"/>
  <c r="B56" i="182"/>
  <c r="B55" i="182"/>
  <c r="B54" i="182"/>
  <c r="B53" i="182"/>
  <c r="B52" i="182"/>
  <c r="B51" i="182"/>
  <c r="B50" i="182"/>
  <c r="B49" i="182"/>
  <c r="B48" i="182"/>
  <c r="B47" i="182"/>
  <c r="B46" i="182"/>
  <c r="B45" i="182"/>
  <c r="B44" i="182"/>
  <c r="B43" i="182"/>
  <c r="B42" i="182"/>
  <c r="B41" i="182"/>
  <c r="B40" i="182"/>
  <c r="B39" i="182"/>
  <c r="A39" i="182"/>
  <c r="A40" i="182" s="1"/>
  <c r="A41" i="182" s="1"/>
  <c r="A42" i="182" s="1"/>
  <c r="A43" i="182" s="1"/>
  <c r="A44" i="182" s="1"/>
  <c r="A45" i="182" s="1"/>
  <c r="A46" i="182" s="1"/>
  <c r="A47" i="182" s="1"/>
  <c r="A48" i="182" s="1"/>
  <c r="A49" i="182" s="1"/>
  <c r="A50" i="182" s="1"/>
  <c r="A51" i="182" s="1"/>
  <c r="A52" i="182" s="1"/>
  <c r="A53" i="182" s="1"/>
  <c r="A54" i="182" s="1"/>
  <c r="A55" i="182" s="1"/>
  <c r="A56" i="182" s="1"/>
  <c r="A57" i="182" s="1"/>
  <c r="A58" i="182" s="1"/>
  <c r="A59" i="182" s="1"/>
  <c r="A60" i="182" s="1"/>
  <c r="A61" i="182" s="1"/>
  <c r="A62" i="182" s="1"/>
  <c r="B38" i="182"/>
  <c r="B37" i="182"/>
  <c r="A30" i="182"/>
  <c r="P14" i="182"/>
  <c r="J12" i="182"/>
  <c r="J14" i="182" s="1"/>
  <c r="I81" i="144" s="1"/>
  <c r="I12" i="182"/>
  <c r="I14" i="182" s="1"/>
  <c r="H12" i="182"/>
  <c r="H14" i="182" s="1"/>
  <c r="G81" i="144" s="1"/>
  <c r="G12" i="182"/>
  <c r="G14" i="182" s="1"/>
  <c r="F81" i="144" s="1"/>
  <c r="F12" i="182"/>
  <c r="F14" i="182" s="1"/>
  <c r="B12" i="182"/>
  <c r="H56" i="182" s="1"/>
  <c r="L6" i="182"/>
  <c r="N5" i="182"/>
  <c r="A5" i="182" s="1"/>
  <c r="A31" i="182" s="1"/>
  <c r="L7" i="181"/>
  <c r="E7" i="181" s="1"/>
  <c r="E33" i="181" s="1"/>
  <c r="N6" i="181"/>
  <c r="D37" i="181" s="1"/>
  <c r="D38" i="181" s="1"/>
  <c r="D39" i="181" s="1"/>
  <c r="D40" i="181" s="1"/>
  <c r="D41" i="181" s="1"/>
  <c r="D42" i="181" s="1"/>
  <c r="D43" i="181" s="1"/>
  <c r="D44" i="181" s="1"/>
  <c r="D45" i="181" s="1"/>
  <c r="D46" i="181" s="1"/>
  <c r="D47" i="181" s="1"/>
  <c r="D48" i="181" s="1"/>
  <c r="D49" i="181" s="1"/>
  <c r="D50" i="181" s="1"/>
  <c r="D51" i="181" s="1"/>
  <c r="D52" i="181" s="1"/>
  <c r="D53" i="181" s="1"/>
  <c r="D54" i="181" s="1"/>
  <c r="D55" i="181" s="1"/>
  <c r="D56" i="181" s="1"/>
  <c r="D57" i="181" s="1"/>
  <c r="D58" i="181" s="1"/>
  <c r="D59" i="181" s="1"/>
  <c r="D60" i="181" s="1"/>
  <c r="N5" i="181"/>
  <c r="A5" i="181" s="1"/>
  <c r="A31" i="181" s="1"/>
  <c r="B60" i="181"/>
  <c r="B59" i="181"/>
  <c r="B58" i="181"/>
  <c r="B57" i="181"/>
  <c r="B56" i="181"/>
  <c r="B55" i="181"/>
  <c r="B54" i="181"/>
  <c r="B53" i="181"/>
  <c r="B52" i="181"/>
  <c r="B51" i="181"/>
  <c r="B50" i="181"/>
  <c r="B49" i="181"/>
  <c r="B48" i="181"/>
  <c r="B47" i="181"/>
  <c r="B46" i="181"/>
  <c r="B45" i="181"/>
  <c r="B44" i="181"/>
  <c r="B43" i="181"/>
  <c r="B42" i="181"/>
  <c r="B41" i="181"/>
  <c r="B40" i="181"/>
  <c r="B39" i="181"/>
  <c r="A39" i="181"/>
  <c r="A40" i="181" s="1"/>
  <c r="A41" i="181" s="1"/>
  <c r="A42" i="181" s="1"/>
  <c r="A43" i="181" s="1"/>
  <c r="A44" i="181" s="1"/>
  <c r="A45" i="181" s="1"/>
  <c r="A46" i="181" s="1"/>
  <c r="A47" i="181" s="1"/>
  <c r="A48" i="181" s="1"/>
  <c r="A49" i="181" s="1"/>
  <c r="A50" i="181" s="1"/>
  <c r="A51" i="181" s="1"/>
  <c r="A52" i="181" s="1"/>
  <c r="A53" i="181" s="1"/>
  <c r="A54" i="181" s="1"/>
  <c r="A55" i="181" s="1"/>
  <c r="A56" i="181" s="1"/>
  <c r="A57" i="181" s="1"/>
  <c r="A58" i="181" s="1"/>
  <c r="A59" i="181" s="1"/>
  <c r="A60" i="181" s="1"/>
  <c r="A61" i="181" s="1"/>
  <c r="A62" i="181" s="1"/>
  <c r="B38" i="181"/>
  <c r="B37" i="181"/>
  <c r="A30" i="181"/>
  <c r="P14" i="181"/>
  <c r="J12" i="181"/>
  <c r="J14" i="181" s="1"/>
  <c r="I67" i="144" s="1"/>
  <c r="I12" i="181"/>
  <c r="I14" i="181" s="1"/>
  <c r="H12" i="181"/>
  <c r="H14" i="181" s="1"/>
  <c r="G67" i="144" s="1"/>
  <c r="G12" i="181"/>
  <c r="G14" i="181" s="1"/>
  <c r="F67" i="144" s="1"/>
  <c r="F12" i="181"/>
  <c r="F14" i="181" s="1"/>
  <c r="B12" i="181"/>
  <c r="H42" i="181" s="1"/>
  <c r="L6" i="181"/>
  <c r="L7" i="174"/>
  <c r="E7" i="174" s="1"/>
  <c r="E36" i="174" s="1"/>
  <c r="N6" i="174"/>
  <c r="D40" i="174" s="1"/>
  <c r="D41" i="174" s="1"/>
  <c r="D42" i="174" s="1"/>
  <c r="D43" i="174" s="1"/>
  <c r="D44" i="174" s="1"/>
  <c r="D45" i="174" s="1"/>
  <c r="D46" i="174" s="1"/>
  <c r="D47" i="174" s="1"/>
  <c r="D48" i="174" s="1"/>
  <c r="D49" i="174" s="1"/>
  <c r="D50" i="174" s="1"/>
  <c r="D51" i="174" s="1"/>
  <c r="D52" i="174" s="1"/>
  <c r="D53" i="174" s="1"/>
  <c r="D54" i="174" s="1"/>
  <c r="D55" i="174" s="1"/>
  <c r="D56" i="174" s="1"/>
  <c r="D57" i="174" s="1"/>
  <c r="D58" i="174" s="1"/>
  <c r="D59" i="174" s="1"/>
  <c r="D60" i="174" s="1"/>
  <c r="D61" i="174" s="1"/>
  <c r="D62" i="174" s="1"/>
  <c r="D63" i="174" s="1"/>
  <c r="L6" i="174"/>
  <c r="N5" i="174"/>
  <c r="A5" i="174" s="1"/>
  <c r="A34" i="174" s="1"/>
  <c r="L7" i="180"/>
  <c r="E7" i="180" s="1"/>
  <c r="E36" i="180" s="1"/>
  <c r="N6" i="180"/>
  <c r="B63" i="180"/>
  <c r="B62" i="180"/>
  <c r="B61" i="180"/>
  <c r="B60" i="180"/>
  <c r="B59" i="180"/>
  <c r="B58" i="180"/>
  <c r="B57" i="180"/>
  <c r="B56" i="180"/>
  <c r="B55" i="180"/>
  <c r="B54" i="180"/>
  <c r="B53" i="180"/>
  <c r="B52" i="180"/>
  <c r="B51" i="180"/>
  <c r="B50" i="180"/>
  <c r="B49" i="180"/>
  <c r="B48" i="180"/>
  <c r="B47" i="180"/>
  <c r="B46" i="180"/>
  <c r="B45" i="180"/>
  <c r="B44" i="180"/>
  <c r="B43" i="180"/>
  <c r="B42" i="180"/>
  <c r="A42" i="180"/>
  <c r="A43" i="180" s="1"/>
  <c r="A44" i="180" s="1"/>
  <c r="A45" i="180" s="1"/>
  <c r="A46" i="180" s="1"/>
  <c r="A47" i="180" s="1"/>
  <c r="A48" i="180" s="1"/>
  <c r="A49" i="180" s="1"/>
  <c r="A50" i="180" s="1"/>
  <c r="A51" i="180" s="1"/>
  <c r="A52" i="180" s="1"/>
  <c r="A53" i="180" s="1"/>
  <c r="A54" i="180" s="1"/>
  <c r="A55" i="180" s="1"/>
  <c r="A56" i="180" s="1"/>
  <c r="A57" i="180" s="1"/>
  <c r="A58" i="180" s="1"/>
  <c r="A59" i="180" s="1"/>
  <c r="A60" i="180" s="1"/>
  <c r="A61" i="180" s="1"/>
  <c r="A62" i="180" s="1"/>
  <c r="A63" i="180" s="1"/>
  <c r="A64" i="180" s="1"/>
  <c r="A65" i="180" s="1"/>
  <c r="B41" i="180"/>
  <c r="B40" i="180"/>
  <c r="A33" i="180"/>
  <c r="P17" i="180"/>
  <c r="J15" i="180"/>
  <c r="H15" i="180"/>
  <c r="G15" i="180"/>
  <c r="F15" i="180"/>
  <c r="B15" i="180"/>
  <c r="J14" i="180"/>
  <c r="I14" i="180"/>
  <c r="H14" i="180"/>
  <c r="G14" i="180"/>
  <c r="F14" i="180"/>
  <c r="B14" i="180"/>
  <c r="J13" i="180"/>
  <c r="I13" i="180"/>
  <c r="H13" i="180"/>
  <c r="G13" i="180"/>
  <c r="F13" i="180"/>
  <c r="B13" i="180"/>
  <c r="J12" i="180"/>
  <c r="I12" i="180"/>
  <c r="H12" i="180"/>
  <c r="G12" i="180"/>
  <c r="F12" i="180"/>
  <c r="B12" i="180"/>
  <c r="L6" i="180"/>
  <c r="N5" i="180"/>
  <c r="A5" i="180" s="1"/>
  <c r="A34" i="180" s="1"/>
  <c r="L7" i="179"/>
  <c r="E7" i="179" s="1"/>
  <c r="E40" i="179" s="1"/>
  <c r="N6" i="179"/>
  <c r="B67" i="179"/>
  <c r="B66" i="179"/>
  <c r="B65" i="179"/>
  <c r="B64" i="179"/>
  <c r="B63" i="179"/>
  <c r="B62" i="179"/>
  <c r="B61" i="179"/>
  <c r="B60" i="179"/>
  <c r="B59" i="179"/>
  <c r="B58" i="179"/>
  <c r="B57" i="179"/>
  <c r="B56" i="179"/>
  <c r="B55" i="179"/>
  <c r="B54" i="179"/>
  <c r="B53" i="179"/>
  <c r="B52" i="179"/>
  <c r="B51" i="179"/>
  <c r="B50" i="179"/>
  <c r="B49" i="179"/>
  <c r="B48" i="179"/>
  <c r="B47" i="179"/>
  <c r="B46" i="179"/>
  <c r="A46" i="179"/>
  <c r="A47" i="179" s="1"/>
  <c r="A48" i="179" s="1"/>
  <c r="A49" i="179" s="1"/>
  <c r="A50" i="179" s="1"/>
  <c r="A51" i="179" s="1"/>
  <c r="A52" i="179" s="1"/>
  <c r="A53" i="179" s="1"/>
  <c r="A54" i="179" s="1"/>
  <c r="A55" i="179" s="1"/>
  <c r="A56" i="179" s="1"/>
  <c r="A57" i="179" s="1"/>
  <c r="A58" i="179" s="1"/>
  <c r="A59" i="179" s="1"/>
  <c r="A60" i="179" s="1"/>
  <c r="A61" i="179" s="1"/>
  <c r="A62" i="179" s="1"/>
  <c r="A63" i="179" s="1"/>
  <c r="A64" i="179" s="1"/>
  <c r="A65" i="179" s="1"/>
  <c r="A66" i="179" s="1"/>
  <c r="A67" i="179" s="1"/>
  <c r="A68" i="179" s="1"/>
  <c r="A69" i="179" s="1"/>
  <c r="B45" i="179"/>
  <c r="B44" i="179"/>
  <c r="A37" i="179"/>
  <c r="P21" i="179"/>
  <c r="J15" i="179"/>
  <c r="B15" i="179"/>
  <c r="J14" i="179"/>
  <c r="B14" i="179"/>
  <c r="J13" i="179"/>
  <c r="B13" i="179"/>
  <c r="J12" i="179"/>
  <c r="B12" i="179"/>
  <c r="L6" i="179"/>
  <c r="N5" i="179"/>
  <c r="A5" i="179" s="1"/>
  <c r="A38" i="179" s="1"/>
  <c r="L7" i="178"/>
  <c r="E7" i="178" s="1"/>
  <c r="E52" i="178" s="1"/>
  <c r="N6" i="178"/>
  <c r="B79" i="178"/>
  <c r="B78" i="178"/>
  <c r="B77" i="178"/>
  <c r="B76" i="178"/>
  <c r="B75" i="178"/>
  <c r="B74" i="178"/>
  <c r="B73" i="178"/>
  <c r="B72" i="178"/>
  <c r="B71" i="178"/>
  <c r="B70" i="178"/>
  <c r="B69" i="178"/>
  <c r="B68" i="178"/>
  <c r="B67" i="178"/>
  <c r="B66" i="178"/>
  <c r="B65" i="178"/>
  <c r="B64" i="178"/>
  <c r="B63" i="178"/>
  <c r="B62" i="178"/>
  <c r="B61" i="178"/>
  <c r="B60" i="178"/>
  <c r="B59" i="178"/>
  <c r="B58" i="178"/>
  <c r="A58" i="178"/>
  <c r="A59" i="178" s="1"/>
  <c r="A60" i="178" s="1"/>
  <c r="A61" i="178" s="1"/>
  <c r="A62" i="178" s="1"/>
  <c r="A63" i="178" s="1"/>
  <c r="A64" i="178" s="1"/>
  <c r="A65" i="178" s="1"/>
  <c r="A66" i="178" s="1"/>
  <c r="A67" i="178" s="1"/>
  <c r="A68" i="178" s="1"/>
  <c r="A69" i="178" s="1"/>
  <c r="A70" i="178" s="1"/>
  <c r="A71" i="178" s="1"/>
  <c r="A72" i="178" s="1"/>
  <c r="A73" i="178" s="1"/>
  <c r="A74" i="178" s="1"/>
  <c r="A75" i="178" s="1"/>
  <c r="A76" i="178" s="1"/>
  <c r="A77" i="178" s="1"/>
  <c r="A78" i="178" s="1"/>
  <c r="A79" i="178" s="1"/>
  <c r="A80" i="178" s="1"/>
  <c r="A81" i="178" s="1"/>
  <c r="B57" i="178"/>
  <c r="B56" i="178"/>
  <c r="A49" i="178"/>
  <c r="P33" i="178"/>
  <c r="J16" i="178"/>
  <c r="I16" i="178"/>
  <c r="H16" i="178"/>
  <c r="G16" i="178"/>
  <c r="F16" i="178"/>
  <c r="B16" i="178"/>
  <c r="J15" i="178"/>
  <c r="I15" i="178"/>
  <c r="H15" i="178"/>
  <c r="G15" i="178"/>
  <c r="F15" i="178"/>
  <c r="B15" i="178"/>
  <c r="J14" i="178"/>
  <c r="I14" i="178"/>
  <c r="H14" i="178"/>
  <c r="G14" i="178"/>
  <c r="F14" i="178"/>
  <c r="B14" i="178"/>
  <c r="J12" i="178"/>
  <c r="I12" i="178"/>
  <c r="H12" i="178"/>
  <c r="G12" i="178"/>
  <c r="F12" i="178"/>
  <c r="B12" i="178"/>
  <c r="L6" i="178"/>
  <c r="N5" i="178"/>
  <c r="A5" i="178" s="1"/>
  <c r="A50" i="178" s="1"/>
  <c r="L7" i="177"/>
  <c r="E7" i="177" s="1"/>
  <c r="E36" i="177" s="1"/>
  <c r="N6" i="177"/>
  <c r="B63" i="177"/>
  <c r="B62" i="177"/>
  <c r="B61" i="177"/>
  <c r="B60" i="177"/>
  <c r="B59" i="177"/>
  <c r="B58" i="177"/>
  <c r="B57" i="177"/>
  <c r="B56" i="177"/>
  <c r="B55" i="177"/>
  <c r="B54" i="177"/>
  <c r="B53" i="177"/>
  <c r="B52" i="177"/>
  <c r="B51" i="177"/>
  <c r="B50" i="177"/>
  <c r="B49" i="177"/>
  <c r="B48" i="177"/>
  <c r="B47" i="177"/>
  <c r="B46" i="177"/>
  <c r="B45" i="177"/>
  <c r="B44" i="177"/>
  <c r="B43" i="177"/>
  <c r="B42" i="177"/>
  <c r="A42" i="177"/>
  <c r="A43" i="177" s="1"/>
  <c r="A44" i="177" s="1"/>
  <c r="A45" i="177" s="1"/>
  <c r="A46" i="177" s="1"/>
  <c r="A47" i="177" s="1"/>
  <c r="A48" i="177" s="1"/>
  <c r="A49" i="177" s="1"/>
  <c r="A50" i="177" s="1"/>
  <c r="A51" i="177" s="1"/>
  <c r="A52" i="177" s="1"/>
  <c r="A53" i="177" s="1"/>
  <c r="A54" i="177" s="1"/>
  <c r="A55" i="177" s="1"/>
  <c r="A56" i="177" s="1"/>
  <c r="A57" i="177" s="1"/>
  <c r="A58" i="177" s="1"/>
  <c r="A59" i="177" s="1"/>
  <c r="A60" i="177" s="1"/>
  <c r="A61" i="177" s="1"/>
  <c r="A62" i="177" s="1"/>
  <c r="A63" i="177" s="1"/>
  <c r="A64" i="177" s="1"/>
  <c r="A65" i="177" s="1"/>
  <c r="B41" i="177"/>
  <c r="B40" i="177"/>
  <c r="A33" i="177"/>
  <c r="P17" i="177"/>
  <c r="J15" i="177"/>
  <c r="I15" i="177"/>
  <c r="H15" i="177"/>
  <c r="G15" i="177"/>
  <c r="F15" i="177"/>
  <c r="B15" i="177"/>
  <c r="J14" i="177"/>
  <c r="I14" i="177"/>
  <c r="H14" i="177"/>
  <c r="G14" i="177"/>
  <c r="F14" i="177"/>
  <c r="B14" i="177"/>
  <c r="J13" i="177"/>
  <c r="I13" i="177"/>
  <c r="H13" i="177"/>
  <c r="G13" i="177"/>
  <c r="F13" i="177"/>
  <c r="B13" i="177"/>
  <c r="J12" i="177"/>
  <c r="I12" i="177"/>
  <c r="H12" i="177"/>
  <c r="G12" i="177"/>
  <c r="F12" i="177"/>
  <c r="B12" i="177"/>
  <c r="L6" i="177"/>
  <c r="N5" i="177"/>
  <c r="A5" i="177" s="1"/>
  <c r="A34" i="177" s="1"/>
  <c r="L7" i="176"/>
  <c r="E7" i="176" s="1"/>
  <c r="E36" i="176" s="1"/>
  <c r="N6" i="176"/>
  <c r="B63" i="176"/>
  <c r="B62" i="176"/>
  <c r="B61" i="176"/>
  <c r="B60" i="176"/>
  <c r="B59" i="176"/>
  <c r="B58" i="176"/>
  <c r="B57" i="176"/>
  <c r="B56" i="176"/>
  <c r="B55" i="176"/>
  <c r="B54" i="176"/>
  <c r="B53" i="176"/>
  <c r="B52" i="176"/>
  <c r="B51" i="176"/>
  <c r="B50" i="176"/>
  <c r="B49" i="176"/>
  <c r="B48" i="176"/>
  <c r="B47" i="176"/>
  <c r="B46" i="176"/>
  <c r="B45" i="176"/>
  <c r="B44" i="176"/>
  <c r="B43" i="176"/>
  <c r="B42" i="176"/>
  <c r="A42" i="176"/>
  <c r="A43" i="176" s="1"/>
  <c r="A44" i="176" s="1"/>
  <c r="A45" i="176" s="1"/>
  <c r="A46" i="176" s="1"/>
  <c r="A47" i="176" s="1"/>
  <c r="A48" i="176" s="1"/>
  <c r="A49" i="176" s="1"/>
  <c r="A50" i="176" s="1"/>
  <c r="A51" i="176" s="1"/>
  <c r="A52" i="176" s="1"/>
  <c r="A53" i="176" s="1"/>
  <c r="A54" i="176" s="1"/>
  <c r="A55" i="176" s="1"/>
  <c r="A56" i="176" s="1"/>
  <c r="A57" i="176" s="1"/>
  <c r="A58" i="176" s="1"/>
  <c r="A59" i="176" s="1"/>
  <c r="A60" i="176" s="1"/>
  <c r="A61" i="176" s="1"/>
  <c r="A62" i="176" s="1"/>
  <c r="A63" i="176" s="1"/>
  <c r="A64" i="176" s="1"/>
  <c r="A65" i="176" s="1"/>
  <c r="B41" i="176"/>
  <c r="B40" i="176"/>
  <c r="A33" i="176"/>
  <c r="P17" i="176"/>
  <c r="J15" i="176"/>
  <c r="I15" i="176"/>
  <c r="H15" i="176"/>
  <c r="G15" i="176"/>
  <c r="F15" i="176"/>
  <c r="B15" i="176"/>
  <c r="J14" i="176"/>
  <c r="I14" i="176"/>
  <c r="H14" i="176"/>
  <c r="G14" i="176"/>
  <c r="F14" i="176"/>
  <c r="B14" i="176"/>
  <c r="J13" i="176"/>
  <c r="I13" i="176"/>
  <c r="H13" i="176"/>
  <c r="G13" i="176"/>
  <c r="F13" i="176"/>
  <c r="B13" i="176"/>
  <c r="J12" i="176"/>
  <c r="I12" i="176"/>
  <c r="H12" i="176"/>
  <c r="G12" i="176"/>
  <c r="F12" i="176"/>
  <c r="B12" i="176"/>
  <c r="A12" i="176" s="1"/>
  <c r="L6" i="176"/>
  <c r="N5" i="176"/>
  <c r="A5" i="176" s="1"/>
  <c r="A34" i="176" s="1"/>
  <c r="N5" i="175"/>
  <c r="A5" i="175" s="1"/>
  <c r="A34" i="175" s="1"/>
  <c r="L7" i="175"/>
  <c r="E7" i="175" s="1"/>
  <c r="E36" i="175" s="1"/>
  <c r="N6" i="175"/>
  <c r="B63" i="175"/>
  <c r="B62" i="175"/>
  <c r="B61" i="175"/>
  <c r="B60" i="175"/>
  <c r="B59" i="175"/>
  <c r="B58" i="175"/>
  <c r="B57" i="175"/>
  <c r="B56" i="175"/>
  <c r="B55" i="175"/>
  <c r="B54" i="175"/>
  <c r="B53" i="175"/>
  <c r="B52" i="175"/>
  <c r="B51" i="175"/>
  <c r="B50" i="175"/>
  <c r="B49" i="175"/>
  <c r="B48" i="175"/>
  <c r="B47" i="175"/>
  <c r="B46" i="175"/>
  <c r="B45" i="175"/>
  <c r="B44" i="175"/>
  <c r="B43" i="175"/>
  <c r="B42" i="175"/>
  <c r="A42" i="175"/>
  <c r="A43" i="175" s="1"/>
  <c r="A44" i="175" s="1"/>
  <c r="A45" i="175" s="1"/>
  <c r="A46" i="175" s="1"/>
  <c r="A47" i="175" s="1"/>
  <c r="A48" i="175" s="1"/>
  <c r="A49" i="175" s="1"/>
  <c r="A50" i="175" s="1"/>
  <c r="A51" i="175" s="1"/>
  <c r="A52" i="175" s="1"/>
  <c r="A53" i="175" s="1"/>
  <c r="A54" i="175" s="1"/>
  <c r="A55" i="175" s="1"/>
  <c r="A56" i="175" s="1"/>
  <c r="A57" i="175" s="1"/>
  <c r="A58" i="175" s="1"/>
  <c r="A59" i="175" s="1"/>
  <c r="A60" i="175" s="1"/>
  <c r="A61" i="175" s="1"/>
  <c r="A62" i="175" s="1"/>
  <c r="A63" i="175" s="1"/>
  <c r="A64" i="175" s="1"/>
  <c r="A65" i="175" s="1"/>
  <c r="B41" i="175"/>
  <c r="B40" i="175"/>
  <c r="A33" i="175"/>
  <c r="P17" i="175"/>
  <c r="J15" i="175"/>
  <c r="I15" i="175"/>
  <c r="H15" i="175"/>
  <c r="G15" i="175"/>
  <c r="F15" i="175"/>
  <c r="B15" i="175"/>
  <c r="J14" i="175"/>
  <c r="I14" i="175"/>
  <c r="H14" i="175"/>
  <c r="G14" i="175"/>
  <c r="F14" i="175"/>
  <c r="B14" i="175"/>
  <c r="J13" i="175"/>
  <c r="I13" i="175"/>
  <c r="H13" i="175"/>
  <c r="G13" i="175"/>
  <c r="F13" i="175"/>
  <c r="B13" i="175"/>
  <c r="J12" i="175"/>
  <c r="I12" i="175"/>
  <c r="H12" i="175"/>
  <c r="G12" i="175"/>
  <c r="F12" i="175"/>
  <c r="B12" i="175"/>
  <c r="L6" i="175"/>
  <c r="A6" i="175" s="1"/>
  <c r="A35" i="175" s="1"/>
  <c r="J15" i="174"/>
  <c r="I15" i="174"/>
  <c r="H15" i="174"/>
  <c r="G15" i="174"/>
  <c r="F15" i="174"/>
  <c r="B15" i="174"/>
  <c r="J14" i="174"/>
  <c r="I14" i="174"/>
  <c r="H14" i="174"/>
  <c r="G14" i="174"/>
  <c r="F14" i="174"/>
  <c r="B14" i="174"/>
  <c r="B63" i="174"/>
  <c r="B62" i="174"/>
  <c r="B61" i="174"/>
  <c r="B60" i="174"/>
  <c r="B59" i="174"/>
  <c r="B58" i="174"/>
  <c r="B57" i="174"/>
  <c r="B56" i="174"/>
  <c r="B55" i="174"/>
  <c r="B54" i="174"/>
  <c r="B53" i="174"/>
  <c r="B52" i="174"/>
  <c r="B51" i="174"/>
  <c r="B50" i="174"/>
  <c r="B49" i="174"/>
  <c r="B48" i="174"/>
  <c r="B47" i="174"/>
  <c r="B46" i="174"/>
  <c r="B45" i="174"/>
  <c r="B44" i="174"/>
  <c r="B43" i="174"/>
  <c r="B42" i="174"/>
  <c r="A42" i="174"/>
  <c r="A43" i="174" s="1"/>
  <c r="A44" i="174" s="1"/>
  <c r="A45" i="174" s="1"/>
  <c r="A46" i="174" s="1"/>
  <c r="A47" i="174" s="1"/>
  <c r="A48" i="174" s="1"/>
  <c r="A49" i="174" s="1"/>
  <c r="A50" i="174" s="1"/>
  <c r="A51" i="174" s="1"/>
  <c r="A52" i="174" s="1"/>
  <c r="A53" i="174" s="1"/>
  <c r="A54" i="174" s="1"/>
  <c r="A55" i="174" s="1"/>
  <c r="A56" i="174" s="1"/>
  <c r="A57" i="174" s="1"/>
  <c r="A58" i="174" s="1"/>
  <c r="A59" i="174" s="1"/>
  <c r="A60" i="174" s="1"/>
  <c r="A61" i="174" s="1"/>
  <c r="A62" i="174" s="1"/>
  <c r="A63" i="174" s="1"/>
  <c r="A64" i="174" s="1"/>
  <c r="A65" i="174" s="1"/>
  <c r="B41" i="174"/>
  <c r="B40" i="174"/>
  <c r="A33" i="174"/>
  <c r="P17" i="174"/>
  <c r="J13" i="174"/>
  <c r="I13" i="174"/>
  <c r="H13" i="174"/>
  <c r="G13" i="174"/>
  <c r="F13" i="174"/>
  <c r="B13" i="174"/>
  <c r="J12" i="174"/>
  <c r="I12" i="174"/>
  <c r="H12" i="174"/>
  <c r="G12" i="174"/>
  <c r="F12" i="174"/>
  <c r="B12" i="174"/>
  <c r="P15" i="173"/>
  <c r="P14" i="173"/>
  <c r="P12" i="173"/>
  <c r="P13" i="173"/>
  <c r="H51" i="175" l="1"/>
  <c r="I17" i="175"/>
  <c r="H42" i="180"/>
  <c r="I17" i="180"/>
  <c r="A7" i="204"/>
  <c r="A34" i="204" s="1"/>
  <c r="G14" i="189"/>
  <c r="H63" i="193"/>
  <c r="A13" i="194"/>
  <c r="G17" i="193"/>
  <c r="F49" i="144" s="1"/>
  <c r="H27" i="189"/>
  <c r="H51" i="192"/>
  <c r="F136" i="144"/>
  <c r="A29" i="178"/>
  <c r="A27" i="178"/>
  <c r="A31" i="178"/>
  <c r="A23" i="178"/>
  <c r="A25" i="178"/>
  <c r="A13" i="178"/>
  <c r="A24" i="178"/>
  <c r="A30" i="178"/>
  <c r="A26" i="178"/>
  <c r="A28" i="178"/>
  <c r="T31" i="178"/>
  <c r="C31" i="178" s="1"/>
  <c r="T29" i="178"/>
  <c r="C29" i="178" s="1"/>
  <c r="T27" i="178"/>
  <c r="C27" i="178" s="1"/>
  <c r="T25" i="178"/>
  <c r="C25" i="178" s="1"/>
  <c r="T23" i="178"/>
  <c r="C23" i="178" s="1"/>
  <c r="T28" i="178"/>
  <c r="C28" i="178" s="1"/>
  <c r="T26" i="178"/>
  <c r="C26" i="178" s="1"/>
  <c r="T30" i="178"/>
  <c r="C30" i="178" s="1"/>
  <c r="T24" i="178"/>
  <c r="C24" i="178" s="1"/>
  <c r="T22" i="178"/>
  <c r="C22" i="178" s="1"/>
  <c r="T13" i="178"/>
  <c r="C13" i="178" s="1"/>
  <c r="A22" i="178"/>
  <c r="A19" i="178"/>
  <c r="A18" i="178"/>
  <c r="A20" i="178"/>
  <c r="A21" i="178"/>
  <c r="A17" i="178"/>
  <c r="T20" i="178"/>
  <c r="C20" i="178" s="1"/>
  <c r="T21" i="178"/>
  <c r="C21" i="178" s="1"/>
  <c r="T16" i="178"/>
  <c r="C16" i="178" s="1"/>
  <c r="T18" i="178"/>
  <c r="C18" i="178" s="1"/>
  <c r="T19" i="178"/>
  <c r="C19" i="178" s="1"/>
  <c r="T17" i="178"/>
  <c r="C17" i="178" s="1"/>
  <c r="H24" i="189"/>
  <c r="A7" i="199"/>
  <c r="A34" i="199" s="1"/>
  <c r="A12" i="179"/>
  <c r="A17" i="179"/>
  <c r="A16" i="179"/>
  <c r="A18" i="179"/>
  <c r="A19" i="179"/>
  <c r="H31" i="189"/>
  <c r="A7" i="201"/>
  <c r="A34" i="201" s="1"/>
  <c r="I18" i="206"/>
  <c r="H60" i="206"/>
  <c r="H67" i="206" s="1"/>
  <c r="H18" i="206"/>
  <c r="H47" i="177"/>
  <c r="I17" i="177"/>
  <c r="A7" i="177" s="1"/>
  <c r="A36" i="177" s="1"/>
  <c r="A12" i="185"/>
  <c r="B13" i="189"/>
  <c r="H22" i="189"/>
  <c r="I31" i="189"/>
  <c r="I27" i="190"/>
  <c r="A12" i="193"/>
  <c r="I16" i="189"/>
  <c r="G16" i="189"/>
  <c r="B21" i="190"/>
  <c r="A12" i="184"/>
  <c r="A12" i="187"/>
  <c r="G23" i="189"/>
  <c r="H28" i="189"/>
  <c r="I13" i="190"/>
  <c r="H41" i="192"/>
  <c r="H43" i="192"/>
  <c r="H57" i="192"/>
  <c r="H17" i="195"/>
  <c r="G58" i="144" s="1"/>
  <c r="H59" i="178"/>
  <c r="I33" i="178"/>
  <c r="H167" i="144" s="1"/>
  <c r="T12" i="185"/>
  <c r="C12" i="185" s="1"/>
  <c r="H37" i="185"/>
  <c r="F172" i="145" s="1"/>
  <c r="J15" i="190"/>
  <c r="J17" i="192"/>
  <c r="I48" i="144" s="1"/>
  <c r="H49" i="192"/>
  <c r="H59" i="192"/>
  <c r="H47" i="194"/>
  <c r="A12" i="180"/>
  <c r="A14" i="180"/>
  <c r="H45" i="184"/>
  <c r="H53" i="185"/>
  <c r="H38" i="186"/>
  <c r="H40" i="186"/>
  <c r="H38" i="187"/>
  <c r="H25" i="189"/>
  <c r="G13" i="189"/>
  <c r="H58" i="193"/>
  <c r="H61" i="193"/>
  <c r="A14" i="176"/>
  <c r="F17" i="177"/>
  <c r="H62" i="179"/>
  <c r="A6" i="180"/>
  <c r="A35" i="180" s="1"/>
  <c r="G17" i="180"/>
  <c r="F169" i="144" s="1"/>
  <c r="A13" i="180"/>
  <c r="H49" i="185"/>
  <c r="H55" i="185"/>
  <c r="P31" i="190"/>
  <c r="G31" i="190" s="1"/>
  <c r="H41" i="193"/>
  <c r="H46" i="193"/>
  <c r="H63" i="180"/>
  <c r="H57" i="185"/>
  <c r="H42" i="193"/>
  <c r="H48" i="193"/>
  <c r="H54" i="193"/>
  <c r="H50" i="193"/>
  <c r="H56" i="193"/>
  <c r="B14" i="189"/>
  <c r="Q15" i="189"/>
  <c r="Q16" i="189" s="1"/>
  <c r="Q17" i="189" s="1"/>
  <c r="Q18" i="189" s="1"/>
  <c r="Q20" i="189" s="1"/>
  <c r="H57" i="176"/>
  <c r="H17" i="177"/>
  <c r="G166" i="144" s="1"/>
  <c r="H49" i="177"/>
  <c r="H60" i="177"/>
  <c r="A6" i="179"/>
  <c r="A39" i="179" s="1"/>
  <c r="H44" i="180"/>
  <c r="H43" i="184"/>
  <c r="A13" i="189"/>
  <c r="H17" i="189"/>
  <c r="I29" i="189"/>
  <c r="A6" i="192"/>
  <c r="A35" i="192" s="1"/>
  <c r="H40" i="194"/>
  <c r="F50" i="145" s="1"/>
  <c r="H45" i="194"/>
  <c r="H53" i="194"/>
  <c r="H61" i="180"/>
  <c r="H53" i="186"/>
  <c r="J13" i="189"/>
  <c r="I15" i="190"/>
  <c r="I23" i="190"/>
  <c r="F17" i="193"/>
  <c r="E49" i="144" s="1"/>
  <c r="J17" i="193"/>
  <c r="I49" i="144" s="1"/>
  <c r="A12" i="194"/>
  <c r="H17" i="194"/>
  <c r="G50" i="144" s="1"/>
  <c r="H49" i="194"/>
  <c r="H57" i="194"/>
  <c r="H48" i="194"/>
  <c r="H55" i="194"/>
  <c r="G17" i="176"/>
  <c r="F165" i="144" s="1"/>
  <c r="A13" i="176"/>
  <c r="A15" i="176"/>
  <c r="H48" i="176"/>
  <c r="H61" i="178"/>
  <c r="H57" i="180"/>
  <c r="H38" i="182"/>
  <c r="H20" i="189"/>
  <c r="I14" i="190"/>
  <c r="I24" i="190"/>
  <c r="I17" i="192"/>
  <c r="A7" i="192" s="1"/>
  <c r="A36" i="192" s="1"/>
  <c r="I17" i="193"/>
  <c r="H49" i="144" s="1"/>
  <c r="H44" i="193"/>
  <c r="H52" i="193"/>
  <c r="G17" i="194"/>
  <c r="F50" i="144" s="1"/>
  <c r="H43" i="194"/>
  <c r="H51" i="194"/>
  <c r="H59" i="194"/>
  <c r="H62" i="194"/>
  <c r="F17" i="195"/>
  <c r="J17" i="195"/>
  <c r="I58" i="144" s="1"/>
  <c r="A7" i="175"/>
  <c r="A36" i="175" s="1"/>
  <c r="H163" i="144"/>
  <c r="A15" i="179"/>
  <c r="H53" i="179"/>
  <c r="D62" i="181"/>
  <c r="D61" i="181"/>
  <c r="H26" i="189"/>
  <c r="G26" i="189"/>
  <c r="J14" i="189"/>
  <c r="H14" i="189"/>
  <c r="H46" i="176"/>
  <c r="H63" i="176"/>
  <c r="F33" i="178"/>
  <c r="H67" i="178"/>
  <c r="H50" i="180"/>
  <c r="H59" i="180"/>
  <c r="A7" i="181"/>
  <c r="A33" i="181" s="1"/>
  <c r="H67" i="144"/>
  <c r="H46" i="182"/>
  <c r="H62" i="182"/>
  <c r="H61" i="182"/>
  <c r="H60" i="182"/>
  <c r="H52" i="182"/>
  <c r="H41" i="182"/>
  <c r="H54" i="182"/>
  <c r="H43" i="182"/>
  <c r="A7" i="182"/>
  <c r="A33" i="182" s="1"/>
  <c r="H81" i="144"/>
  <c r="H47" i="182"/>
  <c r="H50" i="182"/>
  <c r="H14" i="187"/>
  <c r="G178" i="144"/>
  <c r="G18" i="189"/>
  <c r="A6" i="190"/>
  <c r="A51" i="190" s="1"/>
  <c r="G20" i="190"/>
  <c r="I20" i="190"/>
  <c r="I16" i="190"/>
  <c r="G16" i="190"/>
  <c r="D62" i="202"/>
  <c r="D63" i="202"/>
  <c r="D62" i="205"/>
  <c r="D63" i="205"/>
  <c r="H64" i="202"/>
  <c r="H64" i="203"/>
  <c r="A17" i="211"/>
  <c r="H64" i="175"/>
  <c r="H65" i="175"/>
  <c r="H63" i="175"/>
  <c r="H61" i="175"/>
  <c r="H59" i="175"/>
  <c r="H57" i="175"/>
  <c r="H55" i="175"/>
  <c r="H50" i="175"/>
  <c r="H48" i="175"/>
  <c r="H46" i="175"/>
  <c r="H44" i="175"/>
  <c r="H42" i="175"/>
  <c r="A13" i="175"/>
  <c r="A14" i="175"/>
  <c r="H56" i="175"/>
  <c r="H43" i="175"/>
  <c r="H54" i="175"/>
  <c r="H55" i="176"/>
  <c r="H40" i="177"/>
  <c r="F166" i="145" s="1"/>
  <c r="H65" i="177"/>
  <c r="H64" i="177"/>
  <c r="H41" i="177"/>
  <c r="A13" i="177"/>
  <c r="A12" i="177"/>
  <c r="H63" i="177"/>
  <c r="H61" i="177"/>
  <c r="H59" i="177"/>
  <c r="H57" i="177"/>
  <c r="H55" i="177"/>
  <c r="H50" i="177"/>
  <c r="H48" i="177"/>
  <c r="H46" i="177"/>
  <c r="H44" i="177"/>
  <c r="H42" i="177"/>
  <c r="A14" i="177"/>
  <c r="H58" i="177"/>
  <c r="H51" i="179"/>
  <c r="A15" i="175"/>
  <c r="H60" i="175"/>
  <c r="H44" i="176"/>
  <c r="H61" i="176"/>
  <c r="H56" i="177"/>
  <c r="H48" i="180"/>
  <c r="H45" i="182"/>
  <c r="H61" i="183"/>
  <c r="H62" i="183"/>
  <c r="H62" i="186"/>
  <c r="H61" i="186"/>
  <c r="H55" i="186"/>
  <c r="H42" i="186"/>
  <c r="A12" i="186"/>
  <c r="H57" i="186"/>
  <c r="H49" i="186"/>
  <c r="H44" i="186"/>
  <c r="A7" i="186"/>
  <c r="A33" i="186" s="1"/>
  <c r="H173" i="144"/>
  <c r="H48" i="186"/>
  <c r="H51" i="186"/>
  <c r="H62" i="187"/>
  <c r="H61" i="187"/>
  <c r="H53" i="187"/>
  <c r="H37" i="187"/>
  <c r="H50" i="187"/>
  <c r="H48" i="187"/>
  <c r="I14" i="187"/>
  <c r="A7" i="187" s="1"/>
  <c r="A33" i="187" s="1"/>
  <c r="H178" i="144"/>
  <c r="H49" i="187"/>
  <c r="Q14" i="190"/>
  <c r="B14" i="190" s="1"/>
  <c r="B13" i="190"/>
  <c r="A13" i="190" s="1"/>
  <c r="H65" i="192"/>
  <c r="H64" i="192"/>
  <c r="A14" i="192"/>
  <c r="H58" i="192"/>
  <c r="H56" i="192"/>
  <c r="H54" i="192"/>
  <c r="H52" i="192"/>
  <c r="H50" i="192"/>
  <c r="H48" i="192"/>
  <c r="H46" i="192"/>
  <c r="H44" i="192"/>
  <c r="H42" i="192"/>
  <c r="A12" i="192"/>
  <c r="H62" i="192"/>
  <c r="H40" i="192"/>
  <c r="A15" i="192"/>
  <c r="A13" i="192"/>
  <c r="H47" i="192"/>
  <c r="H55" i="192"/>
  <c r="H63" i="192"/>
  <c r="F17" i="194"/>
  <c r="E50" i="144" s="1"/>
  <c r="J17" i="194"/>
  <c r="I50" i="144" s="1"/>
  <c r="D80" i="197"/>
  <c r="D81" i="197"/>
  <c r="D63" i="198"/>
  <c r="D62" i="198"/>
  <c r="D62" i="199"/>
  <c r="D63" i="199"/>
  <c r="H45" i="175"/>
  <c r="H80" i="178"/>
  <c r="H81" i="178"/>
  <c r="H66" i="178"/>
  <c r="H64" i="178"/>
  <c r="H62" i="178"/>
  <c r="H60" i="178"/>
  <c r="H58" i="178"/>
  <c r="A14" i="178"/>
  <c r="A12" i="178"/>
  <c r="A15" i="178"/>
  <c r="H64" i="179"/>
  <c r="G30" i="189"/>
  <c r="H30" i="189"/>
  <c r="H41" i="175"/>
  <c r="H62" i="175"/>
  <c r="H166" i="144"/>
  <c r="H57" i="178"/>
  <c r="H62" i="181"/>
  <c r="H61" i="181"/>
  <c r="H49" i="175"/>
  <c r="J17" i="177"/>
  <c r="I166" i="144" s="1"/>
  <c r="H45" i="177"/>
  <c r="A16" i="178"/>
  <c r="H65" i="178"/>
  <c r="H69" i="179"/>
  <c r="H68" i="179"/>
  <c r="H67" i="179"/>
  <c r="H65" i="179"/>
  <c r="H63" i="179"/>
  <c r="H61" i="179"/>
  <c r="H59" i="179"/>
  <c r="H54" i="179"/>
  <c r="H52" i="179"/>
  <c r="H50" i="179"/>
  <c r="H48" i="179"/>
  <c r="H46" i="179"/>
  <c r="A13" i="179"/>
  <c r="A14" i="179"/>
  <c r="I21" i="179"/>
  <c r="H49" i="179"/>
  <c r="H60" i="179"/>
  <c r="A12" i="175"/>
  <c r="H47" i="175"/>
  <c r="H58" i="175"/>
  <c r="H42" i="176"/>
  <c r="H50" i="176"/>
  <c r="H59" i="176"/>
  <c r="A15" i="177"/>
  <c r="H43" i="177"/>
  <c r="H51" i="177"/>
  <c r="H54" i="177"/>
  <c r="H62" i="177"/>
  <c r="H63" i="178"/>
  <c r="H45" i="179"/>
  <c r="H47" i="179"/>
  <c r="H55" i="179"/>
  <c r="H58" i="179"/>
  <c r="H66" i="179"/>
  <c r="H17" i="180"/>
  <c r="G169" i="144" s="1"/>
  <c r="H46" i="180"/>
  <c r="H55" i="180"/>
  <c r="H39" i="182"/>
  <c r="H58" i="182"/>
  <c r="H46" i="186"/>
  <c r="H39" i="187"/>
  <c r="F14" i="189"/>
  <c r="H19" i="189"/>
  <c r="G19" i="189"/>
  <c r="J15" i="189"/>
  <c r="I15" i="189"/>
  <c r="H15" i="189"/>
  <c r="I28" i="190"/>
  <c r="H45" i="192"/>
  <c r="H53" i="192"/>
  <c r="H61" i="192"/>
  <c r="H17" i="193"/>
  <c r="G49" i="144" s="1"/>
  <c r="A15" i="194"/>
  <c r="H64" i="176"/>
  <c r="H65" i="176"/>
  <c r="H53" i="176"/>
  <c r="H41" i="176"/>
  <c r="A6" i="176"/>
  <c r="A35" i="176" s="1"/>
  <c r="G17" i="177"/>
  <c r="F166" i="144" s="1"/>
  <c r="H52" i="177"/>
  <c r="H33" i="178"/>
  <c r="G167" i="144" s="1"/>
  <c r="H65" i="180"/>
  <c r="H64" i="180"/>
  <c r="H41" i="180"/>
  <c r="D64" i="174"/>
  <c r="D65" i="174"/>
  <c r="H46" i="185"/>
  <c r="H62" i="185"/>
  <c r="H61" i="185"/>
  <c r="A7" i="185"/>
  <c r="A33" i="185" s="1"/>
  <c r="H172" i="144"/>
  <c r="H60" i="185"/>
  <c r="J14" i="187"/>
  <c r="I178" i="144"/>
  <c r="H62" i="191"/>
  <c r="H63" i="191"/>
  <c r="D62" i="191"/>
  <c r="D63" i="191"/>
  <c r="H65" i="193"/>
  <c r="H64" i="193"/>
  <c r="A15" i="193"/>
  <c r="A14" i="193"/>
  <c r="H43" i="193"/>
  <c r="H45" i="193"/>
  <c r="H47" i="193"/>
  <c r="H49" i="193"/>
  <c r="H51" i="193"/>
  <c r="H53" i="193"/>
  <c r="H55" i="193"/>
  <c r="H57" i="193"/>
  <c r="H59" i="193"/>
  <c r="H42" i="194"/>
  <c r="H44" i="194"/>
  <c r="H46" i="194"/>
  <c r="H50" i="194"/>
  <c r="H52" i="194"/>
  <c r="H54" i="194"/>
  <c r="H56" i="194"/>
  <c r="H58" i="194"/>
  <c r="A13" i="191"/>
  <c r="H64" i="199"/>
  <c r="D62" i="203"/>
  <c r="D63" i="203"/>
  <c r="H64" i="198"/>
  <c r="H64" i="201"/>
  <c r="H61" i="195"/>
  <c r="A15" i="195"/>
  <c r="I17" i="195"/>
  <c r="A7" i="195" s="1"/>
  <c r="A36" i="195" s="1"/>
  <c r="D62" i="201"/>
  <c r="D63" i="201"/>
  <c r="H64" i="205"/>
  <c r="B18" i="211"/>
  <c r="Q19" i="211"/>
  <c r="A13" i="174"/>
  <c r="H64" i="174"/>
  <c r="H65" i="174"/>
  <c r="I17" i="174"/>
  <c r="H60" i="174"/>
  <c r="G17" i="175"/>
  <c r="F163" i="144" s="1"/>
  <c r="H43" i="176"/>
  <c r="H45" i="176"/>
  <c r="H47" i="176"/>
  <c r="H49" i="176"/>
  <c r="H51" i="176"/>
  <c r="H54" i="176"/>
  <c r="H56" i="176"/>
  <c r="H58" i="176"/>
  <c r="H60" i="176"/>
  <c r="H62" i="176"/>
  <c r="A6" i="177"/>
  <c r="A35" i="177" s="1"/>
  <c r="H68" i="178"/>
  <c r="G21" i="179"/>
  <c r="F161" i="144" s="1"/>
  <c r="F17" i="180"/>
  <c r="J17" i="180"/>
  <c r="I169" i="144" s="1"/>
  <c r="A15" i="180"/>
  <c r="H43" i="180"/>
  <c r="H45" i="180"/>
  <c r="H47" i="180"/>
  <c r="H49" i="180"/>
  <c r="H51" i="180"/>
  <c r="H54" i="180"/>
  <c r="H56" i="180"/>
  <c r="H58" i="180"/>
  <c r="H60" i="180"/>
  <c r="H62" i="180"/>
  <c r="H62" i="184"/>
  <c r="H61" i="184"/>
  <c r="A7" i="184"/>
  <c r="A33" i="184" s="1"/>
  <c r="H39" i="184"/>
  <c r="H38" i="185"/>
  <c r="H48" i="185"/>
  <c r="H50" i="185"/>
  <c r="H52" i="185"/>
  <c r="H54" i="185"/>
  <c r="H56" i="185"/>
  <c r="H58" i="185"/>
  <c r="D61" i="185"/>
  <c r="D62" i="185"/>
  <c r="G14" i="187"/>
  <c r="F178" i="144"/>
  <c r="A6" i="187"/>
  <c r="A32" i="187" s="1"/>
  <c r="H17" i="192"/>
  <c r="G48" i="144" s="1"/>
  <c r="H40" i="193"/>
  <c r="F49" i="145" s="1"/>
  <c r="H62" i="193"/>
  <c r="H64" i="194"/>
  <c r="H65" i="194"/>
  <c r="A14" i="194"/>
  <c r="I17" i="194"/>
  <c r="H41" i="194"/>
  <c r="H61" i="194"/>
  <c r="H63" i="194"/>
  <c r="H40" i="195"/>
  <c r="F58" i="145" s="1"/>
  <c r="H62" i="195"/>
  <c r="A13" i="193"/>
  <c r="D62" i="196"/>
  <c r="D63" i="196"/>
  <c r="D63" i="204"/>
  <c r="D62" i="204"/>
  <c r="D65" i="206"/>
  <c r="D66" i="206"/>
  <c r="A7" i="202"/>
  <c r="A34" i="202" s="1"/>
  <c r="H125" i="144"/>
  <c r="H64" i="204"/>
  <c r="A7" i="198"/>
  <c r="A34" i="198" s="1"/>
  <c r="H137" i="144"/>
  <c r="H58" i="144"/>
  <c r="H52" i="180"/>
  <c r="A7" i="183"/>
  <c r="A33" i="183" s="1"/>
  <c r="H177" i="144"/>
  <c r="D37" i="186"/>
  <c r="D38" i="186" s="1"/>
  <c r="D39" i="186" s="1"/>
  <c r="D40" i="186" s="1"/>
  <c r="D41" i="186" s="1"/>
  <c r="D42" i="186" s="1"/>
  <c r="D43" i="186" s="1"/>
  <c r="D44" i="186" s="1"/>
  <c r="D45" i="186" s="1"/>
  <c r="D46" i="186" s="1"/>
  <c r="D47" i="186" s="1"/>
  <c r="D48" i="186" s="1"/>
  <c r="D49" i="186" s="1"/>
  <c r="D50" i="186" s="1"/>
  <c r="D51" i="186" s="1"/>
  <c r="D52" i="186" s="1"/>
  <c r="D53" i="186" s="1"/>
  <c r="D54" i="186" s="1"/>
  <c r="D55" i="186" s="1"/>
  <c r="D56" i="186" s="1"/>
  <c r="D57" i="186" s="1"/>
  <c r="D58" i="186" s="1"/>
  <c r="D59" i="186" s="1"/>
  <c r="D60" i="186" s="1"/>
  <c r="A6" i="186"/>
  <c r="A32" i="186" s="1"/>
  <c r="A6" i="185"/>
  <c r="A32" i="185" s="1"/>
  <c r="T15" i="174"/>
  <c r="C15" i="174" s="1"/>
  <c r="F138" i="145"/>
  <c r="T13" i="191"/>
  <c r="C13" i="191" s="1"/>
  <c r="T12" i="192"/>
  <c r="Q56" i="211"/>
  <c r="B55" i="211"/>
  <c r="B84" i="210"/>
  <c r="Q21" i="210"/>
  <c r="B20" i="210"/>
  <c r="A19" i="210"/>
  <c r="F37" i="145"/>
  <c r="A6" i="195"/>
  <c r="A35" i="195" s="1"/>
  <c r="T14" i="195"/>
  <c r="C14" i="195" s="1"/>
  <c r="T15" i="195"/>
  <c r="C15" i="195" s="1"/>
  <c r="T13" i="195"/>
  <c r="C13" i="195" s="1"/>
  <c r="A6" i="194"/>
  <c r="A35" i="194" s="1"/>
  <c r="T14" i="194"/>
  <c r="C14" i="194" s="1"/>
  <c r="T15" i="194"/>
  <c r="C15" i="194" s="1"/>
  <c r="A6" i="193"/>
  <c r="A35" i="193" s="1"/>
  <c r="T14" i="193"/>
  <c r="C14" i="193" s="1"/>
  <c r="T15" i="193"/>
  <c r="C15" i="193" s="1"/>
  <c r="T13" i="193"/>
  <c r="T13" i="192"/>
  <c r="T14" i="192"/>
  <c r="C14" i="192" s="1"/>
  <c r="T15" i="192"/>
  <c r="C15" i="192" s="1"/>
  <c r="D40" i="192"/>
  <c r="D41" i="192" s="1"/>
  <c r="D42" i="192" s="1"/>
  <c r="D43" i="192" s="1"/>
  <c r="D44" i="192" s="1"/>
  <c r="D45" i="192" s="1"/>
  <c r="D46" i="192" s="1"/>
  <c r="D47" i="192" s="1"/>
  <c r="D48" i="192" s="1"/>
  <c r="D49" i="192" s="1"/>
  <c r="D50" i="192" s="1"/>
  <c r="D51" i="192" s="1"/>
  <c r="D52" i="192" s="1"/>
  <c r="D53" i="192" s="1"/>
  <c r="D54" i="192" s="1"/>
  <c r="D55" i="192" s="1"/>
  <c r="D56" i="192" s="1"/>
  <c r="D57" i="192" s="1"/>
  <c r="D58" i="192" s="1"/>
  <c r="D59" i="192" s="1"/>
  <c r="D60" i="192" s="1"/>
  <c r="D61" i="192" s="1"/>
  <c r="D62" i="192" s="1"/>
  <c r="D63" i="192" s="1"/>
  <c r="J15" i="200"/>
  <c r="I123" i="144" s="1"/>
  <c r="G15" i="200"/>
  <c r="F123" i="144" s="1"/>
  <c r="I15" i="200"/>
  <c r="H15" i="200"/>
  <c r="G123" i="144" s="1"/>
  <c r="G17" i="192"/>
  <c r="F48" i="144" s="1"/>
  <c r="T12" i="195"/>
  <c r="C12" i="195" s="1"/>
  <c r="D40" i="195"/>
  <c r="D41" i="195" s="1"/>
  <c r="D42" i="195" s="1"/>
  <c r="D43" i="195" s="1"/>
  <c r="D44" i="195" s="1"/>
  <c r="D45" i="195" s="1"/>
  <c r="D46" i="195" s="1"/>
  <c r="D47" i="195" s="1"/>
  <c r="D48" i="195" s="1"/>
  <c r="D49" i="195" s="1"/>
  <c r="D50" i="195" s="1"/>
  <c r="D51" i="195" s="1"/>
  <c r="D52" i="195" s="1"/>
  <c r="D53" i="195" s="1"/>
  <c r="D54" i="195" s="1"/>
  <c r="D55" i="195" s="1"/>
  <c r="D56" i="195" s="1"/>
  <c r="D57" i="195" s="1"/>
  <c r="D58" i="195" s="1"/>
  <c r="D59" i="195" s="1"/>
  <c r="D60" i="195" s="1"/>
  <c r="D61" i="195" s="1"/>
  <c r="D62" i="195" s="1"/>
  <c r="D63" i="195" s="1"/>
  <c r="T12" i="194"/>
  <c r="C12" i="194" s="1"/>
  <c r="D40" i="194"/>
  <c r="D41" i="194" s="1"/>
  <c r="D42" i="194" s="1"/>
  <c r="D43" i="194" s="1"/>
  <c r="D44" i="194" s="1"/>
  <c r="D45" i="194" s="1"/>
  <c r="D46" i="194" s="1"/>
  <c r="D47" i="194" s="1"/>
  <c r="D48" i="194" s="1"/>
  <c r="D49" i="194" s="1"/>
  <c r="D50" i="194" s="1"/>
  <c r="D51" i="194" s="1"/>
  <c r="D52" i="194" s="1"/>
  <c r="D53" i="194" s="1"/>
  <c r="D54" i="194" s="1"/>
  <c r="D55" i="194" s="1"/>
  <c r="D56" i="194" s="1"/>
  <c r="D57" i="194" s="1"/>
  <c r="D58" i="194" s="1"/>
  <c r="D59" i="194" s="1"/>
  <c r="D60" i="194" s="1"/>
  <c r="D61" i="194" s="1"/>
  <c r="D62" i="194" s="1"/>
  <c r="D63" i="194" s="1"/>
  <c r="H60" i="194"/>
  <c r="T12" i="193"/>
  <c r="D40" i="193"/>
  <c r="D41" i="193" s="1"/>
  <c r="D42" i="193" s="1"/>
  <c r="D43" i="193" s="1"/>
  <c r="D44" i="193" s="1"/>
  <c r="D45" i="193" s="1"/>
  <c r="D46" i="193" s="1"/>
  <c r="D47" i="193" s="1"/>
  <c r="D48" i="193" s="1"/>
  <c r="D49" i="193" s="1"/>
  <c r="D50" i="193" s="1"/>
  <c r="D51" i="193" s="1"/>
  <c r="D52" i="193" s="1"/>
  <c r="D53" i="193" s="1"/>
  <c r="D54" i="193" s="1"/>
  <c r="D55" i="193" s="1"/>
  <c r="D56" i="193" s="1"/>
  <c r="D57" i="193" s="1"/>
  <c r="D58" i="193" s="1"/>
  <c r="D59" i="193" s="1"/>
  <c r="D60" i="193" s="1"/>
  <c r="D61" i="193" s="1"/>
  <c r="D62" i="193" s="1"/>
  <c r="D63" i="193" s="1"/>
  <c r="H60" i="193"/>
  <c r="H60" i="192"/>
  <c r="A6" i="191"/>
  <c r="A33" i="191" s="1"/>
  <c r="A12" i="191"/>
  <c r="P15" i="191"/>
  <c r="T12" i="191"/>
  <c r="C12" i="191" s="1"/>
  <c r="G18" i="190"/>
  <c r="I17" i="190"/>
  <c r="I21" i="190"/>
  <c r="I22" i="190"/>
  <c r="G25" i="190"/>
  <c r="I26" i="190"/>
  <c r="G29" i="190"/>
  <c r="I30" i="190"/>
  <c r="G12" i="190"/>
  <c r="H12" i="190"/>
  <c r="F12" i="190"/>
  <c r="I12" i="190"/>
  <c r="D56" i="190"/>
  <c r="D57" i="190" s="1"/>
  <c r="D58" i="190" s="1"/>
  <c r="D59" i="190" s="1"/>
  <c r="D60" i="190" s="1"/>
  <c r="D61" i="190" s="1"/>
  <c r="D62" i="190" s="1"/>
  <c r="D63" i="190" s="1"/>
  <c r="D64" i="190" s="1"/>
  <c r="D65" i="190" s="1"/>
  <c r="D66" i="190" s="1"/>
  <c r="D67" i="190" s="1"/>
  <c r="D68" i="190" s="1"/>
  <c r="D69" i="190" s="1"/>
  <c r="D70" i="190" s="1"/>
  <c r="D71" i="190" s="1"/>
  <c r="D72" i="190" s="1"/>
  <c r="D73" i="190" s="1"/>
  <c r="D74" i="190" s="1"/>
  <c r="D75" i="190" s="1"/>
  <c r="D76" i="190" s="1"/>
  <c r="D77" i="190" s="1"/>
  <c r="D78" i="190" s="1"/>
  <c r="D79" i="190" s="1"/>
  <c r="Q23" i="190"/>
  <c r="B22" i="190"/>
  <c r="A12" i="190"/>
  <c r="H13" i="190"/>
  <c r="H14" i="190"/>
  <c r="H15" i="190"/>
  <c r="H16" i="190"/>
  <c r="H17" i="190"/>
  <c r="H18" i="190"/>
  <c r="H19" i="190"/>
  <c r="H20" i="190"/>
  <c r="H21" i="190"/>
  <c r="H22" i="190"/>
  <c r="H23" i="190"/>
  <c r="H24" i="190"/>
  <c r="H25" i="190"/>
  <c r="H26" i="190"/>
  <c r="H27" i="190"/>
  <c r="H28" i="190"/>
  <c r="H29" i="190"/>
  <c r="H30" i="190"/>
  <c r="P33" i="190"/>
  <c r="G19" i="190"/>
  <c r="T12" i="190"/>
  <c r="C12" i="190" s="1"/>
  <c r="F13" i="190"/>
  <c r="J13" i="190"/>
  <c r="T13" i="190"/>
  <c r="C13" i="190" s="1"/>
  <c r="F14" i="190"/>
  <c r="J14" i="190"/>
  <c r="T14" i="190"/>
  <c r="C14" i="190" s="1"/>
  <c r="F15" i="190"/>
  <c r="T15" i="190"/>
  <c r="C15" i="190" s="1"/>
  <c r="F16" i="190"/>
  <c r="J16" i="190"/>
  <c r="T16" i="190"/>
  <c r="C16" i="190" s="1"/>
  <c r="F17" i="190"/>
  <c r="J17" i="190"/>
  <c r="T17" i="190"/>
  <c r="C17" i="190" s="1"/>
  <c r="F18" i="190"/>
  <c r="J18" i="190"/>
  <c r="T18" i="190"/>
  <c r="C18" i="190" s="1"/>
  <c r="F19" i="190"/>
  <c r="J19" i="190"/>
  <c r="T19" i="190"/>
  <c r="C19" i="190" s="1"/>
  <c r="F20" i="190"/>
  <c r="J20" i="190"/>
  <c r="T20" i="190"/>
  <c r="C20" i="190" s="1"/>
  <c r="F21" i="190"/>
  <c r="J21" i="190"/>
  <c r="T21" i="190"/>
  <c r="C21" i="190" s="1"/>
  <c r="F22" i="190"/>
  <c r="J22" i="190"/>
  <c r="T22" i="190"/>
  <c r="C22" i="190" s="1"/>
  <c r="F23" i="190"/>
  <c r="J23" i="190"/>
  <c r="T23" i="190"/>
  <c r="C23" i="190" s="1"/>
  <c r="F24" i="190"/>
  <c r="J24" i="190"/>
  <c r="T24" i="190"/>
  <c r="C24" i="190" s="1"/>
  <c r="F25" i="190"/>
  <c r="J25" i="190"/>
  <c r="T25" i="190"/>
  <c r="C25" i="190" s="1"/>
  <c r="F26" i="190"/>
  <c r="J26" i="190"/>
  <c r="T26" i="190"/>
  <c r="C26" i="190" s="1"/>
  <c r="F27" i="190"/>
  <c r="J27" i="190"/>
  <c r="T27" i="190"/>
  <c r="C27" i="190" s="1"/>
  <c r="F28" i="190"/>
  <c r="J28" i="190"/>
  <c r="T28" i="190"/>
  <c r="C28" i="190" s="1"/>
  <c r="F29" i="190"/>
  <c r="J29" i="190"/>
  <c r="T29" i="190"/>
  <c r="C29" i="190" s="1"/>
  <c r="F30" i="190"/>
  <c r="J30" i="190"/>
  <c r="T30" i="190"/>
  <c r="C30" i="190" s="1"/>
  <c r="I13" i="189"/>
  <c r="I17" i="189"/>
  <c r="G29" i="189"/>
  <c r="H13" i="189"/>
  <c r="H21" i="189"/>
  <c r="F29" i="189"/>
  <c r="J29" i="189"/>
  <c r="J12" i="189"/>
  <c r="P33" i="189"/>
  <c r="I12" i="189"/>
  <c r="G12" i="189"/>
  <c r="H12" i="189"/>
  <c r="A6" i="189"/>
  <c r="A51" i="189" s="1"/>
  <c r="F30" i="189"/>
  <c r="J30" i="189"/>
  <c r="T30" i="189"/>
  <c r="C30" i="189" s="1"/>
  <c r="F31" i="189"/>
  <c r="J31" i="189"/>
  <c r="T31" i="189"/>
  <c r="C31" i="189" s="1"/>
  <c r="I30" i="189"/>
  <c r="F22" i="189"/>
  <c r="J22" i="189"/>
  <c r="T22" i="189"/>
  <c r="C22" i="189" s="1"/>
  <c r="F23" i="189"/>
  <c r="J23" i="189"/>
  <c r="T23" i="189"/>
  <c r="C23" i="189" s="1"/>
  <c r="F24" i="189"/>
  <c r="J24" i="189"/>
  <c r="T24" i="189"/>
  <c r="C24" i="189" s="1"/>
  <c r="F25" i="189"/>
  <c r="J25" i="189"/>
  <c r="T25" i="189"/>
  <c r="C25" i="189" s="1"/>
  <c r="F26" i="189"/>
  <c r="J26" i="189"/>
  <c r="T26" i="189"/>
  <c r="C26" i="189" s="1"/>
  <c r="F27" i="189"/>
  <c r="J27" i="189"/>
  <c r="T27" i="189"/>
  <c r="C27" i="189" s="1"/>
  <c r="F28" i="189"/>
  <c r="J28" i="189"/>
  <c r="T28" i="189"/>
  <c r="C28" i="189" s="1"/>
  <c r="T29" i="189"/>
  <c r="C29" i="189" s="1"/>
  <c r="I22" i="189"/>
  <c r="I23" i="189"/>
  <c r="I24" i="189"/>
  <c r="I25" i="189"/>
  <c r="I26" i="189"/>
  <c r="I27" i="189"/>
  <c r="I28" i="189"/>
  <c r="F16" i="189"/>
  <c r="J16" i="189"/>
  <c r="T16" i="189"/>
  <c r="C16" i="189" s="1"/>
  <c r="F17" i="189"/>
  <c r="J17" i="189"/>
  <c r="T17" i="189"/>
  <c r="C17" i="189" s="1"/>
  <c r="F18" i="189"/>
  <c r="J18" i="189"/>
  <c r="T18" i="189"/>
  <c r="C18" i="189" s="1"/>
  <c r="F19" i="189"/>
  <c r="J19" i="189"/>
  <c r="T19" i="189"/>
  <c r="C19" i="189" s="1"/>
  <c r="F20" i="189"/>
  <c r="J20" i="189"/>
  <c r="T20" i="189"/>
  <c r="C20" i="189" s="1"/>
  <c r="F21" i="189"/>
  <c r="J21" i="189"/>
  <c r="I18" i="189"/>
  <c r="I19" i="189"/>
  <c r="I20" i="189"/>
  <c r="I21" i="189"/>
  <c r="A14" i="189"/>
  <c r="T12" i="189"/>
  <c r="C12" i="189" s="1"/>
  <c r="T14" i="189"/>
  <c r="C14" i="189" s="1"/>
  <c r="D56" i="189"/>
  <c r="D57" i="189" s="1"/>
  <c r="D58" i="189" s="1"/>
  <c r="D59" i="189" s="1"/>
  <c r="D60" i="189" s="1"/>
  <c r="D61" i="189" s="1"/>
  <c r="D62" i="189" s="1"/>
  <c r="D63" i="189" s="1"/>
  <c r="D64" i="189" s="1"/>
  <c r="D65" i="189" s="1"/>
  <c r="D66" i="189" s="1"/>
  <c r="D67" i="189" s="1"/>
  <c r="D68" i="189" s="1"/>
  <c r="D69" i="189" s="1"/>
  <c r="D70" i="189" s="1"/>
  <c r="D71" i="189" s="1"/>
  <c r="D72" i="189" s="1"/>
  <c r="D73" i="189" s="1"/>
  <c r="D74" i="189" s="1"/>
  <c r="D75" i="189" s="1"/>
  <c r="D76" i="189" s="1"/>
  <c r="D77" i="189" s="1"/>
  <c r="D78" i="189" s="1"/>
  <c r="D79" i="189" s="1"/>
  <c r="T13" i="189"/>
  <c r="C13" i="189" s="1"/>
  <c r="T15" i="189"/>
  <c r="C15" i="189" s="1"/>
  <c r="T12" i="187"/>
  <c r="C12" i="187" s="1"/>
  <c r="D37" i="187"/>
  <c r="D38" i="187" s="1"/>
  <c r="D39" i="187" s="1"/>
  <c r="D40" i="187" s="1"/>
  <c r="D41" i="187" s="1"/>
  <c r="D42" i="187" s="1"/>
  <c r="D43" i="187" s="1"/>
  <c r="D44" i="187" s="1"/>
  <c r="D45" i="187" s="1"/>
  <c r="D46" i="187" s="1"/>
  <c r="D47" i="187" s="1"/>
  <c r="D48" i="187" s="1"/>
  <c r="D49" i="187" s="1"/>
  <c r="D50" i="187" s="1"/>
  <c r="D51" i="187" s="1"/>
  <c r="D52" i="187" s="1"/>
  <c r="D53" i="187" s="1"/>
  <c r="D54" i="187" s="1"/>
  <c r="D55" i="187" s="1"/>
  <c r="D56" i="187" s="1"/>
  <c r="D57" i="187" s="1"/>
  <c r="D58" i="187" s="1"/>
  <c r="D59" i="187" s="1"/>
  <c r="D60" i="187" s="1"/>
  <c r="H40" i="187"/>
  <c r="H42" i="187"/>
  <c r="H44" i="187"/>
  <c r="H46" i="187"/>
  <c r="H52" i="187"/>
  <c r="H54" i="187"/>
  <c r="H56" i="187"/>
  <c r="H58" i="187"/>
  <c r="H60" i="187"/>
  <c r="H41" i="187"/>
  <c r="H43" i="187"/>
  <c r="H45" i="187"/>
  <c r="H55" i="187"/>
  <c r="H57" i="187"/>
  <c r="H59" i="187"/>
  <c r="H47" i="187"/>
  <c r="H39" i="185"/>
  <c r="H41" i="185"/>
  <c r="H43" i="185"/>
  <c r="H45" i="185"/>
  <c r="H59" i="185"/>
  <c r="H40" i="185"/>
  <c r="H42" i="185"/>
  <c r="H44" i="185"/>
  <c r="H50" i="186"/>
  <c r="H52" i="186"/>
  <c r="H54" i="186"/>
  <c r="H56" i="186"/>
  <c r="H58" i="186"/>
  <c r="H39" i="186"/>
  <c r="H41" i="186"/>
  <c r="H43" i="186"/>
  <c r="H45" i="186"/>
  <c r="H37" i="186"/>
  <c r="F173" i="145" s="1"/>
  <c r="F174" i="145" s="1"/>
  <c r="H47" i="186"/>
  <c r="H60" i="186"/>
  <c r="H47" i="185"/>
  <c r="H37" i="184"/>
  <c r="F175" i="145" s="1"/>
  <c r="H49" i="184"/>
  <c r="H51" i="184"/>
  <c r="H53" i="184"/>
  <c r="H55" i="184"/>
  <c r="H57" i="184"/>
  <c r="H59" i="184"/>
  <c r="H40" i="184"/>
  <c r="H42" i="184"/>
  <c r="H44" i="184"/>
  <c r="H46" i="184"/>
  <c r="H38" i="184"/>
  <c r="H48" i="184"/>
  <c r="H50" i="184"/>
  <c r="H52" i="184"/>
  <c r="H54" i="184"/>
  <c r="H56" i="184"/>
  <c r="H58" i="184"/>
  <c r="D37" i="184"/>
  <c r="D38" i="184" s="1"/>
  <c r="D39" i="184" s="1"/>
  <c r="D40" i="184" s="1"/>
  <c r="D41" i="184" s="1"/>
  <c r="D42" i="184" s="1"/>
  <c r="D43" i="184" s="1"/>
  <c r="D44" i="184" s="1"/>
  <c r="D45" i="184" s="1"/>
  <c r="D46" i="184" s="1"/>
  <c r="D47" i="184" s="1"/>
  <c r="D48" i="184" s="1"/>
  <c r="D49" i="184" s="1"/>
  <c r="D50" i="184" s="1"/>
  <c r="D51" i="184" s="1"/>
  <c r="D52" i="184" s="1"/>
  <c r="D53" i="184" s="1"/>
  <c r="D54" i="184" s="1"/>
  <c r="D55" i="184" s="1"/>
  <c r="D56" i="184" s="1"/>
  <c r="D57" i="184" s="1"/>
  <c r="D58" i="184" s="1"/>
  <c r="D59" i="184" s="1"/>
  <c r="D60" i="184" s="1"/>
  <c r="A6" i="184"/>
  <c r="A32" i="184" s="1"/>
  <c r="H47" i="184"/>
  <c r="H60" i="184"/>
  <c r="A12" i="183"/>
  <c r="H58" i="183"/>
  <c r="A6" i="183"/>
  <c r="A32" i="183" s="1"/>
  <c r="T12" i="183"/>
  <c r="C12" i="183" s="1"/>
  <c r="H37" i="183"/>
  <c r="D37" i="183"/>
  <c r="D38" i="183" s="1"/>
  <c r="D39" i="183" s="1"/>
  <c r="D40" i="183" s="1"/>
  <c r="D41" i="183" s="1"/>
  <c r="D42" i="183" s="1"/>
  <c r="D43" i="183" s="1"/>
  <c r="D44" i="183" s="1"/>
  <c r="D45" i="183" s="1"/>
  <c r="D46" i="183" s="1"/>
  <c r="D47" i="183" s="1"/>
  <c r="D48" i="183" s="1"/>
  <c r="D49" i="183" s="1"/>
  <c r="D50" i="183" s="1"/>
  <c r="D51" i="183" s="1"/>
  <c r="D52" i="183" s="1"/>
  <c r="D53" i="183" s="1"/>
  <c r="D54" i="183" s="1"/>
  <c r="D55" i="183" s="1"/>
  <c r="D56" i="183" s="1"/>
  <c r="D57" i="183" s="1"/>
  <c r="D58" i="183" s="1"/>
  <c r="D59" i="183" s="1"/>
  <c r="D60" i="183" s="1"/>
  <c r="H38" i="183"/>
  <c r="H39" i="183"/>
  <c r="H40" i="183"/>
  <c r="H41" i="183"/>
  <c r="H42" i="183"/>
  <c r="H43" i="183"/>
  <c r="H44" i="183"/>
  <c r="H45" i="183"/>
  <c r="H46" i="183"/>
  <c r="H47" i="183"/>
  <c r="H48" i="183"/>
  <c r="H49" i="183"/>
  <c r="H50" i="183"/>
  <c r="H51" i="183"/>
  <c r="H52" i="183"/>
  <c r="H53" i="183"/>
  <c r="H54" i="183"/>
  <c r="H55" i="183"/>
  <c r="H56" i="183"/>
  <c r="H57" i="183"/>
  <c r="H59" i="183"/>
  <c r="H60" i="183"/>
  <c r="H37" i="182"/>
  <c r="H49" i="182"/>
  <c r="H51" i="182"/>
  <c r="H53" i="182"/>
  <c r="H55" i="182"/>
  <c r="H57" i="182"/>
  <c r="H59" i="182"/>
  <c r="A12" i="182"/>
  <c r="H40" i="182"/>
  <c r="H42" i="182"/>
  <c r="H44" i="182"/>
  <c r="A6" i="182"/>
  <c r="A32" i="182" s="1"/>
  <c r="D37" i="182"/>
  <c r="D38" i="182" s="1"/>
  <c r="D39" i="182" s="1"/>
  <c r="D40" i="182" s="1"/>
  <c r="D41" i="182" s="1"/>
  <c r="D42" i="182" s="1"/>
  <c r="D43" i="182" s="1"/>
  <c r="D44" i="182" s="1"/>
  <c r="D45" i="182" s="1"/>
  <c r="D46" i="182" s="1"/>
  <c r="D47" i="182" s="1"/>
  <c r="D48" i="182" s="1"/>
  <c r="D49" i="182" s="1"/>
  <c r="D50" i="182" s="1"/>
  <c r="D51" i="182" s="1"/>
  <c r="D52" i="182" s="1"/>
  <c r="D53" i="182" s="1"/>
  <c r="D54" i="182" s="1"/>
  <c r="D55" i="182" s="1"/>
  <c r="D56" i="182" s="1"/>
  <c r="D57" i="182" s="1"/>
  <c r="D58" i="182" s="1"/>
  <c r="D59" i="182" s="1"/>
  <c r="D60" i="182" s="1"/>
  <c r="H48" i="182"/>
  <c r="H40" i="181"/>
  <c r="H44" i="181"/>
  <c r="H48" i="181"/>
  <c r="H50" i="181"/>
  <c r="H52" i="181"/>
  <c r="A12" i="181"/>
  <c r="H38" i="181"/>
  <c r="H54" i="181"/>
  <c r="H56" i="181"/>
  <c r="H58" i="181"/>
  <c r="H60" i="181"/>
  <c r="H39" i="181"/>
  <c r="H41" i="181"/>
  <c r="H43" i="181"/>
  <c r="H45" i="181"/>
  <c r="H47" i="181"/>
  <c r="H49" i="181"/>
  <c r="H51" i="181"/>
  <c r="H46" i="181"/>
  <c r="H37" i="181"/>
  <c r="H55" i="181"/>
  <c r="H57" i="181"/>
  <c r="H59" i="181"/>
  <c r="A6" i="181"/>
  <c r="A32" i="181" s="1"/>
  <c r="T12" i="181"/>
  <c r="C12" i="181" s="1"/>
  <c r="H53" i="181"/>
  <c r="T12" i="180"/>
  <c r="C12" i="180" s="1"/>
  <c r="T14" i="180"/>
  <c r="C14" i="180" s="1"/>
  <c r="H40" i="180"/>
  <c r="D40" i="180"/>
  <c r="D41" i="180" s="1"/>
  <c r="D42" i="180" s="1"/>
  <c r="D43" i="180" s="1"/>
  <c r="D44" i="180" s="1"/>
  <c r="D45" i="180" s="1"/>
  <c r="D46" i="180" s="1"/>
  <c r="D47" i="180" s="1"/>
  <c r="D48" i="180" s="1"/>
  <c r="D49" i="180" s="1"/>
  <c r="D50" i="180" s="1"/>
  <c r="D51" i="180" s="1"/>
  <c r="D52" i="180" s="1"/>
  <c r="D53" i="180" s="1"/>
  <c r="D54" i="180" s="1"/>
  <c r="D55" i="180" s="1"/>
  <c r="D56" i="180" s="1"/>
  <c r="D57" i="180" s="1"/>
  <c r="D58" i="180" s="1"/>
  <c r="D59" i="180" s="1"/>
  <c r="D60" i="180" s="1"/>
  <c r="D61" i="180" s="1"/>
  <c r="D62" i="180" s="1"/>
  <c r="D63" i="180" s="1"/>
  <c r="H53" i="180"/>
  <c r="T13" i="180"/>
  <c r="C13" i="180" s="1"/>
  <c r="T15" i="180"/>
  <c r="C15" i="180" s="1"/>
  <c r="H21" i="179"/>
  <c r="G161" i="144" s="1"/>
  <c r="H56" i="179"/>
  <c r="F21" i="179"/>
  <c r="E161" i="144" s="1"/>
  <c r="H57" i="179"/>
  <c r="C12" i="179"/>
  <c r="C14" i="179"/>
  <c r="H44" i="179"/>
  <c r="C13" i="179"/>
  <c r="C15" i="179"/>
  <c r="D44" i="179"/>
  <c r="D45" i="179" s="1"/>
  <c r="D46" i="179" s="1"/>
  <c r="D47" i="179" s="1"/>
  <c r="D48" i="179" s="1"/>
  <c r="D49" i="179" s="1"/>
  <c r="D50" i="179" s="1"/>
  <c r="D51" i="179" s="1"/>
  <c r="D52" i="179" s="1"/>
  <c r="D53" i="179" s="1"/>
  <c r="D54" i="179" s="1"/>
  <c r="D55" i="179" s="1"/>
  <c r="D56" i="179" s="1"/>
  <c r="D57" i="179" s="1"/>
  <c r="D58" i="179" s="1"/>
  <c r="D59" i="179" s="1"/>
  <c r="D60" i="179" s="1"/>
  <c r="D61" i="179" s="1"/>
  <c r="D62" i="179" s="1"/>
  <c r="D63" i="179" s="1"/>
  <c r="D64" i="179" s="1"/>
  <c r="D65" i="179" s="1"/>
  <c r="D66" i="179" s="1"/>
  <c r="D67" i="179" s="1"/>
  <c r="G33" i="178"/>
  <c r="F167" i="144" s="1"/>
  <c r="A6" i="178"/>
  <c r="A51" i="178" s="1"/>
  <c r="T12" i="178"/>
  <c r="C12" i="178" s="1"/>
  <c r="T15" i="178"/>
  <c r="C15" i="178" s="1"/>
  <c r="H56" i="178"/>
  <c r="F167" i="145" s="1"/>
  <c r="D56" i="178"/>
  <c r="D57" i="178" s="1"/>
  <c r="D58" i="178" s="1"/>
  <c r="D59" i="178" s="1"/>
  <c r="D60" i="178" s="1"/>
  <c r="D61" i="178" s="1"/>
  <c r="D62" i="178" s="1"/>
  <c r="D63" i="178" s="1"/>
  <c r="D64" i="178" s="1"/>
  <c r="D65" i="178" s="1"/>
  <c r="D66" i="178" s="1"/>
  <c r="D67" i="178" s="1"/>
  <c r="D68" i="178" s="1"/>
  <c r="D69" i="178" s="1"/>
  <c r="D70" i="178" s="1"/>
  <c r="D71" i="178" s="1"/>
  <c r="D72" i="178" s="1"/>
  <c r="D73" i="178" s="1"/>
  <c r="D74" i="178" s="1"/>
  <c r="D75" i="178" s="1"/>
  <c r="D76" i="178" s="1"/>
  <c r="D77" i="178" s="1"/>
  <c r="D78" i="178" s="1"/>
  <c r="D79" i="178" s="1"/>
  <c r="H69" i="178"/>
  <c r="H70" i="178"/>
  <c r="H71" i="178"/>
  <c r="H72" i="178"/>
  <c r="H73" i="178"/>
  <c r="H74" i="178"/>
  <c r="H75" i="178"/>
  <c r="H76" i="178"/>
  <c r="H77" i="178"/>
  <c r="H78" i="178"/>
  <c r="H79" i="178"/>
  <c r="T14" i="178"/>
  <c r="C14" i="178" s="1"/>
  <c r="D40" i="177"/>
  <c r="D41" i="177" s="1"/>
  <c r="D42" i="177" s="1"/>
  <c r="D43" i="177" s="1"/>
  <c r="D44" i="177" s="1"/>
  <c r="D45" i="177" s="1"/>
  <c r="D46" i="177" s="1"/>
  <c r="D47" i="177" s="1"/>
  <c r="D48" i="177" s="1"/>
  <c r="D49" i="177" s="1"/>
  <c r="D50" i="177" s="1"/>
  <c r="D51" i="177" s="1"/>
  <c r="D52" i="177" s="1"/>
  <c r="D53" i="177" s="1"/>
  <c r="D54" i="177" s="1"/>
  <c r="D55" i="177" s="1"/>
  <c r="D56" i="177" s="1"/>
  <c r="D57" i="177" s="1"/>
  <c r="D58" i="177" s="1"/>
  <c r="D59" i="177" s="1"/>
  <c r="D60" i="177" s="1"/>
  <c r="D61" i="177" s="1"/>
  <c r="D62" i="177" s="1"/>
  <c r="D63" i="177" s="1"/>
  <c r="T12" i="177"/>
  <c r="C12" i="177" s="1"/>
  <c r="T14" i="177"/>
  <c r="C14" i="177" s="1"/>
  <c r="H53" i="177"/>
  <c r="T13" i="177"/>
  <c r="C13" i="177" s="1"/>
  <c r="T15" i="177"/>
  <c r="C15" i="177" s="1"/>
  <c r="F17" i="176"/>
  <c r="H17" i="176"/>
  <c r="G165" i="144" s="1"/>
  <c r="I17" i="176"/>
  <c r="H52" i="176"/>
  <c r="T12" i="176"/>
  <c r="C12" i="176" s="1"/>
  <c r="T14" i="176"/>
  <c r="C14" i="176" s="1"/>
  <c r="H40" i="176"/>
  <c r="T13" i="176"/>
  <c r="C13" i="176" s="1"/>
  <c r="T15" i="176"/>
  <c r="C15" i="176" s="1"/>
  <c r="D40" i="176"/>
  <c r="D41" i="176" s="1"/>
  <c r="D42" i="176" s="1"/>
  <c r="D43" i="176" s="1"/>
  <c r="D44" i="176" s="1"/>
  <c r="D45" i="176" s="1"/>
  <c r="D46" i="176" s="1"/>
  <c r="D47" i="176" s="1"/>
  <c r="D48" i="176" s="1"/>
  <c r="D49" i="176" s="1"/>
  <c r="D50" i="176" s="1"/>
  <c r="D51" i="176" s="1"/>
  <c r="D52" i="176" s="1"/>
  <c r="D53" i="176" s="1"/>
  <c r="D54" i="176" s="1"/>
  <c r="D55" i="176" s="1"/>
  <c r="D56" i="176" s="1"/>
  <c r="D57" i="176" s="1"/>
  <c r="D58" i="176" s="1"/>
  <c r="D59" i="176" s="1"/>
  <c r="D60" i="176" s="1"/>
  <c r="D61" i="176" s="1"/>
  <c r="D62" i="176" s="1"/>
  <c r="D63" i="176" s="1"/>
  <c r="H52" i="175"/>
  <c r="F17" i="175"/>
  <c r="E163" i="144" s="1"/>
  <c r="H17" i="175"/>
  <c r="G163" i="144" s="1"/>
  <c r="T12" i="175"/>
  <c r="C12" i="175" s="1"/>
  <c r="T14" i="175"/>
  <c r="C14" i="175" s="1"/>
  <c r="H40" i="175"/>
  <c r="F163" i="145" s="1"/>
  <c r="D40" i="175"/>
  <c r="D41" i="175" s="1"/>
  <c r="D42" i="175" s="1"/>
  <c r="D43" i="175" s="1"/>
  <c r="D44" i="175" s="1"/>
  <c r="D45" i="175" s="1"/>
  <c r="D46" i="175" s="1"/>
  <c r="D47" i="175" s="1"/>
  <c r="D48" i="175" s="1"/>
  <c r="D49" i="175" s="1"/>
  <c r="D50" i="175" s="1"/>
  <c r="D51" i="175" s="1"/>
  <c r="D52" i="175" s="1"/>
  <c r="D53" i="175" s="1"/>
  <c r="D54" i="175" s="1"/>
  <c r="D55" i="175" s="1"/>
  <c r="D56" i="175" s="1"/>
  <c r="D57" i="175" s="1"/>
  <c r="D58" i="175" s="1"/>
  <c r="D59" i="175" s="1"/>
  <c r="D60" i="175" s="1"/>
  <c r="D61" i="175" s="1"/>
  <c r="D62" i="175" s="1"/>
  <c r="D63" i="175" s="1"/>
  <c r="H53" i="175"/>
  <c r="T13" i="175"/>
  <c r="C13" i="175" s="1"/>
  <c r="T15" i="175"/>
  <c r="C15" i="175" s="1"/>
  <c r="G17" i="174"/>
  <c r="F162" i="144" s="1"/>
  <c r="F17" i="174"/>
  <c r="A14" i="174"/>
  <c r="H56" i="174"/>
  <c r="A12" i="174"/>
  <c r="H45" i="174"/>
  <c r="H49" i="174"/>
  <c r="H51" i="174"/>
  <c r="H53" i="174"/>
  <c r="H55" i="174"/>
  <c r="H57" i="174"/>
  <c r="A15" i="174"/>
  <c r="H17" i="174"/>
  <c r="G162" i="144" s="1"/>
  <c r="H58" i="174"/>
  <c r="H41" i="174"/>
  <c r="H59" i="174"/>
  <c r="H61" i="174"/>
  <c r="T14" i="174"/>
  <c r="C14" i="174" s="1"/>
  <c r="H43" i="174"/>
  <c r="H47" i="174"/>
  <c r="H42" i="174"/>
  <c r="H44" i="174"/>
  <c r="H46" i="174"/>
  <c r="H48" i="174"/>
  <c r="H50" i="174"/>
  <c r="H52" i="174"/>
  <c r="H54" i="174"/>
  <c r="A6" i="174"/>
  <c r="A35" i="174" s="1"/>
  <c r="T12" i="174"/>
  <c r="C12" i="174" s="1"/>
  <c r="H40" i="174"/>
  <c r="H63" i="174"/>
  <c r="T13" i="174"/>
  <c r="C13" i="174" s="1"/>
  <c r="H62" i="174"/>
  <c r="J16" i="173"/>
  <c r="B16" i="173"/>
  <c r="J15" i="173"/>
  <c r="B15" i="173"/>
  <c r="B14" i="173"/>
  <c r="B13" i="173"/>
  <c r="J12" i="173"/>
  <c r="B12" i="173"/>
  <c r="P15" i="172"/>
  <c r="J15" i="172" s="1"/>
  <c r="P14" i="172"/>
  <c r="P13" i="172"/>
  <c r="P12" i="172"/>
  <c r="J12" i="172" s="1"/>
  <c r="B16" i="172"/>
  <c r="B15" i="172"/>
  <c r="B14" i="172"/>
  <c r="B13" i="172"/>
  <c r="B12" i="172"/>
  <c r="A12" i="172" s="1"/>
  <c r="P19" i="152"/>
  <c r="J14" i="152"/>
  <c r="B14" i="152"/>
  <c r="J13" i="152"/>
  <c r="J12" i="152"/>
  <c r="G12" i="152"/>
  <c r="H12" i="152" s="1"/>
  <c r="I12" i="152" s="1"/>
  <c r="I15" i="167"/>
  <c r="J15" i="167" s="1"/>
  <c r="B15" i="167"/>
  <c r="J13" i="167"/>
  <c r="B13" i="167"/>
  <c r="G14" i="167"/>
  <c r="H14" i="167" s="1"/>
  <c r="I14" i="167" s="1"/>
  <c r="J14" i="167" s="1"/>
  <c r="B14" i="167"/>
  <c r="B16" i="167"/>
  <c r="L7" i="173"/>
  <c r="E7" i="173" s="1"/>
  <c r="E62" i="173" s="1"/>
  <c r="N6" i="173"/>
  <c r="B89" i="173"/>
  <c r="B88" i="173"/>
  <c r="B87" i="173"/>
  <c r="B86" i="173"/>
  <c r="B85" i="173"/>
  <c r="B84" i="173"/>
  <c r="B83" i="173"/>
  <c r="B82" i="173"/>
  <c r="B81" i="173"/>
  <c r="B80" i="173"/>
  <c r="B79" i="173"/>
  <c r="B78" i="173"/>
  <c r="B77" i="173"/>
  <c r="B76" i="173"/>
  <c r="B75" i="173"/>
  <c r="B74" i="173"/>
  <c r="B73" i="173"/>
  <c r="B72" i="173"/>
  <c r="B71" i="173"/>
  <c r="B70" i="173"/>
  <c r="B69" i="173"/>
  <c r="B68" i="173"/>
  <c r="A68" i="173"/>
  <c r="A69" i="173" s="1"/>
  <c r="A70" i="173" s="1"/>
  <c r="A71" i="173" s="1"/>
  <c r="A72" i="173" s="1"/>
  <c r="A73" i="173" s="1"/>
  <c r="A74" i="173" s="1"/>
  <c r="A75" i="173" s="1"/>
  <c r="A76" i="173" s="1"/>
  <c r="A77" i="173" s="1"/>
  <c r="A78" i="173" s="1"/>
  <c r="A79" i="173" s="1"/>
  <c r="A80" i="173" s="1"/>
  <c r="A81" i="173" s="1"/>
  <c r="A82" i="173" s="1"/>
  <c r="A83" i="173" s="1"/>
  <c r="A84" i="173" s="1"/>
  <c r="A85" i="173" s="1"/>
  <c r="A86" i="173" s="1"/>
  <c r="A87" i="173" s="1"/>
  <c r="A88" i="173" s="1"/>
  <c r="A89" i="173" s="1"/>
  <c r="A90" i="173" s="1"/>
  <c r="A91" i="173" s="1"/>
  <c r="B67" i="173"/>
  <c r="B66" i="173"/>
  <c r="A59" i="173"/>
  <c r="L6" i="173"/>
  <c r="A5" i="173"/>
  <c r="A60" i="173" s="1"/>
  <c r="L7" i="172"/>
  <c r="E7" i="172" s="1"/>
  <c r="E62" i="172" s="1"/>
  <c r="N6" i="172"/>
  <c r="B89" i="172"/>
  <c r="B88" i="172"/>
  <c r="B87" i="172"/>
  <c r="B86" i="172"/>
  <c r="B85" i="172"/>
  <c r="B84" i="172"/>
  <c r="B83" i="172"/>
  <c r="B82" i="172"/>
  <c r="B81" i="172"/>
  <c r="B80" i="172"/>
  <c r="B79" i="172"/>
  <c r="B78" i="172"/>
  <c r="B77" i="172"/>
  <c r="B76" i="172"/>
  <c r="B75" i="172"/>
  <c r="B74" i="172"/>
  <c r="B73" i="172"/>
  <c r="B72" i="172"/>
  <c r="B71" i="172"/>
  <c r="B70" i="172"/>
  <c r="B69" i="172"/>
  <c r="B68" i="172"/>
  <c r="A68" i="172"/>
  <c r="A69" i="172" s="1"/>
  <c r="A70" i="172" s="1"/>
  <c r="A71" i="172" s="1"/>
  <c r="A72" i="172" s="1"/>
  <c r="A73" i="172" s="1"/>
  <c r="A74" i="172" s="1"/>
  <c r="A75" i="172" s="1"/>
  <c r="A76" i="172" s="1"/>
  <c r="A77" i="172" s="1"/>
  <c r="A78" i="172" s="1"/>
  <c r="A79" i="172" s="1"/>
  <c r="A80" i="172" s="1"/>
  <c r="A81" i="172" s="1"/>
  <c r="A82" i="172" s="1"/>
  <c r="A83" i="172" s="1"/>
  <c r="A84" i="172" s="1"/>
  <c r="A85" i="172" s="1"/>
  <c r="A86" i="172" s="1"/>
  <c r="A87" i="172" s="1"/>
  <c r="A88" i="172" s="1"/>
  <c r="A89" i="172" s="1"/>
  <c r="A90" i="172" s="1"/>
  <c r="A91" i="172" s="1"/>
  <c r="B67" i="172"/>
  <c r="B66" i="172"/>
  <c r="A59" i="172"/>
  <c r="L6" i="172"/>
  <c r="A5" i="172"/>
  <c r="A60" i="172" s="1"/>
  <c r="P41" i="171"/>
  <c r="L7" i="171"/>
  <c r="E7" i="171" s="1"/>
  <c r="E60" i="171" s="1"/>
  <c r="N6" i="171"/>
  <c r="B87" i="171"/>
  <c r="B86" i="171"/>
  <c r="B85" i="171"/>
  <c r="B84" i="171"/>
  <c r="B83" i="171"/>
  <c r="B82" i="171"/>
  <c r="B81" i="171"/>
  <c r="B80" i="171"/>
  <c r="B79" i="171"/>
  <c r="B78" i="171"/>
  <c r="B77" i="171"/>
  <c r="B76" i="171"/>
  <c r="B75" i="171"/>
  <c r="B74" i="171"/>
  <c r="B73" i="171"/>
  <c r="B72" i="171"/>
  <c r="B71" i="171"/>
  <c r="B70" i="171"/>
  <c r="B69" i="171"/>
  <c r="B68" i="171"/>
  <c r="B67" i="171"/>
  <c r="B66" i="171"/>
  <c r="A66" i="171"/>
  <c r="A67" i="171" s="1"/>
  <c r="A68" i="171" s="1"/>
  <c r="A69" i="171" s="1"/>
  <c r="A70" i="171" s="1"/>
  <c r="A71" i="171" s="1"/>
  <c r="A72" i="171" s="1"/>
  <c r="A73" i="171" s="1"/>
  <c r="A74" i="171" s="1"/>
  <c r="A75" i="171" s="1"/>
  <c r="A76" i="171" s="1"/>
  <c r="A77" i="171" s="1"/>
  <c r="A78" i="171" s="1"/>
  <c r="A79" i="171" s="1"/>
  <c r="A80" i="171" s="1"/>
  <c r="A81" i="171" s="1"/>
  <c r="A82" i="171" s="1"/>
  <c r="A83" i="171" s="1"/>
  <c r="A84" i="171" s="1"/>
  <c r="A85" i="171" s="1"/>
  <c r="A86" i="171" s="1"/>
  <c r="A87" i="171" s="1"/>
  <c r="A88" i="171" s="1"/>
  <c r="A89" i="171" s="1"/>
  <c r="B65" i="171"/>
  <c r="B64" i="171"/>
  <c r="A57" i="171"/>
  <c r="B12" i="171"/>
  <c r="L6" i="171"/>
  <c r="A5" i="171"/>
  <c r="A58" i="171" s="1"/>
  <c r="L7" i="170"/>
  <c r="E7" i="170" s="1"/>
  <c r="E36" i="170" s="1"/>
  <c r="N6" i="170"/>
  <c r="B63" i="170"/>
  <c r="B62" i="170"/>
  <c r="B61" i="170"/>
  <c r="B60" i="170"/>
  <c r="B59" i="170"/>
  <c r="B58" i="170"/>
  <c r="B57" i="170"/>
  <c r="B56" i="170"/>
  <c r="B55" i="170"/>
  <c r="B54" i="170"/>
  <c r="B53" i="170"/>
  <c r="B52" i="170"/>
  <c r="B51" i="170"/>
  <c r="B50" i="170"/>
  <c r="B49" i="170"/>
  <c r="B48" i="170"/>
  <c r="B47" i="170"/>
  <c r="B46" i="170"/>
  <c r="B45" i="170"/>
  <c r="B44" i="170"/>
  <c r="B43" i="170"/>
  <c r="B42" i="170"/>
  <c r="A42" i="170"/>
  <c r="A43" i="170" s="1"/>
  <c r="A44" i="170" s="1"/>
  <c r="A45" i="170" s="1"/>
  <c r="A46" i="170" s="1"/>
  <c r="A47" i="170" s="1"/>
  <c r="A48" i="170" s="1"/>
  <c r="A49" i="170" s="1"/>
  <c r="A50" i="170" s="1"/>
  <c r="A51" i="170" s="1"/>
  <c r="A52" i="170" s="1"/>
  <c r="A53" i="170" s="1"/>
  <c r="A54" i="170" s="1"/>
  <c r="A55" i="170" s="1"/>
  <c r="A56" i="170" s="1"/>
  <c r="A57" i="170" s="1"/>
  <c r="A58" i="170" s="1"/>
  <c r="A59" i="170" s="1"/>
  <c r="A60" i="170" s="1"/>
  <c r="A61" i="170" s="1"/>
  <c r="A62" i="170" s="1"/>
  <c r="A63" i="170" s="1"/>
  <c r="A64" i="170" s="1"/>
  <c r="A65" i="170" s="1"/>
  <c r="B41" i="170"/>
  <c r="B40" i="170"/>
  <c r="A33" i="170"/>
  <c r="P17" i="170"/>
  <c r="J15" i="170"/>
  <c r="I15" i="170"/>
  <c r="H15" i="170"/>
  <c r="G15" i="170"/>
  <c r="B15" i="170"/>
  <c r="J14" i="170"/>
  <c r="I14" i="170"/>
  <c r="H14" i="170"/>
  <c r="G14" i="170"/>
  <c r="B14" i="170"/>
  <c r="J13" i="170"/>
  <c r="I13" i="170"/>
  <c r="H13" i="170"/>
  <c r="G13" i="170"/>
  <c r="B13" i="170"/>
  <c r="J12" i="170"/>
  <c r="I12" i="170"/>
  <c r="H12" i="170"/>
  <c r="G12" i="170"/>
  <c r="F17" i="170"/>
  <c r="B12" i="170"/>
  <c r="L6" i="170"/>
  <c r="A5" i="170"/>
  <c r="A34" i="170" s="1"/>
  <c r="N6" i="169"/>
  <c r="T14" i="169" s="1"/>
  <c r="C14" i="169" s="1"/>
  <c r="L7" i="169"/>
  <c r="E7" i="169" s="1"/>
  <c r="E36" i="169" s="1"/>
  <c r="B63" i="169"/>
  <c r="B62" i="169"/>
  <c r="B61" i="169"/>
  <c r="B60" i="169"/>
  <c r="B59" i="169"/>
  <c r="B58" i="169"/>
  <c r="B57" i="169"/>
  <c r="B56" i="169"/>
  <c r="B55" i="169"/>
  <c r="B54" i="169"/>
  <c r="B53" i="169"/>
  <c r="B52" i="169"/>
  <c r="B51" i="169"/>
  <c r="B50" i="169"/>
  <c r="B49" i="169"/>
  <c r="B48" i="169"/>
  <c r="B47" i="169"/>
  <c r="B46" i="169"/>
  <c r="B45" i="169"/>
  <c r="B44" i="169"/>
  <c r="B43" i="169"/>
  <c r="B42" i="169"/>
  <c r="A42" i="169"/>
  <c r="A43" i="169" s="1"/>
  <c r="A44" i="169" s="1"/>
  <c r="A45" i="169" s="1"/>
  <c r="A46" i="169" s="1"/>
  <c r="A47" i="169" s="1"/>
  <c r="A48" i="169" s="1"/>
  <c r="A49" i="169" s="1"/>
  <c r="A50" i="169" s="1"/>
  <c r="A51" i="169" s="1"/>
  <c r="A52" i="169" s="1"/>
  <c r="A53" i="169" s="1"/>
  <c r="A54" i="169" s="1"/>
  <c r="A55" i="169" s="1"/>
  <c r="A56" i="169" s="1"/>
  <c r="A57" i="169" s="1"/>
  <c r="A58" i="169" s="1"/>
  <c r="A59" i="169" s="1"/>
  <c r="A60" i="169" s="1"/>
  <c r="A61" i="169" s="1"/>
  <c r="A62" i="169" s="1"/>
  <c r="A63" i="169" s="1"/>
  <c r="A64" i="169" s="1"/>
  <c r="A65" i="169" s="1"/>
  <c r="B41" i="169"/>
  <c r="B40" i="169"/>
  <c r="A33" i="169"/>
  <c r="P17" i="169"/>
  <c r="J15" i="169"/>
  <c r="I15" i="169"/>
  <c r="H15" i="169"/>
  <c r="G15" i="169"/>
  <c r="B15" i="169"/>
  <c r="J14" i="169"/>
  <c r="I14" i="169"/>
  <c r="H14" i="169"/>
  <c r="G14" i="169"/>
  <c r="F14" i="169"/>
  <c r="B14" i="169"/>
  <c r="J13" i="169"/>
  <c r="B13" i="169"/>
  <c r="J12" i="169"/>
  <c r="I12" i="169"/>
  <c r="H12" i="169"/>
  <c r="G12" i="169"/>
  <c r="F12" i="169"/>
  <c r="B12" i="169"/>
  <c r="L6" i="169"/>
  <c r="A5" i="169"/>
  <c r="A34" i="169" s="1"/>
  <c r="L7" i="168"/>
  <c r="E7" i="168" s="1"/>
  <c r="E36" i="168" s="1"/>
  <c r="N6" i="168"/>
  <c r="T15" i="168" s="1"/>
  <c r="C15" i="168" s="1"/>
  <c r="B63" i="168"/>
  <c r="B62" i="168"/>
  <c r="B61" i="168"/>
  <c r="B60" i="168"/>
  <c r="B59" i="168"/>
  <c r="B58" i="168"/>
  <c r="B57" i="168"/>
  <c r="B56" i="168"/>
  <c r="B55" i="168"/>
  <c r="B54" i="168"/>
  <c r="B53" i="168"/>
  <c r="B52" i="168"/>
  <c r="B51" i="168"/>
  <c r="B50" i="168"/>
  <c r="B49" i="168"/>
  <c r="B48" i="168"/>
  <c r="B47" i="168"/>
  <c r="B46" i="168"/>
  <c r="B45" i="168"/>
  <c r="B44" i="168"/>
  <c r="B43" i="168"/>
  <c r="B42" i="168"/>
  <c r="A42" i="168"/>
  <c r="A43" i="168" s="1"/>
  <c r="A44" i="168" s="1"/>
  <c r="A45" i="168" s="1"/>
  <c r="A46" i="168" s="1"/>
  <c r="A47" i="168" s="1"/>
  <c r="A48" i="168" s="1"/>
  <c r="A49" i="168" s="1"/>
  <c r="A50" i="168" s="1"/>
  <c r="A51" i="168" s="1"/>
  <c r="A52" i="168" s="1"/>
  <c r="A53" i="168" s="1"/>
  <c r="A54" i="168" s="1"/>
  <c r="A55" i="168" s="1"/>
  <c r="A56" i="168" s="1"/>
  <c r="A57" i="168" s="1"/>
  <c r="A58" i="168" s="1"/>
  <c r="A59" i="168" s="1"/>
  <c r="A60" i="168" s="1"/>
  <c r="A61" i="168" s="1"/>
  <c r="A62" i="168" s="1"/>
  <c r="A63" i="168" s="1"/>
  <c r="A64" i="168" s="1"/>
  <c r="A65" i="168" s="1"/>
  <c r="B41" i="168"/>
  <c r="B40" i="168"/>
  <c r="A33" i="168"/>
  <c r="P17" i="168"/>
  <c r="J15" i="168"/>
  <c r="I15" i="168"/>
  <c r="H15" i="168"/>
  <c r="G15" i="168"/>
  <c r="B15" i="168"/>
  <c r="J14" i="168"/>
  <c r="I14" i="168"/>
  <c r="H14" i="168"/>
  <c r="G14" i="168"/>
  <c r="F14" i="168"/>
  <c r="B14" i="168"/>
  <c r="J13" i="168"/>
  <c r="I13" i="168"/>
  <c r="H13" i="168"/>
  <c r="G13" i="168"/>
  <c r="B13" i="168"/>
  <c r="J12" i="168"/>
  <c r="I12" i="168"/>
  <c r="H12" i="168"/>
  <c r="G12" i="168"/>
  <c r="F12" i="168"/>
  <c r="B12" i="168"/>
  <c r="A12" i="168" s="1"/>
  <c r="L6" i="168"/>
  <c r="A5" i="168"/>
  <c r="A34" i="168" s="1"/>
  <c r="L7" i="167"/>
  <c r="E7" i="167" s="1"/>
  <c r="E40" i="167" s="1"/>
  <c r="N6" i="167"/>
  <c r="B67" i="167"/>
  <c r="B66" i="167"/>
  <c r="B65" i="167"/>
  <c r="B64" i="167"/>
  <c r="B63" i="167"/>
  <c r="B62" i="167"/>
  <c r="B61" i="167"/>
  <c r="B60" i="167"/>
  <c r="B59" i="167"/>
  <c r="B58" i="167"/>
  <c r="B57" i="167"/>
  <c r="B56" i="167"/>
  <c r="B55" i="167"/>
  <c r="B54" i="167"/>
  <c r="B53" i="167"/>
  <c r="B52" i="167"/>
  <c r="B51" i="167"/>
  <c r="B50" i="167"/>
  <c r="B49" i="167"/>
  <c r="B48" i="167"/>
  <c r="B47" i="167"/>
  <c r="B46" i="167"/>
  <c r="A46" i="167"/>
  <c r="A47" i="167" s="1"/>
  <c r="A48" i="167" s="1"/>
  <c r="A49" i="167" s="1"/>
  <c r="A50" i="167" s="1"/>
  <c r="A51" i="167" s="1"/>
  <c r="A52" i="167" s="1"/>
  <c r="A53" i="167" s="1"/>
  <c r="A54" i="167" s="1"/>
  <c r="A55" i="167" s="1"/>
  <c r="A56" i="167" s="1"/>
  <c r="A57" i="167" s="1"/>
  <c r="A58" i="167" s="1"/>
  <c r="A59" i="167" s="1"/>
  <c r="A60" i="167" s="1"/>
  <c r="A61" i="167" s="1"/>
  <c r="A62" i="167" s="1"/>
  <c r="A63" i="167" s="1"/>
  <c r="A64" i="167" s="1"/>
  <c r="A65" i="167" s="1"/>
  <c r="A66" i="167" s="1"/>
  <c r="A67" i="167" s="1"/>
  <c r="A68" i="167" s="1"/>
  <c r="A69" i="167" s="1"/>
  <c r="B45" i="167"/>
  <c r="B44" i="167"/>
  <c r="A37" i="167"/>
  <c r="P21" i="167"/>
  <c r="J19" i="167"/>
  <c r="B19" i="167"/>
  <c r="I18" i="167"/>
  <c r="J18" i="167" s="1"/>
  <c r="B18" i="167"/>
  <c r="J17" i="167"/>
  <c r="B17" i="167"/>
  <c r="I12" i="167"/>
  <c r="J12" i="167" s="1"/>
  <c r="B12" i="167"/>
  <c r="L6" i="167"/>
  <c r="A5" i="167"/>
  <c r="A38" i="167" s="1"/>
  <c r="I31" i="197" l="1"/>
  <c r="H82" i="197" s="1"/>
  <c r="H33" i="197"/>
  <c r="I33" i="197" s="1"/>
  <c r="H37" i="144"/>
  <c r="G37" i="144"/>
  <c r="H48" i="144"/>
  <c r="A7" i="178"/>
  <c r="A52" i="178" s="1"/>
  <c r="Q15" i="190"/>
  <c r="Q16" i="190" s="1"/>
  <c r="H174" i="144"/>
  <c r="A7" i="193"/>
  <c r="A36" i="193" s="1"/>
  <c r="A7" i="206"/>
  <c r="A37" i="206" s="1"/>
  <c r="F31" i="190"/>
  <c r="E122" i="144" s="1"/>
  <c r="A37" i="171"/>
  <c r="A30" i="171"/>
  <c r="J31" i="190"/>
  <c r="J33" i="190" s="1"/>
  <c r="I122" i="144" s="1"/>
  <c r="T30" i="171"/>
  <c r="C30" i="171" s="1"/>
  <c r="T37" i="171"/>
  <c r="C37" i="171" s="1"/>
  <c r="T41" i="173"/>
  <c r="C41" i="173" s="1"/>
  <c r="T34" i="173"/>
  <c r="C34" i="173" s="1"/>
  <c r="A41" i="173"/>
  <c r="A34" i="173"/>
  <c r="T41" i="172"/>
  <c r="C41" i="172" s="1"/>
  <c r="T34" i="172"/>
  <c r="C34" i="172" s="1"/>
  <c r="A41" i="172"/>
  <c r="A34" i="172"/>
  <c r="A13" i="171"/>
  <c r="A24" i="171"/>
  <c r="A33" i="171"/>
  <c r="A31" i="171"/>
  <c r="A27" i="171"/>
  <c r="A32" i="171"/>
  <c r="A29" i="171"/>
  <c r="A25" i="171"/>
  <c r="A28" i="171"/>
  <c r="A26" i="171"/>
  <c r="A34" i="171"/>
  <c r="A35" i="171"/>
  <c r="A36" i="171"/>
  <c r="A22" i="171"/>
  <c r="A18" i="171"/>
  <c r="A23" i="171"/>
  <c r="A20" i="171"/>
  <c r="A21" i="171"/>
  <c r="A19" i="171"/>
  <c r="T37" i="173"/>
  <c r="C37" i="173" s="1"/>
  <c r="T38" i="173"/>
  <c r="C38" i="173" s="1"/>
  <c r="T39" i="173"/>
  <c r="C39" i="173" s="1"/>
  <c r="T35" i="173"/>
  <c r="C35" i="173" s="1"/>
  <c r="T40" i="173"/>
  <c r="C40" i="173" s="1"/>
  <c r="T36" i="173"/>
  <c r="C36" i="173" s="1"/>
  <c r="A37" i="173"/>
  <c r="A38" i="173"/>
  <c r="A39" i="173"/>
  <c r="A35" i="173"/>
  <c r="A40" i="173"/>
  <c r="A36" i="173"/>
  <c r="T37" i="172"/>
  <c r="C37" i="172" s="1"/>
  <c r="T38" i="172"/>
  <c r="C38" i="172" s="1"/>
  <c r="T39" i="172"/>
  <c r="C39" i="172" s="1"/>
  <c r="T35" i="172"/>
  <c r="C35" i="172" s="1"/>
  <c r="T40" i="172"/>
  <c r="C40" i="172" s="1"/>
  <c r="T36" i="172"/>
  <c r="C36" i="172" s="1"/>
  <c r="A37" i="172"/>
  <c r="A38" i="172"/>
  <c r="A39" i="172"/>
  <c r="A35" i="172"/>
  <c r="A40" i="172"/>
  <c r="A36" i="172"/>
  <c r="T35" i="171"/>
  <c r="C35" i="171" s="1"/>
  <c r="T31" i="171"/>
  <c r="C31" i="171" s="1"/>
  <c r="T34" i="171"/>
  <c r="C34" i="171" s="1"/>
  <c r="T33" i="171"/>
  <c r="C33" i="171" s="1"/>
  <c r="T36" i="171"/>
  <c r="C36" i="171" s="1"/>
  <c r="T32" i="171"/>
  <c r="C32" i="171" s="1"/>
  <c r="T30" i="173"/>
  <c r="C30" i="173" s="1"/>
  <c r="T33" i="173"/>
  <c r="C33" i="173" s="1"/>
  <c r="T31" i="173"/>
  <c r="C31" i="173" s="1"/>
  <c r="T32" i="173"/>
  <c r="C32" i="173" s="1"/>
  <c r="T28" i="173"/>
  <c r="C28" i="173" s="1"/>
  <c r="T29" i="173"/>
  <c r="C29" i="173" s="1"/>
  <c r="A30" i="173"/>
  <c r="A33" i="173"/>
  <c r="A31" i="173"/>
  <c r="A29" i="173"/>
  <c r="A32" i="173"/>
  <c r="A28" i="173"/>
  <c r="T30" i="172"/>
  <c r="C30" i="172" s="1"/>
  <c r="T31" i="172"/>
  <c r="C31" i="172" s="1"/>
  <c r="T32" i="172"/>
  <c r="C32" i="172" s="1"/>
  <c r="T28" i="172"/>
  <c r="C28" i="172" s="1"/>
  <c r="T33" i="172"/>
  <c r="C33" i="172" s="1"/>
  <c r="T29" i="172"/>
  <c r="C29" i="172" s="1"/>
  <c r="A30" i="172"/>
  <c r="A31" i="172"/>
  <c r="A32" i="172"/>
  <c r="A28" i="172"/>
  <c r="A33" i="172"/>
  <c r="A29" i="172"/>
  <c r="T28" i="171"/>
  <c r="C28" i="171" s="1"/>
  <c r="T26" i="171"/>
  <c r="C26" i="171" s="1"/>
  <c r="T24" i="171"/>
  <c r="C24" i="171" s="1"/>
  <c r="T29" i="171"/>
  <c r="C29" i="171" s="1"/>
  <c r="T27" i="171"/>
  <c r="C27" i="171" s="1"/>
  <c r="T25" i="171"/>
  <c r="C25" i="171" s="1"/>
  <c r="T24" i="173"/>
  <c r="C24" i="173" s="1"/>
  <c r="T27" i="173"/>
  <c r="C27" i="173" s="1"/>
  <c r="T23" i="173"/>
  <c r="C23" i="173" s="1"/>
  <c r="T25" i="173"/>
  <c r="C25" i="173" s="1"/>
  <c r="T26" i="173"/>
  <c r="C26" i="173" s="1"/>
  <c r="T22" i="173"/>
  <c r="C22" i="173" s="1"/>
  <c r="A17" i="173"/>
  <c r="A24" i="173"/>
  <c r="A27" i="173"/>
  <c r="A25" i="173"/>
  <c r="A26" i="173"/>
  <c r="A22" i="173"/>
  <c r="A23" i="173"/>
  <c r="T17" i="172"/>
  <c r="C17" i="172" s="1"/>
  <c r="T24" i="172"/>
  <c r="C24" i="172" s="1"/>
  <c r="T25" i="172"/>
  <c r="C25" i="172" s="1"/>
  <c r="T26" i="172"/>
  <c r="C26" i="172" s="1"/>
  <c r="T22" i="172"/>
  <c r="C22" i="172" s="1"/>
  <c r="T27" i="172"/>
  <c r="C27" i="172" s="1"/>
  <c r="T23" i="172"/>
  <c r="C23" i="172" s="1"/>
  <c r="A17" i="172"/>
  <c r="A24" i="172"/>
  <c r="A25" i="172"/>
  <c r="A26" i="172"/>
  <c r="A22" i="172"/>
  <c r="A27" i="172"/>
  <c r="A23" i="172"/>
  <c r="T13" i="171"/>
  <c r="C13" i="171" s="1"/>
  <c r="T22" i="171"/>
  <c r="C22" i="171" s="1"/>
  <c r="T20" i="171"/>
  <c r="C20" i="171" s="1"/>
  <c r="T18" i="171"/>
  <c r="C18" i="171" s="1"/>
  <c r="T23" i="171"/>
  <c r="C23" i="171" s="1"/>
  <c r="T21" i="171"/>
  <c r="C21" i="171" s="1"/>
  <c r="T19" i="171"/>
  <c r="C19" i="171" s="1"/>
  <c r="T17" i="173"/>
  <c r="C17" i="173" s="1"/>
  <c r="T21" i="173"/>
  <c r="C21" i="173" s="1"/>
  <c r="T20" i="172"/>
  <c r="C20" i="172" s="1"/>
  <c r="T21" i="172"/>
  <c r="C21" i="172" s="1"/>
  <c r="A16" i="171"/>
  <c r="A17" i="171"/>
  <c r="A14" i="171"/>
  <c r="A15" i="171"/>
  <c r="T16" i="171"/>
  <c r="C16" i="171" s="1"/>
  <c r="T17" i="171"/>
  <c r="C17" i="171" s="1"/>
  <c r="A20" i="172"/>
  <c r="A21" i="172"/>
  <c r="A20" i="173"/>
  <c r="A21" i="173"/>
  <c r="T19" i="173"/>
  <c r="C19" i="173" s="1"/>
  <c r="T20" i="173"/>
  <c r="C20" i="173" s="1"/>
  <c r="T18" i="172"/>
  <c r="C18" i="172" s="1"/>
  <c r="T19" i="172"/>
  <c r="C19" i="172" s="1"/>
  <c r="A18" i="173"/>
  <c r="A19" i="173"/>
  <c r="T14" i="171"/>
  <c r="C14" i="171" s="1"/>
  <c r="T15" i="171"/>
  <c r="C15" i="171" s="1"/>
  <c r="A18" i="172"/>
  <c r="A19" i="172"/>
  <c r="T18" i="173"/>
  <c r="C18" i="173" s="1"/>
  <c r="Q19" i="189"/>
  <c r="B15" i="189"/>
  <c r="A15" i="189" s="1"/>
  <c r="B16" i="189"/>
  <c r="H60" i="195"/>
  <c r="H63" i="195"/>
  <c r="H64" i="195"/>
  <c r="B17" i="189"/>
  <c r="G33" i="189"/>
  <c r="F119" i="144" s="1"/>
  <c r="A13" i="195"/>
  <c r="H65" i="195"/>
  <c r="H57" i="195"/>
  <c r="A39" i="171"/>
  <c r="A38" i="171"/>
  <c r="T38" i="171"/>
  <c r="C38" i="171" s="1"/>
  <c r="T39" i="171"/>
  <c r="C39" i="171" s="1"/>
  <c r="H17" i="168"/>
  <c r="G115" i="144" s="1"/>
  <c r="G17" i="169"/>
  <c r="F116" i="144" s="1"/>
  <c r="H63" i="185"/>
  <c r="A14" i="195"/>
  <c r="H53" i="195"/>
  <c r="J12" i="171"/>
  <c r="J41" i="171" s="1"/>
  <c r="I105" i="144" s="1"/>
  <c r="H41" i="168"/>
  <c r="H41" i="170"/>
  <c r="I17" i="170"/>
  <c r="H113" i="144" s="1"/>
  <c r="J13" i="172"/>
  <c r="J14" i="172"/>
  <c r="H66" i="194"/>
  <c r="A6" i="167"/>
  <c r="A39" i="167" s="1"/>
  <c r="F17" i="169"/>
  <c r="E116" i="144" s="1"/>
  <c r="J17" i="170"/>
  <c r="I113" i="144" s="1"/>
  <c r="H49" i="195"/>
  <c r="A15" i="168"/>
  <c r="H47" i="168"/>
  <c r="H51" i="168"/>
  <c r="H58" i="168"/>
  <c r="A15" i="169"/>
  <c r="H64" i="169"/>
  <c r="H65" i="169"/>
  <c r="H44" i="170"/>
  <c r="H50" i="170"/>
  <c r="H59" i="170"/>
  <c r="A12" i="173"/>
  <c r="H91" i="173"/>
  <c r="H90" i="173"/>
  <c r="D65" i="194"/>
  <c r="D64" i="194"/>
  <c r="A18" i="211"/>
  <c r="A16" i="167"/>
  <c r="H69" i="167"/>
  <c r="H68" i="167"/>
  <c r="H65" i="168"/>
  <c r="H64" i="168"/>
  <c r="I17" i="168"/>
  <c r="A14" i="168"/>
  <c r="A14" i="170"/>
  <c r="A15" i="167"/>
  <c r="D80" i="178"/>
  <c r="D81" i="178"/>
  <c r="D64" i="180"/>
  <c r="D65" i="180"/>
  <c r="D80" i="190"/>
  <c r="D81" i="190"/>
  <c r="D64" i="193"/>
  <c r="D65" i="193"/>
  <c r="D61" i="186"/>
  <c r="D62" i="186"/>
  <c r="A7" i="194"/>
  <c r="A36" i="194" s="1"/>
  <c r="H50" i="144"/>
  <c r="H63" i="184"/>
  <c r="H41" i="195"/>
  <c r="H56" i="195"/>
  <c r="H48" i="195"/>
  <c r="H54" i="195"/>
  <c r="H58" i="195"/>
  <c r="H50" i="195"/>
  <c r="H42" i="195"/>
  <c r="H52" i="195"/>
  <c r="H44" i="195"/>
  <c r="H46" i="195"/>
  <c r="H55" i="195"/>
  <c r="H47" i="195"/>
  <c r="H66" i="193"/>
  <c r="A7" i="179"/>
  <c r="A40" i="179" s="1"/>
  <c r="H161" i="144"/>
  <c r="H82" i="178"/>
  <c r="F48" i="145"/>
  <c r="H66" i="192"/>
  <c r="H63" i="186"/>
  <c r="H43" i="168"/>
  <c r="H49" i="168"/>
  <c r="H56" i="168"/>
  <c r="H62" i="168"/>
  <c r="H65" i="170"/>
  <c r="H64" i="170"/>
  <c r="H46" i="170"/>
  <c r="H52" i="170"/>
  <c r="H61" i="170"/>
  <c r="H88" i="171"/>
  <c r="H89" i="171"/>
  <c r="D68" i="179"/>
  <c r="D69" i="179"/>
  <c r="H66" i="176"/>
  <c r="H42" i="168"/>
  <c r="H46" i="168"/>
  <c r="H50" i="168"/>
  <c r="H52" i="168"/>
  <c r="H57" i="168"/>
  <c r="H59" i="168"/>
  <c r="H61" i="168"/>
  <c r="H63" i="168"/>
  <c r="H43" i="170"/>
  <c r="H45" i="170"/>
  <c r="H47" i="170"/>
  <c r="H49" i="170"/>
  <c r="H51" i="170"/>
  <c r="H53" i="170"/>
  <c r="H56" i="170"/>
  <c r="H58" i="170"/>
  <c r="H60" i="170"/>
  <c r="F162" i="145"/>
  <c r="H66" i="174"/>
  <c r="D64" i="175"/>
  <c r="D65" i="175"/>
  <c r="D64" i="176"/>
  <c r="D65" i="176"/>
  <c r="A7" i="176"/>
  <c r="A36" i="176" s="1"/>
  <c r="H165" i="144"/>
  <c r="F67" i="145"/>
  <c r="H63" i="181"/>
  <c r="D61" i="183"/>
  <c r="D62" i="183"/>
  <c r="H45" i="195"/>
  <c r="H45" i="168"/>
  <c r="H53" i="168"/>
  <c r="H60" i="168"/>
  <c r="H42" i="170"/>
  <c r="H48" i="170"/>
  <c r="H57" i="170"/>
  <c r="H66" i="177"/>
  <c r="H44" i="168"/>
  <c r="H48" i="168"/>
  <c r="A13" i="168"/>
  <c r="H55" i="168"/>
  <c r="A12" i="170"/>
  <c r="A13" i="170"/>
  <c r="H55" i="170"/>
  <c r="A15" i="170"/>
  <c r="A6" i="170"/>
  <c r="A35" i="170" s="1"/>
  <c r="H79" i="171"/>
  <c r="A13" i="152"/>
  <c r="A13" i="172"/>
  <c r="H90" i="172"/>
  <c r="H91" i="172"/>
  <c r="D65" i="177"/>
  <c r="D64" i="177"/>
  <c r="F161" i="145"/>
  <c r="H70" i="179"/>
  <c r="D62" i="182"/>
  <c r="D61" i="182"/>
  <c r="H63" i="182"/>
  <c r="D62" i="184"/>
  <c r="D61" i="184"/>
  <c r="D61" i="187"/>
  <c r="D62" i="187"/>
  <c r="D80" i="189"/>
  <c r="D81" i="189"/>
  <c r="G33" i="190"/>
  <c r="F122" i="144" s="1"/>
  <c r="A14" i="190"/>
  <c r="A7" i="200"/>
  <c r="A34" i="200" s="1"/>
  <c r="H123" i="144"/>
  <c r="D64" i="192"/>
  <c r="D65" i="192"/>
  <c r="A7" i="174"/>
  <c r="A36" i="174" s="1"/>
  <c r="H162" i="144"/>
  <c r="B19" i="211"/>
  <c r="Q20" i="211"/>
  <c r="H51" i="195"/>
  <c r="H43" i="195"/>
  <c r="H59" i="195"/>
  <c r="F178" i="145"/>
  <c r="H63" i="187"/>
  <c r="H66" i="175"/>
  <c r="D64" i="195"/>
  <c r="D65" i="195"/>
  <c r="F169" i="145"/>
  <c r="H66" i="180"/>
  <c r="A7" i="180"/>
  <c r="A36" i="180" s="1"/>
  <c r="H169" i="144"/>
  <c r="F177" i="145"/>
  <c r="H63" i="183"/>
  <c r="H58" i="215"/>
  <c r="H55" i="215"/>
  <c r="H41" i="215"/>
  <c r="H59" i="215"/>
  <c r="H49" i="215"/>
  <c r="H60" i="215"/>
  <c r="H56" i="215"/>
  <c r="H43" i="215"/>
  <c r="H47" i="215"/>
  <c r="H57" i="215"/>
  <c r="H39" i="215"/>
  <c r="H51" i="215"/>
  <c r="H53" i="215"/>
  <c r="H45" i="215"/>
  <c r="H46" i="215"/>
  <c r="H52" i="215"/>
  <c r="H50" i="215"/>
  <c r="H40" i="215"/>
  <c r="H48" i="215"/>
  <c r="H38" i="215"/>
  <c r="H54" i="215"/>
  <c r="H42" i="215"/>
  <c r="H44" i="215"/>
  <c r="H37" i="215"/>
  <c r="F151" i="145" s="1"/>
  <c r="F165" i="145"/>
  <c r="F81" i="145"/>
  <c r="B56" i="211"/>
  <c r="Q57" i="211"/>
  <c r="B85" i="210"/>
  <c r="A20" i="210"/>
  <c r="B21" i="210"/>
  <c r="Q22" i="210"/>
  <c r="I15" i="191"/>
  <c r="J15" i="191"/>
  <c r="I131" i="144" s="1"/>
  <c r="F15" i="191"/>
  <c r="E131" i="144" s="1"/>
  <c r="G15" i="191"/>
  <c r="F131" i="144" s="1"/>
  <c r="H15" i="191"/>
  <c r="G131" i="144" s="1"/>
  <c r="I33" i="190"/>
  <c r="G122" i="144"/>
  <c r="B15" i="190"/>
  <c r="Q24" i="190"/>
  <c r="B23" i="190"/>
  <c r="G119" i="144"/>
  <c r="J33" i="189"/>
  <c r="I119" i="144" s="1"/>
  <c r="E119" i="144"/>
  <c r="B18" i="189"/>
  <c r="A16" i="173"/>
  <c r="A13" i="173"/>
  <c r="A14" i="173"/>
  <c r="T16" i="173"/>
  <c r="C16" i="173" s="1"/>
  <c r="T12" i="173"/>
  <c r="C12" i="173" s="1"/>
  <c r="T15" i="173"/>
  <c r="C15" i="173" s="1"/>
  <c r="H79" i="173"/>
  <c r="T13" i="173"/>
  <c r="C13" i="173" s="1"/>
  <c r="J14" i="173"/>
  <c r="A15" i="173"/>
  <c r="J13" i="173"/>
  <c r="T14" i="173"/>
  <c r="C14" i="173" s="1"/>
  <c r="H78" i="172"/>
  <c r="A14" i="172"/>
  <c r="A15" i="172"/>
  <c r="J16" i="172"/>
  <c r="A16" i="172"/>
  <c r="T16" i="172"/>
  <c r="C16" i="172" s="1"/>
  <c r="T13" i="172"/>
  <c r="C13" i="172" s="1"/>
  <c r="T15" i="172"/>
  <c r="C15" i="172" s="1"/>
  <c r="T12" i="172"/>
  <c r="C12" i="172" s="1"/>
  <c r="T14" i="172"/>
  <c r="C14" i="172" s="1"/>
  <c r="A12" i="152"/>
  <c r="A14" i="152"/>
  <c r="T15" i="167"/>
  <c r="C15" i="167" s="1"/>
  <c r="A13" i="167"/>
  <c r="T13" i="167"/>
  <c r="C13" i="167" s="1"/>
  <c r="A14" i="167"/>
  <c r="T14" i="167"/>
  <c r="C14" i="167" s="1"/>
  <c r="T16" i="167"/>
  <c r="C16" i="167" s="1"/>
  <c r="H68" i="173"/>
  <c r="A6" i="173"/>
  <c r="A61" i="173" s="1"/>
  <c r="H66" i="173"/>
  <c r="F107" i="145" s="1"/>
  <c r="H67" i="173"/>
  <c r="H70" i="173"/>
  <c r="H72" i="173"/>
  <c r="H74" i="173"/>
  <c r="H76" i="173"/>
  <c r="H77" i="173"/>
  <c r="H82" i="173"/>
  <c r="H83" i="173"/>
  <c r="H84" i="173"/>
  <c r="H85" i="173"/>
  <c r="H86" i="173"/>
  <c r="H87" i="173"/>
  <c r="H88" i="173"/>
  <c r="H89" i="173"/>
  <c r="D66" i="173"/>
  <c r="D67" i="173" s="1"/>
  <c r="D68" i="173" s="1"/>
  <c r="D69" i="173" s="1"/>
  <c r="D70" i="173" s="1"/>
  <c r="D71" i="173" s="1"/>
  <c r="D72" i="173" s="1"/>
  <c r="D73" i="173" s="1"/>
  <c r="D74" i="173" s="1"/>
  <c r="D75" i="173" s="1"/>
  <c r="D76" i="173" s="1"/>
  <c r="D77" i="173" s="1"/>
  <c r="D78" i="173" s="1"/>
  <c r="D79" i="173" s="1"/>
  <c r="D80" i="173" s="1"/>
  <c r="D81" i="173" s="1"/>
  <c r="D82" i="173" s="1"/>
  <c r="D83" i="173" s="1"/>
  <c r="D84" i="173" s="1"/>
  <c r="D85" i="173" s="1"/>
  <c r="D86" i="173" s="1"/>
  <c r="D87" i="173" s="1"/>
  <c r="D88" i="173" s="1"/>
  <c r="D89" i="173" s="1"/>
  <c r="H69" i="173"/>
  <c r="H71" i="173"/>
  <c r="H73" i="173"/>
  <c r="H75" i="173"/>
  <c r="H78" i="173"/>
  <c r="H81" i="173"/>
  <c r="H81" i="172"/>
  <c r="H70" i="172"/>
  <c r="P43" i="172"/>
  <c r="H66" i="172"/>
  <c r="F106" i="145" s="1"/>
  <c r="D66" i="172"/>
  <c r="D67" i="172" s="1"/>
  <c r="D68" i="172" s="1"/>
  <c r="D69" i="172" s="1"/>
  <c r="D70" i="172" s="1"/>
  <c r="D71" i="172" s="1"/>
  <c r="D72" i="172" s="1"/>
  <c r="D73" i="172" s="1"/>
  <c r="D74" i="172" s="1"/>
  <c r="D75" i="172" s="1"/>
  <c r="D76" i="172" s="1"/>
  <c r="D77" i="172" s="1"/>
  <c r="D78" i="172" s="1"/>
  <c r="D79" i="172" s="1"/>
  <c r="D80" i="172" s="1"/>
  <c r="D81" i="172" s="1"/>
  <c r="D82" i="172" s="1"/>
  <c r="D83" i="172" s="1"/>
  <c r="D84" i="172" s="1"/>
  <c r="D85" i="172" s="1"/>
  <c r="D86" i="172" s="1"/>
  <c r="D87" i="172" s="1"/>
  <c r="D88" i="172" s="1"/>
  <c r="D89" i="172" s="1"/>
  <c r="H68" i="172"/>
  <c r="H71" i="172"/>
  <c r="H73" i="172"/>
  <c r="H75" i="172"/>
  <c r="H76" i="172"/>
  <c r="H77" i="172"/>
  <c r="H79" i="172"/>
  <c r="H82" i="172"/>
  <c r="H83" i="172"/>
  <c r="H84" i="172"/>
  <c r="H85" i="172"/>
  <c r="H86" i="172"/>
  <c r="H87" i="172"/>
  <c r="H88" i="172"/>
  <c r="H89" i="172"/>
  <c r="H67" i="172"/>
  <c r="H69" i="172"/>
  <c r="H72" i="172"/>
  <c r="H74" i="172"/>
  <c r="A6" i="172"/>
  <c r="A61" i="172" s="1"/>
  <c r="H41" i="171"/>
  <c r="G105" i="144" s="1"/>
  <c r="H78" i="171"/>
  <c r="F41" i="171"/>
  <c r="E105" i="144" s="1"/>
  <c r="G41" i="171"/>
  <c r="F105" i="144" s="1"/>
  <c r="T12" i="171"/>
  <c r="C12" i="171" s="1"/>
  <c r="A6" i="171"/>
  <c r="A59" i="171" s="1"/>
  <c r="D64" i="171"/>
  <c r="D65" i="171" s="1"/>
  <c r="D66" i="171" s="1"/>
  <c r="D67" i="171" s="1"/>
  <c r="D68" i="171" s="1"/>
  <c r="D69" i="171" s="1"/>
  <c r="D70" i="171" s="1"/>
  <c r="D71" i="171" s="1"/>
  <c r="D72" i="171" s="1"/>
  <c r="D73" i="171" s="1"/>
  <c r="D74" i="171" s="1"/>
  <c r="D75" i="171" s="1"/>
  <c r="D76" i="171" s="1"/>
  <c r="D77" i="171" s="1"/>
  <c r="D78" i="171" s="1"/>
  <c r="D79" i="171" s="1"/>
  <c r="D80" i="171" s="1"/>
  <c r="D81" i="171" s="1"/>
  <c r="D82" i="171" s="1"/>
  <c r="D83" i="171" s="1"/>
  <c r="D84" i="171" s="1"/>
  <c r="D85" i="171" s="1"/>
  <c r="D86" i="171" s="1"/>
  <c r="D87" i="171" s="1"/>
  <c r="H66" i="171"/>
  <c r="H68" i="171"/>
  <c r="H70" i="171"/>
  <c r="H71" i="171"/>
  <c r="H72" i="171"/>
  <c r="H74" i="171"/>
  <c r="H75" i="171"/>
  <c r="H76" i="171"/>
  <c r="H77" i="171"/>
  <c r="H80" i="171"/>
  <c r="H81" i="171"/>
  <c r="H82" i="171"/>
  <c r="H83" i="171"/>
  <c r="H84" i="171"/>
  <c r="H85" i="171"/>
  <c r="H86" i="171"/>
  <c r="H87" i="171"/>
  <c r="H64" i="171"/>
  <c r="F105" i="145" s="1"/>
  <c r="A12" i="171"/>
  <c r="H67" i="171"/>
  <c r="H69" i="171"/>
  <c r="H73" i="171"/>
  <c r="H65" i="171"/>
  <c r="H17" i="170"/>
  <c r="G113" i="144" s="1"/>
  <c r="G17" i="170"/>
  <c r="F113" i="144" s="1"/>
  <c r="T12" i="170"/>
  <c r="C12" i="170" s="1"/>
  <c r="T14" i="170"/>
  <c r="C14" i="170" s="1"/>
  <c r="H40" i="170"/>
  <c r="F113" i="145" s="1"/>
  <c r="H54" i="170"/>
  <c r="H62" i="170"/>
  <c r="H63" i="170"/>
  <c r="T13" i="170"/>
  <c r="C13" i="170" s="1"/>
  <c r="T15" i="170"/>
  <c r="C15" i="170" s="1"/>
  <c r="D40" i="170"/>
  <c r="D41" i="170" s="1"/>
  <c r="D42" i="170" s="1"/>
  <c r="D43" i="170" s="1"/>
  <c r="D44" i="170" s="1"/>
  <c r="D45" i="170" s="1"/>
  <c r="D46" i="170" s="1"/>
  <c r="D47" i="170" s="1"/>
  <c r="D48" i="170" s="1"/>
  <c r="D49" i="170" s="1"/>
  <c r="D50" i="170" s="1"/>
  <c r="D51" i="170" s="1"/>
  <c r="D52" i="170" s="1"/>
  <c r="D53" i="170" s="1"/>
  <c r="D54" i="170" s="1"/>
  <c r="D55" i="170" s="1"/>
  <c r="D56" i="170" s="1"/>
  <c r="D57" i="170" s="1"/>
  <c r="D58" i="170" s="1"/>
  <c r="D59" i="170" s="1"/>
  <c r="D60" i="170" s="1"/>
  <c r="D61" i="170" s="1"/>
  <c r="D62" i="170" s="1"/>
  <c r="D63" i="170" s="1"/>
  <c r="H17" i="169"/>
  <c r="G116" i="144" s="1"/>
  <c r="I17" i="169"/>
  <c r="H116" i="144" s="1"/>
  <c r="T12" i="169"/>
  <c r="C12" i="169" s="1"/>
  <c r="T15" i="169"/>
  <c r="C15" i="169" s="1"/>
  <c r="A6" i="169"/>
  <c r="A35" i="169" s="1"/>
  <c r="H40" i="169"/>
  <c r="F116" i="145" s="1"/>
  <c r="A14" i="169"/>
  <c r="D40" i="169"/>
  <c r="D41" i="169" s="1"/>
  <c r="D42" i="169" s="1"/>
  <c r="D43" i="169" s="1"/>
  <c r="D44" i="169" s="1"/>
  <c r="D45" i="169" s="1"/>
  <c r="D46" i="169" s="1"/>
  <c r="D47" i="169" s="1"/>
  <c r="D48" i="169" s="1"/>
  <c r="D49" i="169" s="1"/>
  <c r="D50" i="169" s="1"/>
  <c r="D51" i="169" s="1"/>
  <c r="D52" i="169" s="1"/>
  <c r="D53" i="169" s="1"/>
  <c r="D54" i="169" s="1"/>
  <c r="D55" i="169" s="1"/>
  <c r="D56" i="169" s="1"/>
  <c r="D57" i="169" s="1"/>
  <c r="D58" i="169" s="1"/>
  <c r="D59" i="169" s="1"/>
  <c r="D60" i="169" s="1"/>
  <c r="D61" i="169" s="1"/>
  <c r="D62" i="169" s="1"/>
  <c r="D63" i="169" s="1"/>
  <c r="H42" i="169"/>
  <c r="H43" i="169"/>
  <c r="H45" i="169"/>
  <c r="H46" i="169"/>
  <c r="H48" i="169"/>
  <c r="H49" i="169"/>
  <c r="H50" i="169"/>
  <c r="H52" i="169"/>
  <c r="H53" i="169"/>
  <c r="H54" i="169"/>
  <c r="H55" i="169"/>
  <c r="H56" i="169"/>
  <c r="H57" i="169"/>
  <c r="H58" i="169"/>
  <c r="H59" i="169"/>
  <c r="H60" i="169"/>
  <c r="H61" i="169"/>
  <c r="H62" i="169"/>
  <c r="H63" i="169"/>
  <c r="A12" i="169"/>
  <c r="H41" i="169"/>
  <c r="H44" i="169"/>
  <c r="H47" i="169"/>
  <c r="H51" i="169"/>
  <c r="T13" i="169"/>
  <c r="C13" i="169" s="1"/>
  <c r="A13" i="169"/>
  <c r="G17" i="168"/>
  <c r="F115" i="144" s="1"/>
  <c r="J17" i="168"/>
  <c r="I115" i="144" s="1"/>
  <c r="A6" i="168"/>
  <c r="A35" i="168" s="1"/>
  <c r="T12" i="168"/>
  <c r="C12" i="168" s="1"/>
  <c r="T14" i="168"/>
  <c r="C14" i="168" s="1"/>
  <c r="H40" i="168"/>
  <c r="F115" i="145" s="1"/>
  <c r="D40" i="168"/>
  <c r="D41" i="168" s="1"/>
  <c r="D42" i="168" s="1"/>
  <c r="D43" i="168" s="1"/>
  <c r="D44" i="168" s="1"/>
  <c r="D45" i="168" s="1"/>
  <c r="D46" i="168" s="1"/>
  <c r="D47" i="168" s="1"/>
  <c r="D48" i="168" s="1"/>
  <c r="D49" i="168" s="1"/>
  <c r="D50" i="168" s="1"/>
  <c r="D51" i="168" s="1"/>
  <c r="D52" i="168" s="1"/>
  <c r="D53" i="168" s="1"/>
  <c r="D54" i="168" s="1"/>
  <c r="D55" i="168" s="1"/>
  <c r="D56" i="168" s="1"/>
  <c r="D57" i="168" s="1"/>
  <c r="D58" i="168" s="1"/>
  <c r="D59" i="168" s="1"/>
  <c r="D60" i="168" s="1"/>
  <c r="D61" i="168" s="1"/>
  <c r="D62" i="168" s="1"/>
  <c r="D63" i="168" s="1"/>
  <c r="H54" i="168"/>
  <c r="T13" i="168"/>
  <c r="C13" i="168" s="1"/>
  <c r="H67" i="167"/>
  <c r="H46" i="167"/>
  <c r="H52" i="167"/>
  <c r="H56" i="167"/>
  <c r="H60" i="167"/>
  <c r="H62" i="167"/>
  <c r="A12" i="167"/>
  <c r="A17" i="167"/>
  <c r="H66" i="167"/>
  <c r="H50" i="167"/>
  <c r="H47" i="167"/>
  <c r="H51" i="167"/>
  <c r="H55" i="167"/>
  <c r="H59" i="167"/>
  <c r="H63" i="167"/>
  <c r="H48" i="167"/>
  <c r="H54" i="167"/>
  <c r="A18" i="167"/>
  <c r="A19" i="167"/>
  <c r="H49" i="167"/>
  <c r="H53" i="167"/>
  <c r="H57" i="167"/>
  <c r="H61" i="167"/>
  <c r="H45" i="167"/>
  <c r="H65" i="167"/>
  <c r="D44" i="167"/>
  <c r="D45" i="167" s="1"/>
  <c r="D46" i="167" s="1"/>
  <c r="D47" i="167" s="1"/>
  <c r="D48" i="167" s="1"/>
  <c r="D49" i="167" s="1"/>
  <c r="D50" i="167" s="1"/>
  <c r="D51" i="167" s="1"/>
  <c r="D52" i="167" s="1"/>
  <c r="D53" i="167" s="1"/>
  <c r="D54" i="167" s="1"/>
  <c r="D55" i="167" s="1"/>
  <c r="D56" i="167" s="1"/>
  <c r="D57" i="167" s="1"/>
  <c r="D58" i="167" s="1"/>
  <c r="D59" i="167" s="1"/>
  <c r="D60" i="167" s="1"/>
  <c r="D61" i="167" s="1"/>
  <c r="D62" i="167" s="1"/>
  <c r="D63" i="167" s="1"/>
  <c r="D64" i="167" s="1"/>
  <c r="D65" i="167" s="1"/>
  <c r="D66" i="167" s="1"/>
  <c r="D67" i="167" s="1"/>
  <c r="T12" i="167"/>
  <c r="C12" i="167" s="1"/>
  <c r="T18" i="167"/>
  <c r="C18" i="167" s="1"/>
  <c r="H44" i="167"/>
  <c r="H64" i="167"/>
  <c r="T17" i="167"/>
  <c r="C17" i="167" s="1"/>
  <c r="T19" i="167"/>
  <c r="C19" i="167" s="1"/>
  <c r="L7" i="165"/>
  <c r="E7" i="165" s="1"/>
  <c r="E34" i="165" s="1"/>
  <c r="N6" i="165"/>
  <c r="D38" i="165" s="1"/>
  <c r="D39" i="165" s="1"/>
  <c r="D40" i="165" s="1"/>
  <c r="D41" i="165" s="1"/>
  <c r="D42" i="165" s="1"/>
  <c r="D43" i="165" s="1"/>
  <c r="D44" i="165" s="1"/>
  <c r="D45" i="165" s="1"/>
  <c r="D46" i="165" s="1"/>
  <c r="D47" i="165" s="1"/>
  <c r="D48" i="165" s="1"/>
  <c r="D49" i="165" s="1"/>
  <c r="D50" i="165" s="1"/>
  <c r="D51" i="165" s="1"/>
  <c r="D52" i="165" s="1"/>
  <c r="D53" i="165" s="1"/>
  <c r="D54" i="165" s="1"/>
  <c r="D55" i="165" s="1"/>
  <c r="D56" i="165" s="1"/>
  <c r="D57" i="165" s="1"/>
  <c r="D58" i="165" s="1"/>
  <c r="D59" i="165" s="1"/>
  <c r="D60" i="165" s="1"/>
  <c r="D61" i="165" s="1"/>
  <c r="B61" i="165"/>
  <c r="B60" i="165"/>
  <c r="B59" i="165"/>
  <c r="B58" i="165"/>
  <c r="B57" i="165"/>
  <c r="B56" i="165"/>
  <c r="B55" i="165"/>
  <c r="B54" i="165"/>
  <c r="B53" i="165"/>
  <c r="B52" i="165"/>
  <c r="B51" i="165"/>
  <c r="B50" i="165"/>
  <c r="B49" i="165"/>
  <c r="B48" i="165"/>
  <c r="B47" i="165"/>
  <c r="B46" i="165"/>
  <c r="B45" i="165"/>
  <c r="B44" i="165"/>
  <c r="B43" i="165"/>
  <c r="B42" i="165"/>
  <c r="B41" i="165"/>
  <c r="B40" i="165"/>
  <c r="A40" i="165"/>
  <c r="A41" i="165" s="1"/>
  <c r="A42" i="165" s="1"/>
  <c r="A43" i="165" s="1"/>
  <c r="A44" i="165" s="1"/>
  <c r="A45" i="165" s="1"/>
  <c r="A46" i="165" s="1"/>
  <c r="A47" i="165" s="1"/>
  <c r="A48" i="165" s="1"/>
  <c r="A49" i="165" s="1"/>
  <c r="A50" i="165" s="1"/>
  <c r="A51" i="165" s="1"/>
  <c r="A52" i="165" s="1"/>
  <c r="A53" i="165" s="1"/>
  <c r="A54" i="165" s="1"/>
  <c r="A55" i="165" s="1"/>
  <c r="A56" i="165" s="1"/>
  <c r="A57" i="165" s="1"/>
  <c r="A58" i="165" s="1"/>
  <c r="A59" i="165" s="1"/>
  <c r="A60" i="165" s="1"/>
  <c r="A61" i="165" s="1"/>
  <c r="A62" i="165" s="1"/>
  <c r="A63" i="165" s="1"/>
  <c r="B39" i="165"/>
  <c r="B38" i="165"/>
  <c r="A31" i="165"/>
  <c r="P15" i="165"/>
  <c r="P13" i="165"/>
  <c r="H13" i="165" s="1"/>
  <c r="B13" i="165"/>
  <c r="J12" i="165"/>
  <c r="I12" i="165"/>
  <c r="H12" i="165"/>
  <c r="G12" i="165"/>
  <c r="B12" i="165"/>
  <c r="L6" i="165"/>
  <c r="A5" i="165"/>
  <c r="A32" i="165" s="1"/>
  <c r="P13" i="164"/>
  <c r="H13" i="164" s="1"/>
  <c r="L7" i="164"/>
  <c r="E7" i="164" s="1"/>
  <c r="E34" i="164" s="1"/>
  <c r="N6" i="164"/>
  <c r="L7" i="163"/>
  <c r="E7" i="163" s="1"/>
  <c r="E34" i="163" s="1"/>
  <c r="N6" i="163"/>
  <c r="B61" i="164"/>
  <c r="B60" i="164"/>
  <c r="B59" i="164"/>
  <c r="B58" i="164"/>
  <c r="B57" i="164"/>
  <c r="B56" i="164"/>
  <c r="B55" i="164"/>
  <c r="B54" i="164"/>
  <c r="B53" i="164"/>
  <c r="B52" i="164"/>
  <c r="B51" i="164"/>
  <c r="B50" i="164"/>
  <c r="B49" i="164"/>
  <c r="B48" i="164"/>
  <c r="B47" i="164"/>
  <c r="B46" i="164"/>
  <c r="B45" i="164"/>
  <c r="B44" i="164"/>
  <c r="B43" i="164"/>
  <c r="B42" i="164"/>
  <c r="B41" i="164"/>
  <c r="B40" i="164"/>
  <c r="A40" i="164"/>
  <c r="A41" i="164" s="1"/>
  <c r="A42" i="164" s="1"/>
  <c r="A43" i="164" s="1"/>
  <c r="A44" i="164" s="1"/>
  <c r="A45" i="164" s="1"/>
  <c r="A46" i="164" s="1"/>
  <c r="A47" i="164" s="1"/>
  <c r="A48" i="164" s="1"/>
  <c r="A49" i="164" s="1"/>
  <c r="A50" i="164" s="1"/>
  <c r="A51" i="164" s="1"/>
  <c r="A52" i="164" s="1"/>
  <c r="A53" i="164" s="1"/>
  <c r="A54" i="164" s="1"/>
  <c r="A55" i="164" s="1"/>
  <c r="A56" i="164" s="1"/>
  <c r="A57" i="164" s="1"/>
  <c r="A58" i="164" s="1"/>
  <c r="A59" i="164" s="1"/>
  <c r="A60" i="164" s="1"/>
  <c r="A61" i="164" s="1"/>
  <c r="A62" i="164" s="1"/>
  <c r="A63" i="164" s="1"/>
  <c r="B39" i="164"/>
  <c r="B38" i="164"/>
  <c r="A31" i="164"/>
  <c r="P15" i="164"/>
  <c r="G13" i="164"/>
  <c r="B13" i="164"/>
  <c r="J12" i="164"/>
  <c r="I12" i="164"/>
  <c r="H12" i="164"/>
  <c r="G12" i="164"/>
  <c r="B12" i="164"/>
  <c r="L6" i="164"/>
  <c r="A5" i="164"/>
  <c r="A32" i="164" s="1"/>
  <c r="B61" i="163"/>
  <c r="B60" i="163"/>
  <c r="B59" i="163"/>
  <c r="B58" i="163"/>
  <c r="B57" i="163"/>
  <c r="B56" i="163"/>
  <c r="B55" i="163"/>
  <c r="B54" i="163"/>
  <c r="B53" i="163"/>
  <c r="B52" i="163"/>
  <c r="B51" i="163"/>
  <c r="B50" i="163"/>
  <c r="B49" i="163"/>
  <c r="B48" i="163"/>
  <c r="B47" i="163"/>
  <c r="B46" i="163"/>
  <c r="B45" i="163"/>
  <c r="B44" i="163"/>
  <c r="B43" i="163"/>
  <c r="B42" i="163"/>
  <c r="B41" i="163"/>
  <c r="B40" i="163"/>
  <c r="A40" i="163"/>
  <c r="A41" i="163" s="1"/>
  <c r="A42" i="163" s="1"/>
  <c r="A43" i="163" s="1"/>
  <c r="A44" i="163" s="1"/>
  <c r="A45" i="163" s="1"/>
  <c r="A46" i="163" s="1"/>
  <c r="A47" i="163" s="1"/>
  <c r="A48" i="163" s="1"/>
  <c r="A49" i="163" s="1"/>
  <c r="A50" i="163" s="1"/>
  <c r="A51" i="163" s="1"/>
  <c r="A52" i="163" s="1"/>
  <c r="A53" i="163" s="1"/>
  <c r="A54" i="163" s="1"/>
  <c r="A55" i="163" s="1"/>
  <c r="A56" i="163" s="1"/>
  <c r="A57" i="163" s="1"/>
  <c r="A58" i="163" s="1"/>
  <c r="A59" i="163" s="1"/>
  <c r="A60" i="163" s="1"/>
  <c r="A61" i="163" s="1"/>
  <c r="A62" i="163" s="1"/>
  <c r="A63" i="163" s="1"/>
  <c r="B39" i="163"/>
  <c r="B38" i="163"/>
  <c r="A31" i="163"/>
  <c r="P15" i="163"/>
  <c r="J13" i="163"/>
  <c r="E143" i="144"/>
  <c r="B13" i="163"/>
  <c r="J12" i="163"/>
  <c r="I12" i="163"/>
  <c r="I15" i="163" s="1"/>
  <c r="H12" i="163"/>
  <c r="H15" i="163" s="1"/>
  <c r="G143" i="144" s="1"/>
  <c r="G12" i="163"/>
  <c r="G15" i="163" s="1"/>
  <c r="F143" i="144" s="1"/>
  <c r="B12" i="163"/>
  <c r="T13" i="163"/>
  <c r="C13" i="163" s="1"/>
  <c r="L6" i="163"/>
  <c r="A5" i="163"/>
  <c r="A32" i="163" s="1"/>
  <c r="L7" i="160"/>
  <c r="E7" i="160" s="1"/>
  <c r="E34" i="160" s="1"/>
  <c r="N6" i="160"/>
  <c r="B61" i="160"/>
  <c r="B60" i="160"/>
  <c r="B59" i="160"/>
  <c r="B58" i="160"/>
  <c r="B57" i="160"/>
  <c r="B56" i="160"/>
  <c r="B55" i="160"/>
  <c r="B54" i="160"/>
  <c r="B53" i="160"/>
  <c r="B52" i="160"/>
  <c r="B51" i="160"/>
  <c r="B50" i="160"/>
  <c r="B49" i="160"/>
  <c r="B48" i="160"/>
  <c r="B47" i="160"/>
  <c r="B46" i="160"/>
  <c r="B45" i="160"/>
  <c r="B44" i="160"/>
  <c r="B43" i="160"/>
  <c r="B42" i="160"/>
  <c r="B41" i="160"/>
  <c r="B40" i="160"/>
  <c r="A40" i="160"/>
  <c r="A41" i="160" s="1"/>
  <c r="A42" i="160" s="1"/>
  <c r="A43" i="160" s="1"/>
  <c r="A44" i="160" s="1"/>
  <c r="A45" i="160" s="1"/>
  <c r="A46" i="160" s="1"/>
  <c r="A47" i="160" s="1"/>
  <c r="A48" i="160" s="1"/>
  <c r="A49" i="160" s="1"/>
  <c r="A50" i="160" s="1"/>
  <c r="A51" i="160" s="1"/>
  <c r="A52" i="160" s="1"/>
  <c r="A53" i="160" s="1"/>
  <c r="A54" i="160" s="1"/>
  <c r="A55" i="160" s="1"/>
  <c r="A56" i="160" s="1"/>
  <c r="A57" i="160" s="1"/>
  <c r="A58" i="160" s="1"/>
  <c r="A59" i="160" s="1"/>
  <c r="A60" i="160" s="1"/>
  <c r="A61" i="160" s="1"/>
  <c r="A62" i="160" s="1"/>
  <c r="A63" i="160" s="1"/>
  <c r="B39" i="160"/>
  <c r="B38" i="160"/>
  <c r="A31" i="160"/>
  <c r="P15" i="160"/>
  <c r="J13" i="160"/>
  <c r="I13" i="160"/>
  <c r="H13" i="160"/>
  <c r="G13" i="160"/>
  <c r="E142" i="144"/>
  <c r="B13" i="160"/>
  <c r="J12" i="160"/>
  <c r="I12" i="160"/>
  <c r="H12" i="160"/>
  <c r="G12" i="160"/>
  <c r="B12" i="160"/>
  <c r="A12" i="160" s="1"/>
  <c r="L6" i="160"/>
  <c r="A5" i="160"/>
  <c r="A32" i="160" s="1"/>
  <c r="L7" i="159"/>
  <c r="E7" i="159" s="1"/>
  <c r="E34" i="159" s="1"/>
  <c r="N6" i="159"/>
  <c r="B61" i="159"/>
  <c r="B60" i="159"/>
  <c r="B59" i="159"/>
  <c r="B58" i="159"/>
  <c r="B57" i="159"/>
  <c r="B56" i="159"/>
  <c r="B55" i="159"/>
  <c r="B54" i="159"/>
  <c r="B53" i="159"/>
  <c r="B52" i="159"/>
  <c r="B51" i="159"/>
  <c r="B50" i="159"/>
  <c r="B49" i="159"/>
  <c r="B48" i="159"/>
  <c r="B47" i="159"/>
  <c r="B46" i="159"/>
  <c r="B45" i="159"/>
  <c r="B44" i="159"/>
  <c r="B43" i="159"/>
  <c r="B42" i="159"/>
  <c r="B41" i="159"/>
  <c r="B40" i="159"/>
  <c r="A40" i="159"/>
  <c r="A41" i="159" s="1"/>
  <c r="A42" i="159" s="1"/>
  <c r="A43" i="159" s="1"/>
  <c r="A44" i="159" s="1"/>
  <c r="A45" i="159" s="1"/>
  <c r="A46" i="159" s="1"/>
  <c r="A47" i="159" s="1"/>
  <c r="A48" i="159" s="1"/>
  <c r="A49" i="159" s="1"/>
  <c r="A50" i="159" s="1"/>
  <c r="A51" i="159" s="1"/>
  <c r="A52" i="159" s="1"/>
  <c r="A53" i="159" s="1"/>
  <c r="A54" i="159" s="1"/>
  <c r="A55" i="159" s="1"/>
  <c r="A56" i="159" s="1"/>
  <c r="A57" i="159" s="1"/>
  <c r="A58" i="159" s="1"/>
  <c r="A59" i="159" s="1"/>
  <c r="A60" i="159" s="1"/>
  <c r="A61" i="159" s="1"/>
  <c r="A62" i="159" s="1"/>
  <c r="A63" i="159" s="1"/>
  <c r="B39" i="159"/>
  <c r="B38" i="159"/>
  <c r="A31" i="159"/>
  <c r="P15" i="159"/>
  <c r="J13" i="159"/>
  <c r="I13" i="159"/>
  <c r="H13" i="159"/>
  <c r="G13" i="159"/>
  <c r="B13" i="159"/>
  <c r="J12" i="159"/>
  <c r="I12" i="159"/>
  <c r="H12" i="159"/>
  <c r="G12" i="159"/>
  <c r="B12" i="159"/>
  <c r="L6" i="159"/>
  <c r="A5" i="159"/>
  <c r="A32" i="159" s="1"/>
  <c r="J15" i="158"/>
  <c r="H15" i="158"/>
  <c r="B15" i="158"/>
  <c r="J14" i="158"/>
  <c r="H14" i="158"/>
  <c r="B14" i="158"/>
  <c r="J13" i="158"/>
  <c r="H13" i="158"/>
  <c r="B13" i="158"/>
  <c r="J15" i="156"/>
  <c r="I15" i="156"/>
  <c r="H15" i="156"/>
  <c r="G15" i="156"/>
  <c r="B15" i="156"/>
  <c r="J14" i="156"/>
  <c r="I14" i="156"/>
  <c r="H14" i="156"/>
  <c r="G14" i="156"/>
  <c r="B14" i="156"/>
  <c r="J13" i="156"/>
  <c r="I13" i="156"/>
  <c r="H13" i="156"/>
  <c r="G13" i="156"/>
  <c r="B13" i="156"/>
  <c r="J15" i="155"/>
  <c r="I15" i="155"/>
  <c r="H15" i="155"/>
  <c r="G15" i="155"/>
  <c r="B15" i="155"/>
  <c r="J14" i="155"/>
  <c r="I14" i="155"/>
  <c r="H14" i="155"/>
  <c r="G14" i="155"/>
  <c r="B14" i="155"/>
  <c r="J13" i="155"/>
  <c r="I13" i="155"/>
  <c r="H13" i="155"/>
  <c r="G13" i="155"/>
  <c r="B13" i="155"/>
  <c r="J15" i="154"/>
  <c r="I15" i="154"/>
  <c r="H15" i="154"/>
  <c r="G15" i="154"/>
  <c r="B15" i="154"/>
  <c r="J14" i="154"/>
  <c r="I14" i="154"/>
  <c r="H14" i="154"/>
  <c r="G14" i="154"/>
  <c r="B14" i="154"/>
  <c r="J13" i="154"/>
  <c r="I13" i="154"/>
  <c r="H13" i="154"/>
  <c r="G13" i="154"/>
  <c r="B13" i="154"/>
  <c r="J17" i="152"/>
  <c r="B17" i="152"/>
  <c r="J16" i="152"/>
  <c r="B16" i="152"/>
  <c r="J15" i="152"/>
  <c r="B15" i="152"/>
  <c r="J15" i="153"/>
  <c r="I15" i="153"/>
  <c r="H15" i="153"/>
  <c r="G15" i="153"/>
  <c r="F15" i="153"/>
  <c r="B15" i="153"/>
  <c r="J14" i="153"/>
  <c r="I14" i="153"/>
  <c r="H14" i="153"/>
  <c r="G14" i="153"/>
  <c r="F14" i="153"/>
  <c r="B14" i="153"/>
  <c r="J13" i="153"/>
  <c r="I13" i="153"/>
  <c r="H13" i="153"/>
  <c r="G13" i="153"/>
  <c r="F13" i="153"/>
  <c r="B13" i="153"/>
  <c r="L7" i="158"/>
  <c r="E7" i="158" s="1"/>
  <c r="E36" i="158" s="1"/>
  <c r="N6" i="158"/>
  <c r="T15" i="158" s="1"/>
  <c r="B63" i="158"/>
  <c r="B62" i="158"/>
  <c r="B61" i="158"/>
  <c r="B60" i="158"/>
  <c r="B59" i="158"/>
  <c r="B58" i="158"/>
  <c r="B57" i="158"/>
  <c r="B56" i="158"/>
  <c r="B55" i="158"/>
  <c r="B54" i="158"/>
  <c r="B53" i="158"/>
  <c r="B52" i="158"/>
  <c r="B51" i="158"/>
  <c r="B50" i="158"/>
  <c r="B49" i="158"/>
  <c r="B48" i="158"/>
  <c r="B47" i="158"/>
  <c r="B46" i="158"/>
  <c r="B45" i="158"/>
  <c r="B44" i="158"/>
  <c r="B43" i="158"/>
  <c r="B42" i="158"/>
  <c r="A42" i="158"/>
  <c r="A43" i="158" s="1"/>
  <c r="A44" i="158" s="1"/>
  <c r="A45" i="158" s="1"/>
  <c r="A46" i="158" s="1"/>
  <c r="A47" i="158" s="1"/>
  <c r="A48" i="158" s="1"/>
  <c r="A49" i="158" s="1"/>
  <c r="A50" i="158" s="1"/>
  <c r="A51" i="158" s="1"/>
  <c r="A52" i="158" s="1"/>
  <c r="A53" i="158" s="1"/>
  <c r="A54" i="158" s="1"/>
  <c r="A55" i="158" s="1"/>
  <c r="A56" i="158" s="1"/>
  <c r="A57" i="158" s="1"/>
  <c r="A58" i="158" s="1"/>
  <c r="A59" i="158" s="1"/>
  <c r="A60" i="158" s="1"/>
  <c r="A61" i="158" s="1"/>
  <c r="A62" i="158" s="1"/>
  <c r="A63" i="158" s="1"/>
  <c r="A64" i="158" s="1"/>
  <c r="A65" i="158" s="1"/>
  <c r="B41" i="158"/>
  <c r="B40" i="158"/>
  <c r="A33" i="158"/>
  <c r="P17" i="158"/>
  <c r="J12" i="158"/>
  <c r="H12" i="158"/>
  <c r="G17" i="158"/>
  <c r="F112" i="144" s="1"/>
  <c r="B12" i="158"/>
  <c r="L6" i="158"/>
  <c r="A5" i="158"/>
  <c r="A34" i="158" s="1"/>
  <c r="L7" i="156"/>
  <c r="E7" i="156" s="1"/>
  <c r="E36" i="156" s="1"/>
  <c r="N6" i="156"/>
  <c r="D40" i="156" s="1"/>
  <c r="D41" i="156" s="1"/>
  <c r="D42" i="156" s="1"/>
  <c r="D43" i="156" s="1"/>
  <c r="D44" i="156" s="1"/>
  <c r="D45" i="156" s="1"/>
  <c r="D46" i="156" s="1"/>
  <c r="D47" i="156" s="1"/>
  <c r="D48" i="156" s="1"/>
  <c r="D49" i="156" s="1"/>
  <c r="D50" i="156" s="1"/>
  <c r="D51" i="156" s="1"/>
  <c r="D52" i="156" s="1"/>
  <c r="D53" i="156" s="1"/>
  <c r="D54" i="156" s="1"/>
  <c r="D55" i="156" s="1"/>
  <c r="D56" i="156" s="1"/>
  <c r="D57" i="156" s="1"/>
  <c r="D58" i="156" s="1"/>
  <c r="D59" i="156" s="1"/>
  <c r="D60" i="156" s="1"/>
  <c r="D61" i="156" s="1"/>
  <c r="D62" i="156" s="1"/>
  <c r="D63" i="156" s="1"/>
  <c r="B63" i="156"/>
  <c r="B62" i="156"/>
  <c r="B61" i="156"/>
  <c r="B60" i="156"/>
  <c r="B59" i="156"/>
  <c r="B58" i="156"/>
  <c r="B57" i="156"/>
  <c r="B56" i="156"/>
  <c r="B55" i="156"/>
  <c r="B54" i="156"/>
  <c r="B53" i="156"/>
  <c r="B52" i="156"/>
  <c r="B51" i="156"/>
  <c r="B50" i="156"/>
  <c r="B49" i="156"/>
  <c r="B48" i="156"/>
  <c r="B47" i="156"/>
  <c r="B46" i="156"/>
  <c r="B45" i="156"/>
  <c r="B44" i="156"/>
  <c r="B43" i="156"/>
  <c r="B42" i="156"/>
  <c r="A42" i="156"/>
  <c r="A43" i="156" s="1"/>
  <c r="A44" i="156" s="1"/>
  <c r="A45" i="156" s="1"/>
  <c r="A46" i="156" s="1"/>
  <c r="A47" i="156" s="1"/>
  <c r="A48" i="156" s="1"/>
  <c r="A49" i="156" s="1"/>
  <c r="A50" i="156" s="1"/>
  <c r="A51" i="156" s="1"/>
  <c r="A52" i="156" s="1"/>
  <c r="A53" i="156" s="1"/>
  <c r="A54" i="156" s="1"/>
  <c r="A55" i="156" s="1"/>
  <c r="A56" i="156" s="1"/>
  <c r="A57" i="156" s="1"/>
  <c r="A58" i="156" s="1"/>
  <c r="A59" i="156" s="1"/>
  <c r="A60" i="156" s="1"/>
  <c r="A61" i="156" s="1"/>
  <c r="A62" i="156" s="1"/>
  <c r="A63" i="156" s="1"/>
  <c r="A64" i="156" s="1"/>
  <c r="A65" i="156" s="1"/>
  <c r="B41" i="156"/>
  <c r="B40" i="156"/>
  <c r="A33" i="156"/>
  <c r="P17" i="156"/>
  <c r="J12" i="156"/>
  <c r="I12" i="156"/>
  <c r="H12" i="156"/>
  <c r="G12" i="156"/>
  <c r="B12" i="156"/>
  <c r="L6" i="156"/>
  <c r="A5" i="156"/>
  <c r="A34" i="156" s="1"/>
  <c r="L7" i="155"/>
  <c r="E7" i="155" s="1"/>
  <c r="E36" i="155" s="1"/>
  <c r="N6" i="155"/>
  <c r="D40" i="155" s="1"/>
  <c r="D41" i="155" s="1"/>
  <c r="D42" i="155" s="1"/>
  <c r="D43" i="155" s="1"/>
  <c r="D44" i="155" s="1"/>
  <c r="D45" i="155" s="1"/>
  <c r="D46" i="155" s="1"/>
  <c r="D47" i="155" s="1"/>
  <c r="D48" i="155" s="1"/>
  <c r="D49" i="155" s="1"/>
  <c r="D50" i="155" s="1"/>
  <c r="D51" i="155" s="1"/>
  <c r="D52" i="155" s="1"/>
  <c r="D53" i="155" s="1"/>
  <c r="D54" i="155" s="1"/>
  <c r="D55" i="155" s="1"/>
  <c r="D56" i="155" s="1"/>
  <c r="D57" i="155" s="1"/>
  <c r="D58" i="155" s="1"/>
  <c r="D59" i="155" s="1"/>
  <c r="D60" i="155" s="1"/>
  <c r="D61" i="155" s="1"/>
  <c r="D62" i="155" s="1"/>
  <c r="D63" i="155" s="1"/>
  <c r="B63" i="155"/>
  <c r="B62" i="155"/>
  <c r="B61" i="155"/>
  <c r="B60" i="155"/>
  <c r="B59" i="155"/>
  <c r="B58" i="155"/>
  <c r="B57" i="155"/>
  <c r="B56" i="155"/>
  <c r="B55" i="155"/>
  <c r="B54" i="155"/>
  <c r="B53" i="155"/>
  <c r="B52" i="155"/>
  <c r="B51" i="155"/>
  <c r="B50" i="155"/>
  <c r="B49" i="155"/>
  <c r="B48" i="155"/>
  <c r="B47" i="155"/>
  <c r="B46" i="155"/>
  <c r="B45" i="155"/>
  <c r="B44" i="155"/>
  <c r="B43" i="155"/>
  <c r="B42" i="155"/>
  <c r="A42" i="155"/>
  <c r="A43" i="155" s="1"/>
  <c r="A44" i="155" s="1"/>
  <c r="A45" i="155" s="1"/>
  <c r="A46" i="155" s="1"/>
  <c r="A47" i="155" s="1"/>
  <c r="A48" i="155" s="1"/>
  <c r="A49" i="155" s="1"/>
  <c r="A50" i="155" s="1"/>
  <c r="A51" i="155" s="1"/>
  <c r="A52" i="155" s="1"/>
  <c r="A53" i="155" s="1"/>
  <c r="A54" i="155" s="1"/>
  <c r="A55" i="155" s="1"/>
  <c r="A56" i="155" s="1"/>
  <c r="A57" i="155" s="1"/>
  <c r="A58" i="155" s="1"/>
  <c r="A59" i="155" s="1"/>
  <c r="A60" i="155" s="1"/>
  <c r="A61" i="155" s="1"/>
  <c r="A62" i="155" s="1"/>
  <c r="A63" i="155" s="1"/>
  <c r="A64" i="155" s="1"/>
  <c r="A65" i="155" s="1"/>
  <c r="B41" i="155"/>
  <c r="B40" i="155"/>
  <c r="A33" i="155"/>
  <c r="P17" i="155"/>
  <c r="J12" i="155"/>
  <c r="I12" i="155"/>
  <c r="H12" i="155"/>
  <c r="G12" i="155"/>
  <c r="B12" i="155"/>
  <c r="L6" i="155"/>
  <c r="A5" i="155"/>
  <c r="A34" i="155" s="1"/>
  <c r="L7" i="154"/>
  <c r="E7" i="154" s="1"/>
  <c r="E36" i="154" s="1"/>
  <c r="N6" i="154"/>
  <c r="B63" i="154"/>
  <c r="B62" i="154"/>
  <c r="B61" i="154"/>
  <c r="B60" i="154"/>
  <c r="B59" i="154"/>
  <c r="B58" i="154"/>
  <c r="B57" i="154"/>
  <c r="B56" i="154"/>
  <c r="B55" i="154"/>
  <c r="B54" i="154"/>
  <c r="B53" i="154"/>
  <c r="B52" i="154"/>
  <c r="B51" i="154"/>
  <c r="B50" i="154"/>
  <c r="B49" i="154"/>
  <c r="B48" i="154"/>
  <c r="B47" i="154"/>
  <c r="B46" i="154"/>
  <c r="B45" i="154"/>
  <c r="B44" i="154"/>
  <c r="B43" i="154"/>
  <c r="B42" i="154"/>
  <c r="A42" i="154"/>
  <c r="A43" i="154" s="1"/>
  <c r="A44" i="154" s="1"/>
  <c r="A45" i="154" s="1"/>
  <c r="A46" i="154" s="1"/>
  <c r="A47" i="154" s="1"/>
  <c r="A48" i="154" s="1"/>
  <c r="A49" i="154" s="1"/>
  <c r="A50" i="154" s="1"/>
  <c r="A51" i="154" s="1"/>
  <c r="A52" i="154" s="1"/>
  <c r="A53" i="154" s="1"/>
  <c r="A54" i="154" s="1"/>
  <c r="A55" i="154" s="1"/>
  <c r="A56" i="154" s="1"/>
  <c r="A57" i="154" s="1"/>
  <c r="A58" i="154" s="1"/>
  <c r="A59" i="154" s="1"/>
  <c r="A60" i="154" s="1"/>
  <c r="A61" i="154" s="1"/>
  <c r="A62" i="154" s="1"/>
  <c r="A63" i="154" s="1"/>
  <c r="A64" i="154" s="1"/>
  <c r="A65" i="154" s="1"/>
  <c r="B41" i="154"/>
  <c r="B40" i="154"/>
  <c r="A33" i="154"/>
  <c r="P17" i="154"/>
  <c r="J12" i="154"/>
  <c r="I12" i="154"/>
  <c r="H12" i="154"/>
  <c r="G12" i="154"/>
  <c r="B12" i="154"/>
  <c r="L6" i="154"/>
  <c r="A5" i="154"/>
  <c r="A34" i="154" s="1"/>
  <c r="G136" i="144" l="1"/>
  <c r="A7" i="170"/>
  <c r="A36" i="170" s="1"/>
  <c r="A17" i="189"/>
  <c r="A7" i="197"/>
  <c r="A52" i="197" s="1"/>
  <c r="H136" i="144"/>
  <c r="H50" i="164"/>
  <c r="H17" i="155"/>
  <c r="H80" i="172"/>
  <c r="H92" i="172" s="1"/>
  <c r="G17" i="155"/>
  <c r="F109" i="144" s="1"/>
  <c r="H47" i="159"/>
  <c r="H63" i="155"/>
  <c r="H43" i="156"/>
  <c r="H60" i="160"/>
  <c r="H40" i="165"/>
  <c r="A16" i="189"/>
  <c r="G17" i="154"/>
  <c r="F108" i="144" s="1"/>
  <c r="I17" i="155"/>
  <c r="H109" i="144" s="1"/>
  <c r="A18" i="189"/>
  <c r="I41" i="171"/>
  <c r="H105" i="144" s="1"/>
  <c r="G13" i="165"/>
  <c r="J17" i="154"/>
  <c r="I108" i="144" s="1"/>
  <c r="A12" i="164"/>
  <c r="G109" i="144"/>
  <c r="G17" i="156"/>
  <c r="F110" i="144" s="1"/>
  <c r="H53" i="163"/>
  <c r="J17" i="156"/>
  <c r="I110" i="144" s="1"/>
  <c r="I15" i="160"/>
  <c r="H142" i="144" s="1"/>
  <c r="H54" i="164"/>
  <c r="H66" i="195"/>
  <c r="H40" i="164"/>
  <c r="H48" i="164"/>
  <c r="A6" i="154"/>
  <c r="A35" i="154" s="1"/>
  <c r="A12" i="155"/>
  <c r="H15" i="160"/>
  <c r="G142" i="144" s="1"/>
  <c r="H42" i="164"/>
  <c r="H67" i="152"/>
  <c r="G15" i="160"/>
  <c r="F142" i="144" s="1"/>
  <c r="H44" i="164"/>
  <c r="H52" i="164"/>
  <c r="A12" i="159"/>
  <c r="J15" i="163"/>
  <c r="I143" i="144" s="1"/>
  <c r="H46" i="164"/>
  <c r="F43" i="172"/>
  <c r="E106" i="144" s="1"/>
  <c r="H66" i="152"/>
  <c r="A7" i="160"/>
  <c r="A34" i="160" s="1"/>
  <c r="H40" i="163"/>
  <c r="H44" i="163"/>
  <c r="H48" i="163"/>
  <c r="H52" i="163"/>
  <c r="H17" i="158"/>
  <c r="G112" i="144" s="1"/>
  <c r="H62" i="160"/>
  <c r="H63" i="160"/>
  <c r="J15" i="160"/>
  <c r="I142" i="144" s="1"/>
  <c r="H40" i="160"/>
  <c r="H44" i="160"/>
  <c r="H50" i="160"/>
  <c r="H54" i="160"/>
  <c r="A6" i="160"/>
  <c r="A33" i="160" s="1"/>
  <c r="H39" i="163"/>
  <c r="H61" i="163"/>
  <c r="H62" i="164"/>
  <c r="H63" i="164"/>
  <c r="H57" i="164"/>
  <c r="H61" i="164"/>
  <c r="D64" i="170"/>
  <c r="D65" i="170"/>
  <c r="A7" i="191"/>
  <c r="A34" i="191" s="1"/>
  <c r="H131" i="144"/>
  <c r="H17" i="156"/>
  <c r="G110" i="144" s="1"/>
  <c r="H65" i="158"/>
  <c r="H64" i="158"/>
  <c r="H39" i="160"/>
  <c r="H57" i="160"/>
  <c r="A13" i="163"/>
  <c r="H41" i="163"/>
  <c r="H45" i="163"/>
  <c r="H49" i="163"/>
  <c r="G15" i="164"/>
  <c r="F144" i="144" s="1"/>
  <c r="A13" i="164"/>
  <c r="H41" i="164"/>
  <c r="H45" i="164"/>
  <c r="H49" i="164"/>
  <c r="H53" i="164"/>
  <c r="D88" i="171"/>
  <c r="D89" i="171"/>
  <c r="A7" i="189"/>
  <c r="A52" i="189" s="1"/>
  <c r="H119" i="144"/>
  <c r="H90" i="171"/>
  <c r="A7" i="168"/>
  <c r="A36" i="168" s="1"/>
  <c r="H115" i="144"/>
  <c r="H58" i="160"/>
  <c r="H38" i="163"/>
  <c r="H62" i="163"/>
  <c r="H63" i="163"/>
  <c r="H42" i="163"/>
  <c r="H46" i="163"/>
  <c r="H50" i="163"/>
  <c r="H54" i="163"/>
  <c r="A6" i="164"/>
  <c r="A33" i="164" s="1"/>
  <c r="D65" i="168"/>
  <c r="D64" i="168"/>
  <c r="D64" i="169"/>
  <c r="D65" i="169"/>
  <c r="A7" i="190"/>
  <c r="A52" i="190" s="1"/>
  <c r="H122" i="144"/>
  <c r="H65" i="155"/>
  <c r="H64" i="155"/>
  <c r="T13" i="154"/>
  <c r="C13" i="154" s="1"/>
  <c r="H42" i="160"/>
  <c r="H46" i="160"/>
  <c r="H48" i="160"/>
  <c r="H52" i="160"/>
  <c r="H57" i="163"/>
  <c r="H59" i="163"/>
  <c r="H39" i="164"/>
  <c r="H59" i="164"/>
  <c r="H66" i="169"/>
  <c r="A19" i="211"/>
  <c r="H17" i="154"/>
  <c r="G108" i="144" s="1"/>
  <c r="D64" i="156"/>
  <c r="D65" i="156"/>
  <c r="T12" i="156"/>
  <c r="C12" i="156" s="1"/>
  <c r="H45" i="159"/>
  <c r="H62" i="159"/>
  <c r="H63" i="159"/>
  <c r="H59" i="160"/>
  <c r="H43" i="163"/>
  <c r="H47" i="163"/>
  <c r="H51" i="163"/>
  <c r="H55" i="163"/>
  <c r="H43" i="164"/>
  <c r="H47" i="164"/>
  <c r="H51" i="164"/>
  <c r="H55" i="164"/>
  <c r="A12" i="165"/>
  <c r="H62" i="165"/>
  <c r="H63" i="165"/>
  <c r="D62" i="165"/>
  <c r="D63" i="165"/>
  <c r="H63" i="154"/>
  <c r="H64" i="154"/>
  <c r="H65" i="154"/>
  <c r="I17" i="154"/>
  <c r="D64" i="155"/>
  <c r="D65" i="155"/>
  <c r="H64" i="156"/>
  <c r="H65" i="156"/>
  <c r="H49" i="156"/>
  <c r="H61" i="159"/>
  <c r="A13" i="160"/>
  <c r="H41" i="160"/>
  <c r="H43" i="160"/>
  <c r="H45" i="160"/>
  <c r="H47" i="160"/>
  <c r="H49" i="160"/>
  <c r="H51" i="160"/>
  <c r="H53" i="160"/>
  <c r="H55" i="160"/>
  <c r="A12" i="163"/>
  <c r="A7" i="163"/>
  <c r="A34" i="163" s="1"/>
  <c r="H143" i="144"/>
  <c r="H58" i="163"/>
  <c r="H60" i="163"/>
  <c r="H58" i="164"/>
  <c r="H60" i="164"/>
  <c r="D69" i="167"/>
  <c r="D68" i="167"/>
  <c r="A7" i="169"/>
  <c r="A36" i="169" s="1"/>
  <c r="D90" i="172"/>
  <c r="D91" i="172"/>
  <c r="D91" i="173"/>
  <c r="D90" i="173"/>
  <c r="A21" i="210"/>
  <c r="B20" i="211"/>
  <c r="Q21" i="211"/>
  <c r="H66" i="170"/>
  <c r="H66" i="168"/>
  <c r="F99" i="145"/>
  <c r="H63" i="215"/>
  <c r="H47" i="214"/>
  <c r="H39" i="214"/>
  <c r="H49" i="214"/>
  <c r="H41" i="214"/>
  <c r="H53" i="214"/>
  <c r="H38" i="214"/>
  <c r="F152" i="145" s="1"/>
  <c r="H61" i="214"/>
  <c r="H55" i="214"/>
  <c r="H51" i="214"/>
  <c r="H59" i="214"/>
  <c r="H57" i="214"/>
  <c r="H45" i="214"/>
  <c r="H43" i="214"/>
  <c r="H44" i="214"/>
  <c r="H58" i="214"/>
  <c r="H52" i="214"/>
  <c r="H54" i="214"/>
  <c r="H48" i="214"/>
  <c r="H50" i="214"/>
  <c r="H46" i="214"/>
  <c r="H60" i="214"/>
  <c r="H42" i="214"/>
  <c r="H56" i="214"/>
  <c r="H40" i="214"/>
  <c r="T12" i="158"/>
  <c r="C12" i="158" s="1"/>
  <c r="T13" i="158"/>
  <c r="C13" i="158" s="1"/>
  <c r="A6" i="158"/>
  <c r="A35" i="158" s="1"/>
  <c r="T14" i="158"/>
  <c r="T13" i="156"/>
  <c r="C13" i="156" s="1"/>
  <c r="T14" i="156"/>
  <c r="C14" i="156" s="1"/>
  <c r="A6" i="156"/>
  <c r="A35" i="156" s="1"/>
  <c r="T15" i="156"/>
  <c r="T15" i="155"/>
  <c r="C15" i="155" s="1"/>
  <c r="T12" i="155"/>
  <c r="C12" i="155" s="1"/>
  <c r="T13" i="155"/>
  <c r="C13" i="155" s="1"/>
  <c r="T14" i="155"/>
  <c r="T12" i="154"/>
  <c r="C12" i="154" s="1"/>
  <c r="T15" i="154"/>
  <c r="C15" i="154" s="1"/>
  <c r="T14" i="154"/>
  <c r="C14" i="154" s="1"/>
  <c r="B57" i="211"/>
  <c r="Q58" i="211"/>
  <c r="B86" i="210"/>
  <c r="B22" i="210"/>
  <c r="Q23" i="210"/>
  <c r="Q17" i="190"/>
  <c r="B16" i="190"/>
  <c r="A15" i="190"/>
  <c r="Q25" i="190"/>
  <c r="B24" i="190"/>
  <c r="B19" i="189"/>
  <c r="F107" i="144"/>
  <c r="J43" i="173"/>
  <c r="I107" i="144" s="1"/>
  <c r="I43" i="172"/>
  <c r="G43" i="172"/>
  <c r="F106" i="144" s="1"/>
  <c r="H43" i="173"/>
  <c r="G107" i="144" s="1"/>
  <c r="E107" i="144"/>
  <c r="I43" i="173"/>
  <c r="H80" i="173"/>
  <c r="H92" i="173" s="1"/>
  <c r="J43" i="172"/>
  <c r="I106" i="144" s="1"/>
  <c r="H43" i="172"/>
  <c r="G106" i="144" s="1"/>
  <c r="F15" i="165"/>
  <c r="J13" i="165"/>
  <c r="J15" i="165" s="1"/>
  <c r="I145" i="144" s="1"/>
  <c r="H15" i="165"/>
  <c r="G145" i="144" s="1"/>
  <c r="I13" i="165"/>
  <c r="I15" i="165" s="1"/>
  <c r="G15" i="165"/>
  <c r="F145" i="144" s="1"/>
  <c r="A6" i="165"/>
  <c r="A33" i="165" s="1"/>
  <c r="T13" i="165"/>
  <c r="C13" i="165" s="1"/>
  <c r="T12" i="165"/>
  <c r="C12" i="165" s="1"/>
  <c r="A13" i="165"/>
  <c r="H38" i="165"/>
  <c r="H39" i="165"/>
  <c r="H41" i="165"/>
  <c r="H42" i="165"/>
  <c r="H43" i="165"/>
  <c r="H44" i="165"/>
  <c r="H45" i="165"/>
  <c r="H46" i="165"/>
  <c r="H47" i="165"/>
  <c r="H48" i="165"/>
  <c r="H49" i="165"/>
  <c r="H50" i="165"/>
  <c r="H51" i="165"/>
  <c r="H52" i="165"/>
  <c r="H53" i="165"/>
  <c r="H54" i="165"/>
  <c r="H55" i="165"/>
  <c r="H57" i="165"/>
  <c r="H58" i="165"/>
  <c r="H59" i="165"/>
  <c r="H60" i="165"/>
  <c r="H61" i="165"/>
  <c r="E144" i="144"/>
  <c r="J13" i="164"/>
  <c r="J15" i="164" s="1"/>
  <c r="I144" i="144" s="1"/>
  <c r="I13" i="164"/>
  <c r="I15" i="164" s="1"/>
  <c r="H15" i="164"/>
  <c r="G144" i="144" s="1"/>
  <c r="D38" i="164"/>
  <c r="D39" i="164" s="1"/>
  <c r="D40" i="164" s="1"/>
  <c r="D41" i="164" s="1"/>
  <c r="D42" i="164" s="1"/>
  <c r="D43" i="164" s="1"/>
  <c r="D44" i="164" s="1"/>
  <c r="D45" i="164" s="1"/>
  <c r="D46" i="164" s="1"/>
  <c r="D47" i="164" s="1"/>
  <c r="D48" i="164" s="1"/>
  <c r="D49" i="164" s="1"/>
  <c r="D50" i="164" s="1"/>
  <c r="D51" i="164" s="1"/>
  <c r="D52" i="164" s="1"/>
  <c r="D53" i="164" s="1"/>
  <c r="D54" i="164" s="1"/>
  <c r="D55" i="164" s="1"/>
  <c r="D56" i="164" s="1"/>
  <c r="D57" i="164" s="1"/>
  <c r="D58" i="164" s="1"/>
  <c r="D59" i="164" s="1"/>
  <c r="D60" i="164" s="1"/>
  <c r="D61" i="164" s="1"/>
  <c r="T12" i="164"/>
  <c r="C12" i="164" s="1"/>
  <c r="H38" i="164"/>
  <c r="T13" i="164"/>
  <c r="C13" i="164" s="1"/>
  <c r="D38" i="163"/>
  <c r="D39" i="163" s="1"/>
  <c r="D40" i="163" s="1"/>
  <c r="D41" i="163" s="1"/>
  <c r="D42" i="163" s="1"/>
  <c r="D43" i="163" s="1"/>
  <c r="D44" i="163" s="1"/>
  <c r="D45" i="163" s="1"/>
  <c r="D46" i="163" s="1"/>
  <c r="D47" i="163" s="1"/>
  <c r="D48" i="163" s="1"/>
  <c r="D49" i="163" s="1"/>
  <c r="D50" i="163" s="1"/>
  <c r="D51" i="163" s="1"/>
  <c r="D52" i="163" s="1"/>
  <c r="D53" i="163" s="1"/>
  <c r="D54" i="163" s="1"/>
  <c r="D55" i="163" s="1"/>
  <c r="D56" i="163" s="1"/>
  <c r="D57" i="163" s="1"/>
  <c r="D58" i="163" s="1"/>
  <c r="D59" i="163" s="1"/>
  <c r="D60" i="163" s="1"/>
  <c r="D61" i="163" s="1"/>
  <c r="A6" i="163"/>
  <c r="A33" i="163" s="1"/>
  <c r="T12" i="163"/>
  <c r="C12" i="163" s="1"/>
  <c r="H56" i="163"/>
  <c r="T12" i="160"/>
  <c r="C12" i="160" s="1"/>
  <c r="H38" i="160"/>
  <c r="H56" i="160"/>
  <c r="H61" i="160"/>
  <c r="T13" i="160"/>
  <c r="C13" i="160" s="1"/>
  <c r="D38" i="160"/>
  <c r="D39" i="160" s="1"/>
  <c r="D40" i="160" s="1"/>
  <c r="D41" i="160" s="1"/>
  <c r="D42" i="160" s="1"/>
  <c r="D43" i="160" s="1"/>
  <c r="D44" i="160" s="1"/>
  <c r="D45" i="160" s="1"/>
  <c r="D46" i="160" s="1"/>
  <c r="D47" i="160" s="1"/>
  <c r="D48" i="160" s="1"/>
  <c r="D49" i="160" s="1"/>
  <c r="D50" i="160" s="1"/>
  <c r="D51" i="160" s="1"/>
  <c r="D52" i="160" s="1"/>
  <c r="D53" i="160" s="1"/>
  <c r="D54" i="160" s="1"/>
  <c r="D55" i="160" s="1"/>
  <c r="D56" i="160" s="1"/>
  <c r="D57" i="160" s="1"/>
  <c r="D58" i="160" s="1"/>
  <c r="D59" i="160" s="1"/>
  <c r="D60" i="160" s="1"/>
  <c r="D61" i="160" s="1"/>
  <c r="H43" i="159"/>
  <c r="H15" i="159"/>
  <c r="G140" i="144" s="1"/>
  <c r="A6" i="159"/>
  <c r="A33" i="159" s="1"/>
  <c r="I15" i="159"/>
  <c r="E140" i="144"/>
  <c r="J15" i="159"/>
  <c r="I140" i="144" s="1"/>
  <c r="H41" i="159"/>
  <c r="H49" i="159"/>
  <c r="G15" i="159"/>
  <c r="F140" i="144" s="1"/>
  <c r="H40" i="159"/>
  <c r="H44" i="159"/>
  <c r="H46" i="159"/>
  <c r="H48" i="159"/>
  <c r="H50" i="159"/>
  <c r="H52" i="159"/>
  <c r="H54" i="159"/>
  <c r="H56" i="159"/>
  <c r="H42" i="159"/>
  <c r="A13" i="159"/>
  <c r="H60" i="159"/>
  <c r="H51" i="159"/>
  <c r="H53" i="159"/>
  <c r="H55" i="159"/>
  <c r="H57" i="159"/>
  <c r="H39" i="159"/>
  <c r="H59" i="159"/>
  <c r="D38" i="159"/>
  <c r="D39" i="159" s="1"/>
  <c r="D40" i="159" s="1"/>
  <c r="D41" i="159" s="1"/>
  <c r="D42" i="159" s="1"/>
  <c r="D43" i="159" s="1"/>
  <c r="D44" i="159" s="1"/>
  <c r="D45" i="159" s="1"/>
  <c r="D46" i="159" s="1"/>
  <c r="D47" i="159" s="1"/>
  <c r="D48" i="159" s="1"/>
  <c r="D49" i="159" s="1"/>
  <c r="D50" i="159" s="1"/>
  <c r="D51" i="159" s="1"/>
  <c r="D52" i="159" s="1"/>
  <c r="D53" i="159" s="1"/>
  <c r="D54" i="159" s="1"/>
  <c r="D55" i="159" s="1"/>
  <c r="D56" i="159" s="1"/>
  <c r="D57" i="159" s="1"/>
  <c r="D58" i="159" s="1"/>
  <c r="D59" i="159" s="1"/>
  <c r="D60" i="159" s="1"/>
  <c r="D61" i="159" s="1"/>
  <c r="T12" i="159"/>
  <c r="C12" i="159" s="1"/>
  <c r="H38" i="159"/>
  <c r="H58" i="159"/>
  <c r="T13" i="159"/>
  <c r="C13" i="159" s="1"/>
  <c r="I17" i="158"/>
  <c r="J17" i="158"/>
  <c r="I112" i="144" s="1"/>
  <c r="C14" i="155"/>
  <c r="C15" i="158"/>
  <c r="C14" i="158"/>
  <c r="C15" i="156"/>
  <c r="H42" i="158"/>
  <c r="H43" i="154"/>
  <c r="H59" i="156"/>
  <c r="H45" i="154"/>
  <c r="A13" i="158"/>
  <c r="A14" i="158"/>
  <c r="A15" i="158"/>
  <c r="H44" i="158"/>
  <c r="H48" i="158"/>
  <c r="H54" i="158"/>
  <c r="H40" i="158"/>
  <c r="H45" i="158"/>
  <c r="H49" i="158"/>
  <c r="H51" i="158"/>
  <c r="H55" i="158"/>
  <c r="H43" i="158"/>
  <c r="H47" i="158"/>
  <c r="H53" i="158"/>
  <c r="A12" i="158"/>
  <c r="H41" i="158"/>
  <c r="H46" i="158"/>
  <c r="H50" i="158"/>
  <c r="H52" i="158"/>
  <c r="H56" i="158"/>
  <c r="A13" i="156"/>
  <c r="A15" i="156"/>
  <c r="A14" i="156"/>
  <c r="I17" i="156"/>
  <c r="H45" i="156"/>
  <c r="H47" i="156"/>
  <c r="H41" i="156"/>
  <c r="H61" i="156"/>
  <c r="H63" i="156"/>
  <c r="H44" i="156"/>
  <c r="H48" i="156"/>
  <c r="H50" i="156"/>
  <c r="H52" i="156"/>
  <c r="H54" i="156"/>
  <c r="H56" i="156"/>
  <c r="H58" i="156"/>
  <c r="H42" i="156"/>
  <c r="H46" i="156"/>
  <c r="A12" i="156"/>
  <c r="H40" i="156"/>
  <c r="F110" i="145" s="1"/>
  <c r="H62" i="156"/>
  <c r="H51" i="156"/>
  <c r="H53" i="156"/>
  <c r="H55" i="156"/>
  <c r="H57" i="156"/>
  <c r="A14" i="155"/>
  <c r="H41" i="155"/>
  <c r="A13" i="155"/>
  <c r="A15" i="155"/>
  <c r="J17" i="155"/>
  <c r="I109" i="144" s="1"/>
  <c r="H59" i="155"/>
  <c r="H61" i="155"/>
  <c r="H44" i="155"/>
  <c r="H46" i="155"/>
  <c r="H48" i="155"/>
  <c r="H50" i="155"/>
  <c r="H52" i="155"/>
  <c r="H54" i="155"/>
  <c r="H56" i="155"/>
  <c r="H58" i="155"/>
  <c r="H42" i="155"/>
  <c r="H40" i="155"/>
  <c r="F109" i="145" s="1"/>
  <c r="H62" i="155"/>
  <c r="H43" i="155"/>
  <c r="H45" i="155"/>
  <c r="H47" i="155"/>
  <c r="H49" i="155"/>
  <c r="H51" i="155"/>
  <c r="H53" i="155"/>
  <c r="H55" i="155"/>
  <c r="H57" i="155"/>
  <c r="H42" i="154"/>
  <c r="H48" i="154"/>
  <c r="H44" i="154"/>
  <c r="H46" i="154"/>
  <c r="A12" i="154"/>
  <c r="H49" i="154"/>
  <c r="A13" i="154"/>
  <c r="A15" i="154"/>
  <c r="H47" i="154"/>
  <c r="A14" i="154"/>
  <c r="H50" i="154"/>
  <c r="H52" i="154"/>
  <c r="H54" i="154"/>
  <c r="H56" i="154"/>
  <c r="H58" i="154"/>
  <c r="H40" i="154"/>
  <c r="F108" i="145" s="1"/>
  <c r="H62" i="154"/>
  <c r="H51" i="154"/>
  <c r="H53" i="154"/>
  <c r="H55" i="154"/>
  <c r="H57" i="154"/>
  <c r="H59" i="154"/>
  <c r="H41" i="154"/>
  <c r="H61" i="154"/>
  <c r="H57" i="158"/>
  <c r="H58" i="158"/>
  <c r="H59" i="158"/>
  <c r="H60" i="158"/>
  <c r="H61" i="158"/>
  <c r="H62" i="158"/>
  <c r="H63" i="158"/>
  <c r="D40" i="158"/>
  <c r="D41" i="158" s="1"/>
  <c r="D42" i="158" s="1"/>
  <c r="D43" i="158" s="1"/>
  <c r="D44" i="158" s="1"/>
  <c r="D45" i="158" s="1"/>
  <c r="D46" i="158" s="1"/>
  <c r="D47" i="158" s="1"/>
  <c r="D48" i="158" s="1"/>
  <c r="D49" i="158" s="1"/>
  <c r="D50" i="158" s="1"/>
  <c r="D51" i="158" s="1"/>
  <c r="D52" i="158" s="1"/>
  <c r="D53" i="158" s="1"/>
  <c r="D54" i="158" s="1"/>
  <c r="D55" i="158" s="1"/>
  <c r="D56" i="158" s="1"/>
  <c r="D57" i="158" s="1"/>
  <c r="D58" i="158" s="1"/>
  <c r="D59" i="158" s="1"/>
  <c r="D60" i="158" s="1"/>
  <c r="D61" i="158" s="1"/>
  <c r="D62" i="158" s="1"/>
  <c r="D63" i="158" s="1"/>
  <c r="H60" i="156"/>
  <c r="A6" i="155"/>
  <c r="A35" i="155" s="1"/>
  <c r="H60" i="155"/>
  <c r="D40" i="154"/>
  <c r="D41" i="154" s="1"/>
  <c r="D42" i="154" s="1"/>
  <c r="D43" i="154" s="1"/>
  <c r="D44" i="154" s="1"/>
  <c r="D45" i="154" s="1"/>
  <c r="D46" i="154" s="1"/>
  <c r="D47" i="154" s="1"/>
  <c r="D48" i="154" s="1"/>
  <c r="D49" i="154" s="1"/>
  <c r="D50" i="154" s="1"/>
  <c r="D51" i="154" s="1"/>
  <c r="D52" i="154" s="1"/>
  <c r="D53" i="154" s="1"/>
  <c r="D54" i="154" s="1"/>
  <c r="D55" i="154" s="1"/>
  <c r="D56" i="154" s="1"/>
  <c r="D57" i="154" s="1"/>
  <c r="D58" i="154" s="1"/>
  <c r="D59" i="154" s="1"/>
  <c r="D60" i="154" s="1"/>
  <c r="D61" i="154" s="1"/>
  <c r="D62" i="154" s="1"/>
  <c r="D63" i="154" s="1"/>
  <c r="H60" i="154"/>
  <c r="L7" i="153"/>
  <c r="E7" i="153" s="1"/>
  <c r="E36" i="153" s="1"/>
  <c r="N6" i="153"/>
  <c r="B63" i="153"/>
  <c r="B62" i="153"/>
  <c r="B61" i="153"/>
  <c r="B60" i="153"/>
  <c r="B59" i="153"/>
  <c r="B58" i="153"/>
  <c r="B57" i="153"/>
  <c r="B56" i="153"/>
  <c r="B55" i="153"/>
  <c r="B54" i="153"/>
  <c r="B53" i="153"/>
  <c r="B52" i="153"/>
  <c r="B51" i="153"/>
  <c r="B50" i="153"/>
  <c r="B49" i="153"/>
  <c r="B48" i="153"/>
  <c r="B47" i="153"/>
  <c r="B46" i="153"/>
  <c r="B45" i="153"/>
  <c r="B44" i="153"/>
  <c r="B43" i="153"/>
  <c r="B42" i="153"/>
  <c r="A42" i="153"/>
  <c r="A43" i="153" s="1"/>
  <c r="A44" i="153" s="1"/>
  <c r="A45" i="153" s="1"/>
  <c r="A46" i="153" s="1"/>
  <c r="A47" i="153" s="1"/>
  <c r="A48" i="153" s="1"/>
  <c r="A49" i="153" s="1"/>
  <c r="A50" i="153" s="1"/>
  <c r="A51" i="153" s="1"/>
  <c r="A52" i="153" s="1"/>
  <c r="A53" i="153" s="1"/>
  <c r="A54" i="153" s="1"/>
  <c r="A55" i="153" s="1"/>
  <c r="A56" i="153" s="1"/>
  <c r="A57" i="153" s="1"/>
  <c r="A58" i="153" s="1"/>
  <c r="A59" i="153" s="1"/>
  <c r="A60" i="153" s="1"/>
  <c r="A61" i="153" s="1"/>
  <c r="A62" i="153" s="1"/>
  <c r="A63" i="153" s="1"/>
  <c r="A64" i="153" s="1"/>
  <c r="A65" i="153" s="1"/>
  <c r="B41" i="153"/>
  <c r="B40" i="153"/>
  <c r="A33" i="153"/>
  <c r="P17" i="153"/>
  <c r="J12" i="153"/>
  <c r="J17" i="153" s="1"/>
  <c r="I101" i="144" s="1"/>
  <c r="I12" i="153"/>
  <c r="I17" i="153" s="1"/>
  <c r="H12" i="153"/>
  <c r="H17" i="153" s="1"/>
  <c r="G101" i="144" s="1"/>
  <c r="G12" i="153"/>
  <c r="G17" i="153" s="1"/>
  <c r="F101" i="144" s="1"/>
  <c r="F12" i="153"/>
  <c r="B12" i="153"/>
  <c r="H53" i="153" s="1"/>
  <c r="L6" i="153"/>
  <c r="A5" i="153"/>
  <c r="A34" i="153" s="1"/>
  <c r="L7" i="152"/>
  <c r="N6" i="152"/>
  <c r="T14" i="152" s="1"/>
  <c r="C14" i="152" s="1"/>
  <c r="AF36" i="145"/>
  <c r="AF38" i="145"/>
  <c r="AF39" i="145"/>
  <c r="AF40" i="145"/>
  <c r="AF41" i="145"/>
  <c r="AF42" i="145"/>
  <c r="AF43" i="145"/>
  <c r="AF44" i="145"/>
  <c r="AF45" i="145"/>
  <c r="AF46" i="145"/>
  <c r="AF47" i="145"/>
  <c r="AF51" i="145"/>
  <c r="AF52" i="145"/>
  <c r="AF53" i="145"/>
  <c r="AF54" i="145"/>
  <c r="AF55" i="145"/>
  <c r="AF56" i="145"/>
  <c r="AF57" i="145"/>
  <c r="AF59" i="145"/>
  <c r="AF61" i="145"/>
  <c r="AF62" i="145"/>
  <c r="AF63" i="145"/>
  <c r="AF64" i="145"/>
  <c r="AF65" i="145"/>
  <c r="AF66" i="145"/>
  <c r="AF68" i="145"/>
  <c r="AF69" i="145"/>
  <c r="AF70" i="145"/>
  <c r="AF71" i="145"/>
  <c r="AF72" i="145"/>
  <c r="AF73" i="145"/>
  <c r="AF74" i="145"/>
  <c r="AF75" i="145"/>
  <c r="AF76" i="145"/>
  <c r="AF77" i="145"/>
  <c r="AF78" i="145"/>
  <c r="AF79" i="145"/>
  <c r="AF80" i="145"/>
  <c r="AF82" i="145"/>
  <c r="AF83" i="145"/>
  <c r="AF84" i="145"/>
  <c r="AF85" i="145"/>
  <c r="AF86" i="145"/>
  <c r="AF87" i="145"/>
  <c r="AF88" i="145"/>
  <c r="AF89" i="145"/>
  <c r="AF90" i="145"/>
  <c r="AF91" i="145"/>
  <c r="AF92" i="145"/>
  <c r="AF94" i="145"/>
  <c r="AF96" i="145"/>
  <c r="AF97" i="145"/>
  <c r="AF98" i="145"/>
  <c r="AF100" i="145"/>
  <c r="AF103" i="145"/>
  <c r="AF104" i="145"/>
  <c r="AF117" i="145"/>
  <c r="AF118" i="145"/>
  <c r="AF120" i="145"/>
  <c r="AF127" i="145"/>
  <c r="AF129" i="145"/>
  <c r="AF130" i="145"/>
  <c r="AF132" i="145"/>
  <c r="AF133" i="145"/>
  <c r="AF134" i="145"/>
  <c r="AF139" i="145"/>
  <c r="AF141" i="145"/>
  <c r="AF146" i="145"/>
  <c r="AF149" i="145"/>
  <c r="AF150" i="145"/>
  <c r="AF157" i="145"/>
  <c r="AF158" i="145"/>
  <c r="AF164" i="145"/>
  <c r="AF168" i="145"/>
  <c r="AF170" i="145"/>
  <c r="AF171" i="145"/>
  <c r="AF176" i="145"/>
  <c r="AF179" i="145"/>
  <c r="AF180" i="145"/>
  <c r="H56" i="165" l="1"/>
  <c r="A7" i="155"/>
  <c r="A36" i="155" s="1"/>
  <c r="A7" i="171"/>
  <c r="A60" i="171" s="1"/>
  <c r="H47" i="153"/>
  <c r="A12" i="153"/>
  <c r="H43" i="153"/>
  <c r="H49" i="153"/>
  <c r="H41" i="153"/>
  <c r="H56" i="164"/>
  <c r="H64" i="164" s="1"/>
  <c r="H45" i="153"/>
  <c r="H51" i="153"/>
  <c r="H42" i="153"/>
  <c r="H44" i="153"/>
  <c r="H46" i="153"/>
  <c r="H48" i="153"/>
  <c r="H50" i="153"/>
  <c r="H52" i="153"/>
  <c r="D65" i="158"/>
  <c r="D64" i="158"/>
  <c r="F140" i="145"/>
  <c r="H64" i="159"/>
  <c r="D63" i="164"/>
  <c r="D62" i="164"/>
  <c r="A7" i="173"/>
  <c r="A62" i="173" s="1"/>
  <c r="H107" i="144"/>
  <c r="A7" i="172"/>
  <c r="A62" i="172" s="1"/>
  <c r="H106" i="144"/>
  <c r="B21" i="211"/>
  <c r="Q22" i="211"/>
  <c r="H66" i="154"/>
  <c r="H64" i="153"/>
  <c r="H65" i="153"/>
  <c r="A7" i="153"/>
  <c r="A36" i="153" s="1"/>
  <c r="H101" i="144"/>
  <c r="F112" i="145"/>
  <c r="H66" i="158"/>
  <c r="A7" i="158"/>
  <c r="A36" i="158" s="1"/>
  <c r="H112" i="144"/>
  <c r="A7" i="159"/>
  <c r="A34" i="159" s="1"/>
  <c r="H140" i="144"/>
  <c r="A7" i="165"/>
  <c r="A34" i="165" s="1"/>
  <c r="H145" i="144"/>
  <c r="A20" i="211"/>
  <c r="D64" i="154"/>
  <c r="D65" i="154"/>
  <c r="A7" i="156"/>
  <c r="A36" i="156" s="1"/>
  <c r="H110" i="144"/>
  <c r="D62" i="159"/>
  <c r="D63" i="159"/>
  <c r="D62" i="160"/>
  <c r="D63" i="160"/>
  <c r="F142" i="145"/>
  <c r="H64" i="160"/>
  <c r="F144" i="145"/>
  <c r="A7" i="164"/>
  <c r="A34" i="164" s="1"/>
  <c r="H144" i="144"/>
  <c r="H66" i="156"/>
  <c r="A7" i="154"/>
  <c r="A36" i="154" s="1"/>
  <c r="H108" i="144"/>
  <c r="D63" i="163"/>
  <c r="D62" i="163"/>
  <c r="F145" i="145"/>
  <c r="H64" i="165"/>
  <c r="A16" i="190"/>
  <c r="H66" i="155"/>
  <c r="F143" i="145"/>
  <c r="H64" i="163"/>
  <c r="H64" i="214"/>
  <c r="T12" i="153"/>
  <c r="C12" i="153" s="1"/>
  <c r="T13" i="153"/>
  <c r="C13" i="153" s="1"/>
  <c r="T14" i="153"/>
  <c r="T15" i="153"/>
  <c r="C15" i="153" s="1"/>
  <c r="Q59" i="211"/>
  <c r="B58" i="211"/>
  <c r="Q88" i="210"/>
  <c r="B87" i="210"/>
  <c r="A22" i="210"/>
  <c r="Q24" i="210"/>
  <c r="B23" i="210"/>
  <c r="A23" i="210" s="1"/>
  <c r="Q18" i="190"/>
  <c r="B17" i="190"/>
  <c r="Q26" i="190"/>
  <c r="B25" i="190"/>
  <c r="B20" i="189"/>
  <c r="A19" i="189"/>
  <c r="T13" i="152"/>
  <c r="T12" i="152"/>
  <c r="T16" i="152"/>
  <c r="C16" i="152" s="1"/>
  <c r="T17" i="152"/>
  <c r="C17" i="152" s="1"/>
  <c r="T15" i="152"/>
  <c r="C15" i="152" s="1"/>
  <c r="C14" i="153"/>
  <c r="A13" i="153"/>
  <c r="A14" i="153"/>
  <c r="A15" i="153"/>
  <c r="A6" i="153"/>
  <c r="A35" i="153" s="1"/>
  <c r="H40" i="153"/>
  <c r="F101" i="145" s="1"/>
  <c r="D40" i="153"/>
  <c r="D41" i="153" s="1"/>
  <c r="D42" i="153" s="1"/>
  <c r="D43" i="153" s="1"/>
  <c r="D44" i="153" s="1"/>
  <c r="D45" i="153" s="1"/>
  <c r="D46" i="153" s="1"/>
  <c r="D47" i="153" s="1"/>
  <c r="D48" i="153" s="1"/>
  <c r="D49" i="153" s="1"/>
  <c r="D50" i="153" s="1"/>
  <c r="D51" i="153" s="1"/>
  <c r="D52" i="153" s="1"/>
  <c r="D53" i="153" s="1"/>
  <c r="D54" i="153" s="1"/>
  <c r="D55" i="153" s="1"/>
  <c r="D56" i="153" s="1"/>
  <c r="D57" i="153" s="1"/>
  <c r="D58" i="153" s="1"/>
  <c r="D59" i="153" s="1"/>
  <c r="D60" i="153" s="1"/>
  <c r="D61" i="153" s="1"/>
  <c r="D62" i="153" s="1"/>
  <c r="D63" i="153" s="1"/>
  <c r="H54" i="153"/>
  <c r="H55" i="153"/>
  <c r="H56" i="153"/>
  <c r="H57" i="153"/>
  <c r="H58" i="153"/>
  <c r="H59" i="153"/>
  <c r="H60" i="153"/>
  <c r="H61" i="153"/>
  <c r="H62" i="153"/>
  <c r="H63" i="153"/>
  <c r="A12" i="145"/>
  <c r="A13" i="145"/>
  <c r="A14" i="145"/>
  <c r="A15" i="145"/>
  <c r="A16" i="145"/>
  <c r="A17" i="145"/>
  <c r="A18" i="145"/>
  <c r="A19" i="145"/>
  <c r="A20" i="145"/>
  <c r="A21" i="145"/>
  <c r="A22" i="145"/>
  <c r="A23" i="145"/>
  <c r="A24" i="145"/>
  <c r="A25" i="145"/>
  <c r="A26" i="145"/>
  <c r="A27" i="145"/>
  <c r="A28" i="145"/>
  <c r="A29" i="145"/>
  <c r="A30" i="145"/>
  <c r="A31" i="145"/>
  <c r="A32" i="145"/>
  <c r="A33" i="145"/>
  <c r="A34" i="145"/>
  <c r="A35" i="145"/>
  <c r="A36" i="145"/>
  <c r="A37" i="145"/>
  <c r="A38" i="145"/>
  <c r="A39" i="145"/>
  <c r="A40" i="145"/>
  <c r="A41" i="145"/>
  <c r="A42" i="145"/>
  <c r="A43" i="145"/>
  <c r="A44" i="145"/>
  <c r="A45" i="145"/>
  <c r="A46" i="145"/>
  <c r="A47" i="145"/>
  <c r="A48" i="145"/>
  <c r="A49" i="145"/>
  <c r="A50" i="145"/>
  <c r="A51" i="145"/>
  <c r="A52" i="145"/>
  <c r="A53" i="145"/>
  <c r="A54" i="145"/>
  <c r="A55" i="145"/>
  <c r="A56" i="145"/>
  <c r="A57" i="145"/>
  <c r="A58" i="145"/>
  <c r="A59" i="145"/>
  <c r="A60" i="145"/>
  <c r="A61" i="145"/>
  <c r="A62" i="145"/>
  <c r="A63" i="145"/>
  <c r="A64" i="145"/>
  <c r="A65" i="145"/>
  <c r="A66" i="145"/>
  <c r="A67" i="145"/>
  <c r="A68" i="145"/>
  <c r="A69" i="145"/>
  <c r="A70" i="145"/>
  <c r="A71" i="145"/>
  <c r="A72" i="145"/>
  <c r="A73" i="145"/>
  <c r="A74" i="145"/>
  <c r="A75" i="145"/>
  <c r="A76" i="145"/>
  <c r="A77" i="145"/>
  <c r="A78" i="145"/>
  <c r="A79" i="145"/>
  <c r="A80" i="145"/>
  <c r="A81" i="145"/>
  <c r="A82" i="145"/>
  <c r="A83" i="145"/>
  <c r="A84" i="145"/>
  <c r="A85" i="145"/>
  <c r="A86" i="145"/>
  <c r="A87" i="145"/>
  <c r="A88" i="145"/>
  <c r="A89" i="145"/>
  <c r="A90" i="145"/>
  <c r="A91" i="145"/>
  <c r="A92" i="145"/>
  <c r="A93" i="145"/>
  <c r="A94" i="145"/>
  <c r="A95" i="145"/>
  <c r="A96" i="145"/>
  <c r="A97" i="145"/>
  <c r="A98" i="145"/>
  <c r="A99" i="145"/>
  <c r="A100" i="145"/>
  <c r="A101" i="145"/>
  <c r="A102" i="145"/>
  <c r="A103" i="145"/>
  <c r="A104" i="145"/>
  <c r="A105" i="145"/>
  <c r="A106" i="145"/>
  <c r="A107" i="145"/>
  <c r="A108" i="145"/>
  <c r="A109" i="145"/>
  <c r="A110" i="145"/>
  <c r="A111" i="145"/>
  <c r="A112" i="145"/>
  <c r="A113" i="145"/>
  <c r="A114" i="145"/>
  <c r="A115" i="145"/>
  <c r="A116" i="145"/>
  <c r="A117" i="145"/>
  <c r="A118" i="145"/>
  <c r="A119" i="145"/>
  <c r="A120" i="145"/>
  <c r="A121" i="145"/>
  <c r="A122" i="145"/>
  <c r="A123" i="145"/>
  <c r="A124" i="145"/>
  <c r="A125" i="145"/>
  <c r="A126" i="145"/>
  <c r="A127" i="145"/>
  <c r="A128" i="145"/>
  <c r="A129" i="145"/>
  <c r="A130" i="145"/>
  <c r="A131" i="145"/>
  <c r="A132" i="145"/>
  <c r="A133" i="145"/>
  <c r="A134" i="145"/>
  <c r="A135" i="145"/>
  <c r="A136" i="145"/>
  <c r="A137" i="145"/>
  <c r="A138" i="145"/>
  <c r="A139" i="145"/>
  <c r="A140" i="145"/>
  <c r="A141" i="145"/>
  <c r="A142" i="145"/>
  <c r="A143" i="145"/>
  <c r="A144" i="145"/>
  <c r="A145" i="145"/>
  <c r="A146" i="145"/>
  <c r="A147" i="145"/>
  <c r="A148" i="145"/>
  <c r="A149" i="145"/>
  <c r="A150" i="145"/>
  <c r="A151" i="145"/>
  <c r="A152" i="145"/>
  <c r="A153" i="145"/>
  <c r="A154" i="145"/>
  <c r="A155" i="145"/>
  <c r="A156" i="145"/>
  <c r="A157" i="145"/>
  <c r="A158" i="145"/>
  <c r="A159" i="145"/>
  <c r="A160" i="145"/>
  <c r="A161" i="145"/>
  <c r="A162" i="145"/>
  <c r="A163" i="145"/>
  <c r="A164" i="145"/>
  <c r="A165" i="145"/>
  <c r="A166" i="145"/>
  <c r="A167" i="145"/>
  <c r="A168" i="145"/>
  <c r="A169" i="145"/>
  <c r="A170" i="145"/>
  <c r="A171" i="145"/>
  <c r="A172" i="145"/>
  <c r="A173" i="145"/>
  <c r="A174" i="145"/>
  <c r="A175" i="145"/>
  <c r="A176" i="145"/>
  <c r="A177" i="145"/>
  <c r="A178" i="145"/>
  <c r="A179" i="145"/>
  <c r="A180" i="145"/>
  <c r="A181" i="145"/>
  <c r="B173" i="145"/>
  <c r="B174" i="145" s="1"/>
  <c r="B175" i="145" s="1"/>
  <c r="B177" i="145" s="1"/>
  <c r="B178" i="145" s="1"/>
  <c r="B160" i="145"/>
  <c r="B161" i="145" s="1"/>
  <c r="B162" i="145" s="1"/>
  <c r="B163" i="145" s="1"/>
  <c r="B164" i="145" s="1"/>
  <c r="B165" i="145" s="1"/>
  <c r="B166" i="145" s="1"/>
  <c r="B167" i="145" s="1"/>
  <c r="B168" i="145" s="1"/>
  <c r="B169" i="145" s="1"/>
  <c r="B142" i="145"/>
  <c r="B143" i="145" s="1"/>
  <c r="B144" i="145" s="1"/>
  <c r="B145" i="145" s="1"/>
  <c r="B121" i="145"/>
  <c r="B122" i="145" s="1"/>
  <c r="B123" i="145" s="1"/>
  <c r="B124" i="145" s="1"/>
  <c r="B125" i="145" s="1"/>
  <c r="B126" i="145" s="1"/>
  <c r="B128" i="145" s="1"/>
  <c r="B103" i="145"/>
  <c r="B104" i="145" s="1"/>
  <c r="D64" i="153" l="1"/>
  <c r="D65" i="153"/>
  <c r="H66" i="153"/>
  <c r="Q23" i="211"/>
  <c r="B22" i="211"/>
  <c r="A21" i="211"/>
  <c r="Q60" i="211"/>
  <c r="B59" i="211"/>
  <c r="B88" i="210"/>
  <c r="Q89" i="210"/>
  <c r="Q25" i="210"/>
  <c r="B24" i="210"/>
  <c r="Q20" i="190"/>
  <c r="B20" i="190" s="1"/>
  <c r="Q19" i="190"/>
  <c r="B19" i="190" s="1"/>
  <c r="B18" i="190"/>
  <c r="A17" i="190"/>
  <c r="A18" i="190"/>
  <c r="Q27" i="190"/>
  <c r="B26" i="190"/>
  <c r="B21" i="189"/>
  <c r="A21" i="189" s="1"/>
  <c r="A20" i="189"/>
  <c r="B105" i="145"/>
  <c r="B106" i="145" s="1"/>
  <c r="B107" i="145" s="1"/>
  <c r="B108" i="145" s="1"/>
  <c r="B109" i="145" s="1"/>
  <c r="B110" i="145" s="1"/>
  <c r="B111" i="145" s="1"/>
  <c r="B112" i="145" s="1"/>
  <c r="B113" i="145" s="1"/>
  <c r="B114" i="145" s="1"/>
  <c r="B115" i="145" s="1"/>
  <c r="B116" i="145" s="1"/>
  <c r="A24" i="190" l="1"/>
  <c r="A19" i="190"/>
  <c r="A22" i="190"/>
  <c r="A22" i="211"/>
  <c r="Q24" i="211"/>
  <c r="B23" i="211"/>
  <c r="B60" i="211"/>
  <c r="Q61" i="211"/>
  <c r="B89" i="210"/>
  <c r="Q90" i="210"/>
  <c r="B25" i="210"/>
  <c r="Q26" i="210"/>
  <c r="A24" i="210"/>
  <c r="A23" i="190"/>
  <c r="A21" i="190"/>
  <c r="A20" i="190"/>
  <c r="Q28" i="190"/>
  <c r="B27" i="190"/>
  <c r="A27" i="190" s="1"/>
  <c r="A26" i="190"/>
  <c r="A25" i="190"/>
  <c r="B22" i="189"/>
  <c r="E7" i="152"/>
  <c r="E38" i="152" s="1"/>
  <c r="D42" i="152"/>
  <c r="D43" i="152" s="1"/>
  <c r="D44" i="152" s="1"/>
  <c r="D45" i="152" s="1"/>
  <c r="D46" i="152" s="1"/>
  <c r="D47" i="152" s="1"/>
  <c r="D48" i="152" s="1"/>
  <c r="D49" i="152" s="1"/>
  <c r="D50" i="152" s="1"/>
  <c r="D51" i="152" s="1"/>
  <c r="D52" i="152" s="1"/>
  <c r="D53" i="152" s="1"/>
  <c r="D54" i="152" s="1"/>
  <c r="D55" i="152" s="1"/>
  <c r="D56" i="152" s="1"/>
  <c r="D57" i="152" s="1"/>
  <c r="D58" i="152" s="1"/>
  <c r="D59" i="152" s="1"/>
  <c r="D60" i="152" s="1"/>
  <c r="D61" i="152" s="1"/>
  <c r="D62" i="152" s="1"/>
  <c r="D63" i="152" s="1"/>
  <c r="D64" i="152" s="1"/>
  <c r="D65" i="152" s="1"/>
  <c r="B65" i="152"/>
  <c r="B64" i="152"/>
  <c r="B63" i="152"/>
  <c r="B62" i="152"/>
  <c r="B61" i="152"/>
  <c r="B60" i="152"/>
  <c r="B59" i="152"/>
  <c r="B58" i="152"/>
  <c r="B57" i="152"/>
  <c r="B56" i="152"/>
  <c r="B55" i="152"/>
  <c r="B54" i="152"/>
  <c r="B53" i="152"/>
  <c r="B52" i="152"/>
  <c r="B51" i="152"/>
  <c r="B50" i="152"/>
  <c r="B49" i="152"/>
  <c r="B48" i="152"/>
  <c r="B47" i="152"/>
  <c r="B46" i="152"/>
  <c r="B45" i="152"/>
  <c r="B44" i="152"/>
  <c r="A44" i="152"/>
  <c r="A45" i="152" s="1"/>
  <c r="A46" i="152" s="1"/>
  <c r="A47" i="152" s="1"/>
  <c r="A48" i="152" s="1"/>
  <c r="A49" i="152" s="1"/>
  <c r="A50" i="152" s="1"/>
  <c r="A51" i="152" s="1"/>
  <c r="A52" i="152" s="1"/>
  <c r="A53" i="152" s="1"/>
  <c r="A54" i="152" s="1"/>
  <c r="A55" i="152" s="1"/>
  <c r="A56" i="152" s="1"/>
  <c r="A57" i="152" s="1"/>
  <c r="A58" i="152" s="1"/>
  <c r="A59" i="152" s="1"/>
  <c r="A60" i="152" s="1"/>
  <c r="A61" i="152" s="1"/>
  <c r="A62" i="152" s="1"/>
  <c r="A63" i="152" s="1"/>
  <c r="A64" i="152" s="1"/>
  <c r="A65" i="152" s="1"/>
  <c r="A66" i="152" s="1"/>
  <c r="A67" i="152" s="1"/>
  <c r="B43" i="152"/>
  <c r="B42" i="152"/>
  <c r="A35" i="152"/>
  <c r="J19" i="152"/>
  <c r="I102" i="144" s="1"/>
  <c r="I19" i="152"/>
  <c r="H19" i="152"/>
  <c r="G102" i="144" s="1"/>
  <c r="G19" i="152"/>
  <c r="F102" i="144" s="1"/>
  <c r="F19" i="152"/>
  <c r="E102" i="144" s="1"/>
  <c r="L6" i="152"/>
  <c r="A5" i="152"/>
  <c r="A36" i="152" s="1"/>
  <c r="L7" i="151"/>
  <c r="E7" i="151" s="1"/>
  <c r="E33" i="151" s="1"/>
  <c r="N6" i="151"/>
  <c r="T12" i="151" s="1"/>
  <c r="C12" i="151" s="1"/>
  <c r="B60" i="151"/>
  <c r="B59" i="151"/>
  <c r="B58" i="151"/>
  <c r="B57" i="151"/>
  <c r="B56" i="151"/>
  <c r="B55" i="151"/>
  <c r="B54" i="151"/>
  <c r="B53" i="151"/>
  <c r="B52" i="151"/>
  <c r="B51" i="151"/>
  <c r="B50" i="151"/>
  <c r="B49" i="151"/>
  <c r="B48" i="151"/>
  <c r="B47" i="151"/>
  <c r="B46" i="151"/>
  <c r="B45" i="151"/>
  <c r="B44" i="151"/>
  <c r="B43" i="151"/>
  <c r="B42" i="151"/>
  <c r="B41" i="151"/>
  <c r="B40" i="151"/>
  <c r="B39" i="151"/>
  <c r="A39" i="151"/>
  <c r="A40" i="151" s="1"/>
  <c r="A41" i="151" s="1"/>
  <c r="A42" i="151" s="1"/>
  <c r="A43" i="151" s="1"/>
  <c r="A44" i="151" s="1"/>
  <c r="A45" i="151" s="1"/>
  <c r="A46" i="151" s="1"/>
  <c r="A47" i="151" s="1"/>
  <c r="A48" i="151" s="1"/>
  <c r="A49" i="151" s="1"/>
  <c r="A50" i="151" s="1"/>
  <c r="A51" i="151" s="1"/>
  <c r="A52" i="151" s="1"/>
  <c r="A53" i="151" s="1"/>
  <c r="A54" i="151" s="1"/>
  <c r="A55" i="151" s="1"/>
  <c r="A56" i="151" s="1"/>
  <c r="A57" i="151" s="1"/>
  <c r="A58" i="151" s="1"/>
  <c r="A59" i="151" s="1"/>
  <c r="A60" i="151" s="1"/>
  <c r="A61" i="151" s="1"/>
  <c r="A62" i="151" s="1"/>
  <c r="B38" i="151"/>
  <c r="B37" i="151"/>
  <c r="A30" i="151"/>
  <c r="P14" i="151"/>
  <c r="J12" i="151"/>
  <c r="J14" i="151" s="1"/>
  <c r="I32" i="144" s="1"/>
  <c r="I12" i="151"/>
  <c r="I14" i="151" s="1"/>
  <c r="H12" i="151"/>
  <c r="H14" i="151" s="1"/>
  <c r="G32" i="144" s="1"/>
  <c r="G12" i="151"/>
  <c r="G14" i="151" s="1"/>
  <c r="F32" i="144" s="1"/>
  <c r="F14" i="151"/>
  <c r="E32" i="144" s="1"/>
  <c r="B12" i="151"/>
  <c r="H51" i="151" s="1"/>
  <c r="L6" i="151"/>
  <c r="A5" i="151"/>
  <c r="A31" i="151" s="1"/>
  <c r="L7" i="150"/>
  <c r="E7" i="150" s="1"/>
  <c r="E33" i="150" s="1"/>
  <c r="N6" i="150"/>
  <c r="B60" i="150"/>
  <c r="B59" i="150"/>
  <c r="B58" i="150"/>
  <c r="B57" i="150"/>
  <c r="B56" i="150"/>
  <c r="B55" i="150"/>
  <c r="B54" i="150"/>
  <c r="B53" i="150"/>
  <c r="B52" i="150"/>
  <c r="B51" i="150"/>
  <c r="B50" i="150"/>
  <c r="B49" i="150"/>
  <c r="B48" i="150"/>
  <c r="B47" i="150"/>
  <c r="B46" i="150"/>
  <c r="B45" i="150"/>
  <c r="B44" i="150"/>
  <c r="B43" i="150"/>
  <c r="B42" i="150"/>
  <c r="B41" i="150"/>
  <c r="B40" i="150"/>
  <c r="B39" i="150"/>
  <c r="A39" i="150"/>
  <c r="A40" i="150" s="1"/>
  <c r="A41" i="150" s="1"/>
  <c r="A42" i="150" s="1"/>
  <c r="A43" i="150" s="1"/>
  <c r="A44" i="150" s="1"/>
  <c r="A45" i="150" s="1"/>
  <c r="A46" i="150" s="1"/>
  <c r="A47" i="150" s="1"/>
  <c r="A48" i="150" s="1"/>
  <c r="A49" i="150" s="1"/>
  <c r="A50" i="150" s="1"/>
  <c r="A51" i="150" s="1"/>
  <c r="A52" i="150" s="1"/>
  <c r="A53" i="150" s="1"/>
  <c r="A54" i="150" s="1"/>
  <c r="A55" i="150" s="1"/>
  <c r="A56" i="150" s="1"/>
  <c r="A57" i="150" s="1"/>
  <c r="A58" i="150" s="1"/>
  <c r="A59" i="150" s="1"/>
  <c r="A60" i="150" s="1"/>
  <c r="A61" i="150" s="1"/>
  <c r="A62" i="150" s="1"/>
  <c r="B38" i="150"/>
  <c r="B37" i="150"/>
  <c r="A30" i="150"/>
  <c r="P14" i="150"/>
  <c r="J12" i="150"/>
  <c r="J14" i="150" s="1"/>
  <c r="I31" i="144" s="1"/>
  <c r="G12" i="150"/>
  <c r="F14" i="150"/>
  <c r="E31" i="144" s="1"/>
  <c r="B12" i="150"/>
  <c r="H59" i="150" s="1"/>
  <c r="L6" i="150"/>
  <c r="A5" i="150"/>
  <c r="A31" i="150" s="1"/>
  <c r="C13" i="149"/>
  <c r="J13" i="149"/>
  <c r="I13" i="149"/>
  <c r="H13" i="149"/>
  <c r="G13" i="149"/>
  <c r="B13" i="149"/>
  <c r="L7" i="149"/>
  <c r="E7" i="149" s="1"/>
  <c r="E33" i="149" s="1"/>
  <c r="N6" i="149"/>
  <c r="D37" i="149" s="1"/>
  <c r="D38" i="149" s="1"/>
  <c r="D39" i="149" s="1"/>
  <c r="D40" i="149" s="1"/>
  <c r="D41" i="149" s="1"/>
  <c r="D42" i="149" s="1"/>
  <c r="D43" i="149" s="1"/>
  <c r="D44" i="149" s="1"/>
  <c r="D45" i="149" s="1"/>
  <c r="D46" i="149" s="1"/>
  <c r="D47" i="149" s="1"/>
  <c r="D48" i="149" s="1"/>
  <c r="D49" i="149" s="1"/>
  <c r="D50" i="149" s="1"/>
  <c r="D51" i="149" s="1"/>
  <c r="D52" i="149" s="1"/>
  <c r="D53" i="149" s="1"/>
  <c r="D54" i="149" s="1"/>
  <c r="D55" i="149" s="1"/>
  <c r="D56" i="149" s="1"/>
  <c r="D57" i="149" s="1"/>
  <c r="D58" i="149" s="1"/>
  <c r="D59" i="149" s="1"/>
  <c r="D60" i="149" s="1"/>
  <c r="B60" i="149"/>
  <c r="B59" i="149"/>
  <c r="B58" i="149"/>
  <c r="B57" i="149"/>
  <c r="B56" i="149"/>
  <c r="B55" i="149"/>
  <c r="B54" i="149"/>
  <c r="B53" i="149"/>
  <c r="B52" i="149"/>
  <c r="B51" i="149"/>
  <c r="B50" i="149"/>
  <c r="B49" i="149"/>
  <c r="B48" i="149"/>
  <c r="B47" i="149"/>
  <c r="B46" i="149"/>
  <c r="B45" i="149"/>
  <c r="B44" i="149"/>
  <c r="B43" i="149"/>
  <c r="B42" i="149"/>
  <c r="B41" i="149"/>
  <c r="B40" i="149"/>
  <c r="B39" i="149"/>
  <c r="A39" i="149"/>
  <c r="A40" i="149" s="1"/>
  <c r="A41" i="149" s="1"/>
  <c r="A42" i="149" s="1"/>
  <c r="A43" i="149" s="1"/>
  <c r="A44" i="149" s="1"/>
  <c r="A45" i="149" s="1"/>
  <c r="A46" i="149" s="1"/>
  <c r="A47" i="149" s="1"/>
  <c r="A48" i="149" s="1"/>
  <c r="A49" i="149" s="1"/>
  <c r="A50" i="149" s="1"/>
  <c r="A51" i="149" s="1"/>
  <c r="A52" i="149" s="1"/>
  <c r="A53" i="149" s="1"/>
  <c r="A54" i="149" s="1"/>
  <c r="A55" i="149" s="1"/>
  <c r="A56" i="149" s="1"/>
  <c r="A57" i="149" s="1"/>
  <c r="A58" i="149" s="1"/>
  <c r="A59" i="149" s="1"/>
  <c r="A60" i="149" s="1"/>
  <c r="A61" i="149" s="1"/>
  <c r="A62" i="149" s="1"/>
  <c r="B38" i="149"/>
  <c r="B37" i="149"/>
  <c r="A30" i="149"/>
  <c r="P14" i="149"/>
  <c r="J12" i="149"/>
  <c r="I12" i="149"/>
  <c r="H12" i="149"/>
  <c r="G12" i="149"/>
  <c r="B12" i="149"/>
  <c r="C12" i="149"/>
  <c r="L6" i="149"/>
  <c r="A5" i="149"/>
  <c r="A31" i="149" s="1"/>
  <c r="L7" i="148"/>
  <c r="E7" i="148" s="1"/>
  <c r="E32" i="148" s="1"/>
  <c r="L7" i="147"/>
  <c r="L7" i="106"/>
  <c r="N6" i="148"/>
  <c r="T12" i="148" s="1"/>
  <c r="C12" i="148" s="1"/>
  <c r="B59" i="148"/>
  <c r="B58" i="148"/>
  <c r="B57" i="148"/>
  <c r="B56" i="148"/>
  <c r="B55" i="148"/>
  <c r="B54" i="148"/>
  <c r="B53" i="148"/>
  <c r="B52" i="148"/>
  <c r="B51" i="148"/>
  <c r="B50" i="148"/>
  <c r="B49" i="148"/>
  <c r="B48" i="148"/>
  <c r="B47" i="148"/>
  <c r="B46" i="148"/>
  <c r="B45" i="148"/>
  <c r="B44" i="148"/>
  <c r="B43" i="148"/>
  <c r="B42" i="148"/>
  <c r="B41" i="148"/>
  <c r="B40" i="148"/>
  <c r="B39" i="148"/>
  <c r="B38" i="148"/>
  <c r="A38" i="148"/>
  <c r="A39" i="148" s="1"/>
  <c r="A40" i="148" s="1"/>
  <c r="A41" i="148" s="1"/>
  <c r="A42" i="148" s="1"/>
  <c r="A43" i="148" s="1"/>
  <c r="A44" i="148" s="1"/>
  <c r="A45" i="148" s="1"/>
  <c r="A46" i="148" s="1"/>
  <c r="A47" i="148" s="1"/>
  <c r="A48" i="148" s="1"/>
  <c r="A49" i="148" s="1"/>
  <c r="A50" i="148" s="1"/>
  <c r="A51" i="148" s="1"/>
  <c r="A52" i="148" s="1"/>
  <c r="A53" i="148" s="1"/>
  <c r="A54" i="148" s="1"/>
  <c r="A55" i="148" s="1"/>
  <c r="A56" i="148" s="1"/>
  <c r="A57" i="148" s="1"/>
  <c r="A58" i="148" s="1"/>
  <c r="A59" i="148" s="1"/>
  <c r="A60" i="148" s="1"/>
  <c r="A61" i="148" s="1"/>
  <c r="B37" i="148"/>
  <c r="B36" i="148"/>
  <c r="A29" i="148"/>
  <c r="P13" i="148"/>
  <c r="F13" i="148"/>
  <c r="J12" i="148"/>
  <c r="J13" i="148" s="1"/>
  <c r="I27" i="144" s="1"/>
  <c r="I12" i="148"/>
  <c r="H12" i="148"/>
  <c r="H13" i="148" s="1"/>
  <c r="G27" i="144" s="1"/>
  <c r="G12" i="148"/>
  <c r="G13" i="148" s="1"/>
  <c r="F27" i="144" s="1"/>
  <c r="B12" i="148"/>
  <c r="H59" i="148" s="1"/>
  <c r="L6" i="148"/>
  <c r="A5" i="148"/>
  <c r="A30" i="148" s="1"/>
  <c r="F14" i="149" l="1"/>
  <c r="E28" i="144" s="1"/>
  <c r="J14" i="149"/>
  <c r="I28" i="144" s="1"/>
  <c r="D37" i="151"/>
  <c r="D38" i="151" s="1"/>
  <c r="D39" i="151" s="1"/>
  <c r="D40" i="151" s="1"/>
  <c r="D41" i="151" s="1"/>
  <c r="D42" i="151" s="1"/>
  <c r="D43" i="151" s="1"/>
  <c r="D44" i="151" s="1"/>
  <c r="D45" i="151" s="1"/>
  <c r="D46" i="151" s="1"/>
  <c r="D47" i="151" s="1"/>
  <c r="D48" i="151" s="1"/>
  <c r="D49" i="151" s="1"/>
  <c r="D50" i="151" s="1"/>
  <c r="D51" i="151" s="1"/>
  <c r="D52" i="151" s="1"/>
  <c r="D53" i="151" s="1"/>
  <c r="D54" i="151" s="1"/>
  <c r="D55" i="151" s="1"/>
  <c r="D56" i="151" s="1"/>
  <c r="D57" i="151" s="1"/>
  <c r="D58" i="151" s="1"/>
  <c r="D59" i="151" s="1"/>
  <c r="D60" i="151" s="1"/>
  <c r="D61" i="151" s="1"/>
  <c r="A6" i="151"/>
  <c r="A32" i="151" s="1"/>
  <c r="G14" i="150"/>
  <c r="F31" i="144" s="1"/>
  <c r="H12" i="150"/>
  <c r="A6" i="148"/>
  <c r="A31" i="148" s="1"/>
  <c r="A6" i="149"/>
  <c r="A32" i="149" s="1"/>
  <c r="G14" i="149"/>
  <c r="F28" i="144" s="1"/>
  <c r="H14" i="149"/>
  <c r="G28" i="144" s="1"/>
  <c r="H38" i="148"/>
  <c r="A12" i="148"/>
  <c r="H52" i="148"/>
  <c r="D36" i="148"/>
  <c r="D37" i="148" s="1"/>
  <c r="D38" i="148" s="1"/>
  <c r="D39" i="148" s="1"/>
  <c r="D40" i="148" s="1"/>
  <c r="D41" i="148" s="1"/>
  <c r="D42" i="148" s="1"/>
  <c r="D43" i="148" s="1"/>
  <c r="D44" i="148" s="1"/>
  <c r="D45" i="148" s="1"/>
  <c r="D46" i="148" s="1"/>
  <c r="D47" i="148" s="1"/>
  <c r="D48" i="148" s="1"/>
  <c r="D49" i="148" s="1"/>
  <c r="D50" i="148" s="1"/>
  <c r="D51" i="148" s="1"/>
  <c r="D52" i="148" s="1"/>
  <c r="D53" i="148" s="1"/>
  <c r="D54" i="148" s="1"/>
  <c r="D55" i="148" s="1"/>
  <c r="D56" i="148" s="1"/>
  <c r="D57" i="148" s="1"/>
  <c r="D58" i="148" s="1"/>
  <c r="D59" i="148" s="1"/>
  <c r="D61" i="148" s="1"/>
  <c r="A6" i="150"/>
  <c r="A32" i="150" s="1"/>
  <c r="H58" i="151"/>
  <c r="H54" i="148"/>
  <c r="H56" i="148"/>
  <c r="H58" i="148"/>
  <c r="H55" i="151"/>
  <c r="A12" i="150"/>
  <c r="H57" i="151"/>
  <c r="H59" i="151"/>
  <c r="H36" i="148"/>
  <c r="F27" i="145" s="1"/>
  <c r="H53" i="148"/>
  <c r="H55" i="148"/>
  <c r="H57" i="148"/>
  <c r="D62" i="149"/>
  <c r="D61" i="149"/>
  <c r="H62" i="149"/>
  <c r="H61" i="149"/>
  <c r="H37" i="149"/>
  <c r="F28" i="145" s="1"/>
  <c r="H41" i="149"/>
  <c r="H45" i="149"/>
  <c r="H49" i="149"/>
  <c r="H53" i="149"/>
  <c r="H57" i="149"/>
  <c r="H60" i="148"/>
  <c r="H61" i="148"/>
  <c r="H37" i="148"/>
  <c r="H40" i="148"/>
  <c r="H42" i="148"/>
  <c r="H44" i="148"/>
  <c r="H46" i="148"/>
  <c r="H48" i="148"/>
  <c r="H50" i="148"/>
  <c r="H38" i="149"/>
  <c r="H42" i="149"/>
  <c r="H46" i="149"/>
  <c r="H50" i="149"/>
  <c r="H54" i="149"/>
  <c r="H58" i="149"/>
  <c r="A12" i="151"/>
  <c r="H39" i="151"/>
  <c r="H41" i="151"/>
  <c r="H43" i="151"/>
  <c r="H45" i="151"/>
  <c r="H47" i="151"/>
  <c r="H49" i="151"/>
  <c r="A7" i="152"/>
  <c r="A38" i="152" s="1"/>
  <c r="H102" i="144"/>
  <c r="D67" i="152"/>
  <c r="D66" i="152"/>
  <c r="Q25" i="211"/>
  <c r="B24" i="211"/>
  <c r="A24" i="211" s="1"/>
  <c r="I14" i="149"/>
  <c r="H28" i="144" s="1"/>
  <c r="H39" i="149"/>
  <c r="H43" i="149"/>
  <c r="H47" i="149"/>
  <c r="H51" i="149"/>
  <c r="H55" i="149"/>
  <c r="H59" i="149"/>
  <c r="H62" i="151"/>
  <c r="H61" i="151"/>
  <c r="A7" i="151"/>
  <c r="A33" i="151" s="1"/>
  <c r="H32" i="144"/>
  <c r="H38" i="151"/>
  <c r="H54" i="151"/>
  <c r="H56" i="151"/>
  <c r="H39" i="148"/>
  <c r="H41" i="148"/>
  <c r="H43" i="148"/>
  <c r="H45" i="148"/>
  <c r="H47" i="148"/>
  <c r="H49" i="148"/>
  <c r="H51" i="148"/>
  <c r="A12" i="149"/>
  <c r="H40" i="149"/>
  <c r="H44" i="149"/>
  <c r="H48" i="149"/>
  <c r="H52" i="149"/>
  <c r="H56" i="149"/>
  <c r="H60" i="149"/>
  <c r="H61" i="150"/>
  <c r="H62" i="150"/>
  <c r="H40" i="150"/>
  <c r="H40" i="151"/>
  <c r="H42" i="151"/>
  <c r="H44" i="151"/>
  <c r="H46" i="151"/>
  <c r="H48" i="151"/>
  <c r="H50" i="151"/>
  <c r="H52" i="151"/>
  <c r="A23" i="211"/>
  <c r="I13" i="148"/>
  <c r="T12" i="150"/>
  <c r="C12" i="150" s="1"/>
  <c r="B61" i="211"/>
  <c r="Q62" i="211"/>
  <c r="Q91" i="210"/>
  <c r="B90" i="210"/>
  <c r="A25" i="210"/>
  <c r="B26" i="210"/>
  <c r="Q27" i="210"/>
  <c r="Q29" i="190"/>
  <c r="B28" i="190"/>
  <c r="Q24" i="189"/>
  <c r="B23" i="189"/>
  <c r="A23" i="189" s="1"/>
  <c r="A22" i="189"/>
  <c r="H57" i="152"/>
  <c r="A15" i="152"/>
  <c r="A17" i="152"/>
  <c r="A16" i="152"/>
  <c r="H44" i="152"/>
  <c r="H45" i="152"/>
  <c r="H43" i="152"/>
  <c r="H59" i="152"/>
  <c r="H61" i="152"/>
  <c r="H63" i="152"/>
  <c r="H65" i="152"/>
  <c r="H46" i="152"/>
  <c r="H48" i="152"/>
  <c r="H50" i="152"/>
  <c r="H52" i="152"/>
  <c r="H54" i="152"/>
  <c r="H56" i="152"/>
  <c r="H42" i="152"/>
  <c r="H60" i="152"/>
  <c r="H62" i="152"/>
  <c r="H64" i="152"/>
  <c r="H47" i="152"/>
  <c r="H49" i="152"/>
  <c r="H51" i="152"/>
  <c r="H53" i="152"/>
  <c r="H55" i="152"/>
  <c r="A6" i="152"/>
  <c r="A37" i="152" s="1"/>
  <c r="H58" i="152"/>
  <c r="H37" i="151"/>
  <c r="H53" i="151"/>
  <c r="H60" i="151"/>
  <c r="D37" i="150"/>
  <c r="D38" i="150" s="1"/>
  <c r="D39" i="150" s="1"/>
  <c r="D40" i="150" s="1"/>
  <c r="D41" i="150" s="1"/>
  <c r="D42" i="150" s="1"/>
  <c r="D43" i="150" s="1"/>
  <c r="D44" i="150" s="1"/>
  <c r="D45" i="150" s="1"/>
  <c r="D46" i="150" s="1"/>
  <c r="D47" i="150" s="1"/>
  <c r="D48" i="150" s="1"/>
  <c r="D49" i="150" s="1"/>
  <c r="D50" i="150" s="1"/>
  <c r="D51" i="150" s="1"/>
  <c r="D52" i="150" s="1"/>
  <c r="D53" i="150" s="1"/>
  <c r="D54" i="150" s="1"/>
  <c r="D55" i="150" s="1"/>
  <c r="D56" i="150" s="1"/>
  <c r="D57" i="150" s="1"/>
  <c r="D58" i="150" s="1"/>
  <c r="D59" i="150" s="1"/>
  <c r="D60" i="150" s="1"/>
  <c r="H42" i="150"/>
  <c r="H37" i="150"/>
  <c r="F31" i="145" s="1"/>
  <c r="H39" i="150"/>
  <c r="H43" i="150"/>
  <c r="H45" i="150"/>
  <c r="H47" i="150"/>
  <c r="H49" i="150"/>
  <c r="H51" i="150"/>
  <c r="H55" i="150"/>
  <c r="H57" i="150"/>
  <c r="H58" i="150"/>
  <c r="H60" i="150"/>
  <c r="H38" i="150"/>
  <c r="H41" i="150"/>
  <c r="H44" i="150"/>
  <c r="H46" i="150"/>
  <c r="H48" i="150"/>
  <c r="H50" i="150"/>
  <c r="H52" i="150"/>
  <c r="H54" i="150"/>
  <c r="H56" i="150"/>
  <c r="A13" i="149"/>
  <c r="N6" i="147"/>
  <c r="D36" i="147" s="1"/>
  <c r="D37" i="147" s="1"/>
  <c r="D38" i="147" s="1"/>
  <c r="D39" i="147" s="1"/>
  <c r="D40" i="147" s="1"/>
  <c r="D41" i="147" s="1"/>
  <c r="D42" i="147" s="1"/>
  <c r="D43" i="147" s="1"/>
  <c r="D44" i="147" s="1"/>
  <c r="D45" i="147" s="1"/>
  <c r="D46" i="147" s="1"/>
  <c r="D47" i="147" s="1"/>
  <c r="D48" i="147" s="1"/>
  <c r="D49" i="147" s="1"/>
  <c r="D50" i="147" s="1"/>
  <c r="D51" i="147" s="1"/>
  <c r="D52" i="147" s="1"/>
  <c r="D53" i="147" s="1"/>
  <c r="D54" i="147" s="1"/>
  <c r="D55" i="147" s="1"/>
  <c r="D56" i="147" s="1"/>
  <c r="D57" i="147" s="1"/>
  <c r="D58" i="147" s="1"/>
  <c r="D59" i="147" s="1"/>
  <c r="B59" i="147"/>
  <c r="B58" i="147"/>
  <c r="B57" i="147"/>
  <c r="B56" i="147"/>
  <c r="B55" i="147"/>
  <c r="B54" i="147"/>
  <c r="B53" i="147"/>
  <c r="B52" i="147"/>
  <c r="B51" i="147"/>
  <c r="B50" i="147"/>
  <c r="B49" i="147"/>
  <c r="B48" i="147"/>
  <c r="B47" i="147"/>
  <c r="B46" i="147"/>
  <c r="B45" i="147"/>
  <c r="B44" i="147"/>
  <c r="B43" i="147"/>
  <c r="B42" i="147"/>
  <c r="B41" i="147"/>
  <c r="B40" i="147"/>
  <c r="B39" i="147"/>
  <c r="B38" i="147"/>
  <c r="A38" i="147"/>
  <c r="A39" i="147" s="1"/>
  <c r="A40" i="147" s="1"/>
  <c r="A41" i="147" s="1"/>
  <c r="A42" i="147" s="1"/>
  <c r="A43" i="147" s="1"/>
  <c r="A44" i="147" s="1"/>
  <c r="A45" i="147" s="1"/>
  <c r="A46" i="147" s="1"/>
  <c r="A47" i="147" s="1"/>
  <c r="A48" i="147" s="1"/>
  <c r="A49" i="147" s="1"/>
  <c r="A50" i="147" s="1"/>
  <c r="A51" i="147" s="1"/>
  <c r="A52" i="147" s="1"/>
  <c r="A53" i="147" s="1"/>
  <c r="A54" i="147" s="1"/>
  <c r="A55" i="147" s="1"/>
  <c r="A56" i="147" s="1"/>
  <c r="A57" i="147" s="1"/>
  <c r="A58" i="147" s="1"/>
  <c r="A59" i="147" s="1"/>
  <c r="A60" i="147" s="1"/>
  <c r="A61" i="147" s="1"/>
  <c r="B37" i="147"/>
  <c r="B36" i="147"/>
  <c r="A29" i="147"/>
  <c r="P13" i="147"/>
  <c r="T12" i="147"/>
  <c r="J12" i="147"/>
  <c r="J13" i="147" s="1"/>
  <c r="I25" i="144" s="1"/>
  <c r="I12" i="147"/>
  <c r="I13" i="147" s="1"/>
  <c r="H12" i="147"/>
  <c r="H13" i="147" s="1"/>
  <c r="G25" i="144" s="1"/>
  <c r="G12" i="147"/>
  <c r="G13" i="147" s="1"/>
  <c r="F25" i="144" s="1"/>
  <c r="F12" i="147"/>
  <c r="F13" i="147" s="1"/>
  <c r="B12" i="147"/>
  <c r="L6" i="147"/>
  <c r="A5" i="147"/>
  <c r="A30" i="147" s="1"/>
  <c r="N6" i="106"/>
  <c r="L6" i="106"/>
  <c r="B173" i="144"/>
  <c r="B174" i="144" s="1"/>
  <c r="B175" i="144" s="1"/>
  <c r="B177" i="144" s="1"/>
  <c r="B178" i="144" s="1"/>
  <c r="B160" i="144"/>
  <c r="B161" i="144" s="1"/>
  <c r="B162" i="144" s="1"/>
  <c r="B163" i="144" s="1"/>
  <c r="B164" i="144" s="1"/>
  <c r="B165" i="144" s="1"/>
  <c r="B166" i="144" s="1"/>
  <c r="B167" i="144" s="1"/>
  <c r="B168" i="144" s="1"/>
  <c r="B169" i="144" s="1"/>
  <c r="B142" i="144"/>
  <c r="B143" i="144" s="1"/>
  <c r="B144" i="144" s="1"/>
  <c r="B145" i="144" s="1"/>
  <c r="B121" i="144"/>
  <c r="B122" i="144" s="1"/>
  <c r="B123" i="144" s="1"/>
  <c r="B124" i="144" s="1"/>
  <c r="B125" i="144" s="1"/>
  <c r="B126" i="144" s="1"/>
  <c r="B128" i="144" s="1"/>
  <c r="B103" i="144"/>
  <c r="B105" i="144" s="1"/>
  <c r="B106" i="144" s="1"/>
  <c r="B107" i="144" s="1"/>
  <c r="B108" i="144" s="1"/>
  <c r="B109" i="144" s="1"/>
  <c r="B110" i="144" s="1"/>
  <c r="B111" i="144" s="1"/>
  <c r="B112" i="144" s="1"/>
  <c r="B113" i="144" s="1"/>
  <c r="B114" i="144" s="1"/>
  <c r="B115" i="144" s="1"/>
  <c r="B116" i="144" s="1"/>
  <c r="D62" i="151" l="1"/>
  <c r="I12" i="150"/>
  <c r="H14" i="150"/>
  <c r="G31" i="144" s="1"/>
  <c r="H63" i="151"/>
  <c r="H62" i="148"/>
  <c r="D60" i="148"/>
  <c r="B104" i="144"/>
  <c r="D60" i="147"/>
  <c r="D61" i="147"/>
  <c r="D61" i="150"/>
  <c r="D62" i="150"/>
  <c r="A6" i="147"/>
  <c r="A31" i="147" s="1"/>
  <c r="H59" i="147"/>
  <c r="H60" i="147"/>
  <c r="H61" i="147"/>
  <c r="A7" i="147"/>
  <c r="A32" i="147" s="1"/>
  <c r="H25" i="144"/>
  <c r="B25" i="211"/>
  <c r="Q26" i="211"/>
  <c r="A7" i="149"/>
  <c r="A33" i="149" s="1"/>
  <c r="A7" i="148"/>
  <c r="A32" i="148" s="1"/>
  <c r="H27" i="144"/>
  <c r="H63" i="149"/>
  <c r="H68" i="152"/>
  <c r="F32" i="145"/>
  <c r="Q63" i="211"/>
  <c r="B62" i="211"/>
  <c r="Q92" i="210"/>
  <c r="B91" i="210"/>
  <c r="A26" i="210"/>
  <c r="Q28" i="210"/>
  <c r="B27" i="210"/>
  <c r="H54" i="200"/>
  <c r="H40" i="200"/>
  <c r="H46" i="200"/>
  <c r="H56" i="200"/>
  <c r="H45" i="200"/>
  <c r="H55" i="200"/>
  <c r="H48" i="200"/>
  <c r="H59" i="200"/>
  <c r="H49" i="200"/>
  <c r="A28" i="190"/>
  <c r="Q30" i="190"/>
  <c r="B29" i="190"/>
  <c r="A29" i="190" s="1"/>
  <c r="Q25" i="189"/>
  <c r="Q26" i="189" s="1"/>
  <c r="Q27" i="189" s="1"/>
  <c r="Q28" i="189" s="1"/>
  <c r="B24" i="189"/>
  <c r="F102" i="145"/>
  <c r="H37" i="147"/>
  <c r="H40" i="147"/>
  <c r="H42" i="147"/>
  <c r="H44" i="147"/>
  <c r="H46" i="147"/>
  <c r="H48" i="147"/>
  <c r="H50" i="147"/>
  <c r="H52" i="147"/>
  <c r="H54" i="147"/>
  <c r="H56" i="147"/>
  <c r="H58" i="147"/>
  <c r="A12" i="147"/>
  <c r="H38" i="147"/>
  <c r="H36" i="147"/>
  <c r="F25" i="145" s="1"/>
  <c r="H39" i="147"/>
  <c r="H41" i="147"/>
  <c r="H43" i="147"/>
  <c r="H45" i="147"/>
  <c r="H47" i="147"/>
  <c r="H49" i="147"/>
  <c r="H51" i="147"/>
  <c r="H53" i="147"/>
  <c r="H55" i="147"/>
  <c r="H57" i="147"/>
  <c r="C12" i="147"/>
  <c r="M23" i="123"/>
  <c r="M21" i="123"/>
  <c r="K23" i="123"/>
  <c r="I23" i="123"/>
  <c r="I21" i="123"/>
  <c r="I14" i="150" l="1"/>
  <c r="H53" i="150"/>
  <c r="H63" i="150" s="1"/>
  <c r="Q27" i="211"/>
  <c r="B26" i="211"/>
  <c r="A26" i="211" s="1"/>
  <c r="A25" i="211"/>
  <c r="H62" i="147"/>
  <c r="Q64" i="211"/>
  <c r="B63" i="211"/>
  <c r="B92" i="210"/>
  <c r="Q93" i="210"/>
  <c r="B28" i="210"/>
  <c r="Q29" i="210"/>
  <c r="A27" i="210"/>
  <c r="H57" i="200"/>
  <c r="H61" i="200"/>
  <c r="H52" i="200"/>
  <c r="H58" i="200"/>
  <c r="H38" i="200"/>
  <c r="H60" i="200"/>
  <c r="H41" i="200"/>
  <c r="H47" i="200"/>
  <c r="H44" i="200"/>
  <c r="H53" i="200"/>
  <c r="H42" i="200"/>
  <c r="H50" i="200"/>
  <c r="H51" i="200"/>
  <c r="H43" i="200"/>
  <c r="H39" i="200"/>
  <c r="H51" i="191"/>
  <c r="H41" i="191"/>
  <c r="H55" i="191"/>
  <c r="Q31" i="190"/>
  <c r="B31" i="190" s="1"/>
  <c r="B30" i="190"/>
  <c r="A30" i="190" s="1"/>
  <c r="A24" i="189"/>
  <c r="B25" i="189"/>
  <c r="A25" i="189" s="1"/>
  <c r="H31" i="144" l="1"/>
  <c r="A7" i="150"/>
  <c r="A33" i="150" s="1"/>
  <c r="F123" i="145"/>
  <c r="H64" i="200"/>
  <c r="H81" i="190"/>
  <c r="H80" i="190"/>
  <c r="Q28" i="211"/>
  <c r="B27" i="211"/>
  <c r="B64" i="211"/>
  <c r="Q65" i="211"/>
  <c r="B93" i="210"/>
  <c r="Q94" i="210"/>
  <c r="A28" i="210"/>
  <c r="Q30" i="210"/>
  <c r="B29" i="210"/>
  <c r="H43" i="191"/>
  <c r="H54" i="191"/>
  <c r="H53" i="191"/>
  <c r="H49" i="191"/>
  <c r="H58" i="191"/>
  <c r="H45" i="191"/>
  <c r="H60" i="191"/>
  <c r="H52" i="191"/>
  <c r="H61" i="191"/>
  <c r="H56" i="191"/>
  <c r="H48" i="191"/>
  <c r="H42" i="191"/>
  <c r="H44" i="191"/>
  <c r="H47" i="191"/>
  <c r="H39" i="191"/>
  <c r="H57" i="191"/>
  <c r="H38" i="191"/>
  <c r="H46" i="191"/>
  <c r="H59" i="191"/>
  <c r="H50" i="191"/>
  <c r="H40" i="191"/>
  <c r="H77" i="190"/>
  <c r="H56" i="190"/>
  <c r="F122" i="145" s="1"/>
  <c r="H65" i="190"/>
  <c r="H66" i="190"/>
  <c r="H76" i="190"/>
  <c r="H70" i="190"/>
  <c r="H59" i="190"/>
  <c r="H60" i="190"/>
  <c r="H72" i="190"/>
  <c r="H69" i="190"/>
  <c r="H58" i="190"/>
  <c r="H78" i="190"/>
  <c r="H73" i="190"/>
  <c r="H57" i="190"/>
  <c r="H61" i="190"/>
  <c r="H79" i="190"/>
  <c r="H71" i="190"/>
  <c r="H62" i="190"/>
  <c r="H63" i="190"/>
  <c r="A31" i="190"/>
  <c r="H67" i="190"/>
  <c r="H75" i="190"/>
  <c r="H74" i="190"/>
  <c r="H68" i="190"/>
  <c r="H64" i="190"/>
  <c r="B26" i="189"/>
  <c r="G10" i="145"/>
  <c r="C10" i="144"/>
  <c r="D10" i="144" s="1"/>
  <c r="E10" i="144" s="1"/>
  <c r="F10" i="144" s="1"/>
  <c r="G10" i="144" s="1"/>
  <c r="H10" i="144" s="1"/>
  <c r="I10" i="144" s="1"/>
  <c r="J10" i="144" s="1"/>
  <c r="G93" i="145" l="1"/>
  <c r="G95" i="145"/>
  <c r="G181" i="145"/>
  <c r="G114" i="145"/>
  <c r="G110" i="145"/>
  <c r="G35" i="145"/>
  <c r="G111" i="145"/>
  <c r="G147" i="145"/>
  <c r="G148" i="145"/>
  <c r="G60" i="145"/>
  <c r="G154" i="145"/>
  <c r="G156" i="145"/>
  <c r="G126" i="145"/>
  <c r="G138" i="145"/>
  <c r="G167" i="145"/>
  <c r="G173" i="145"/>
  <c r="G174" i="145" s="1"/>
  <c r="G37" i="145"/>
  <c r="G49" i="145"/>
  <c r="G137" i="145"/>
  <c r="G121" i="145"/>
  <c r="G48" i="145"/>
  <c r="G81" i="145"/>
  <c r="G135" i="145"/>
  <c r="G178" i="145"/>
  <c r="G125" i="145"/>
  <c r="G136" i="145"/>
  <c r="G128" i="145"/>
  <c r="G124" i="145"/>
  <c r="G115" i="145"/>
  <c r="G172" i="145"/>
  <c r="G165" i="145"/>
  <c r="G67" i="145"/>
  <c r="G163" i="145"/>
  <c r="G166" i="145"/>
  <c r="G175" i="145"/>
  <c r="G161" i="145"/>
  <c r="G162" i="145"/>
  <c r="G113" i="145"/>
  <c r="G177" i="145"/>
  <c r="G50" i="145"/>
  <c r="G169" i="145"/>
  <c r="G99" i="145"/>
  <c r="G116" i="145"/>
  <c r="G151" i="145"/>
  <c r="G58" i="145"/>
  <c r="G105" i="145"/>
  <c r="G106" i="145"/>
  <c r="G107" i="145"/>
  <c r="G112" i="145"/>
  <c r="G143" i="145"/>
  <c r="G109" i="145"/>
  <c r="G101" i="145"/>
  <c r="G144" i="145"/>
  <c r="G108" i="145"/>
  <c r="G145" i="145"/>
  <c r="G140" i="145"/>
  <c r="G152" i="145"/>
  <c r="G142" i="145"/>
  <c r="G27" i="145"/>
  <c r="G32" i="145"/>
  <c r="G28" i="145"/>
  <c r="G102" i="145"/>
  <c r="G31" i="145"/>
  <c r="G25" i="145"/>
  <c r="G123" i="145"/>
  <c r="G122" i="145"/>
  <c r="G131" i="145"/>
  <c r="A27" i="211"/>
  <c r="H82" i="190"/>
  <c r="Q29" i="211"/>
  <c r="B28" i="211"/>
  <c r="A28" i="211" s="1"/>
  <c r="F131" i="145"/>
  <c r="H64" i="191"/>
  <c r="B65" i="211"/>
  <c r="Q66" i="211"/>
  <c r="Q95" i="210"/>
  <c r="B94" i="210"/>
  <c r="A29" i="210"/>
  <c r="B30" i="210"/>
  <c r="Q31" i="210"/>
  <c r="B27" i="189"/>
  <c r="A26" i="189"/>
  <c r="H10" i="145"/>
  <c r="I10" i="145" s="1"/>
  <c r="B84" i="106"/>
  <c r="B82" i="106"/>
  <c r="B81" i="106"/>
  <c r="B80" i="106"/>
  <c r="B79" i="106"/>
  <c r="B78" i="106"/>
  <c r="B77" i="106"/>
  <c r="B76" i="106"/>
  <c r="B75" i="106"/>
  <c r="B74" i="106"/>
  <c r="B73" i="106"/>
  <c r="B72" i="106"/>
  <c r="B71" i="106"/>
  <c r="B70" i="106"/>
  <c r="B69" i="106"/>
  <c r="B68" i="106"/>
  <c r="B67" i="106"/>
  <c r="B66" i="106"/>
  <c r="B65" i="106"/>
  <c r="B64" i="106"/>
  <c r="B63" i="106"/>
  <c r="B62" i="106"/>
  <c r="B61" i="106"/>
  <c r="A61" i="106"/>
  <c r="A62" i="106" s="1"/>
  <c r="A63" i="106" s="1"/>
  <c r="A64" i="106" s="1"/>
  <c r="A65" i="106" s="1"/>
  <c r="A66" i="106" s="1"/>
  <c r="A67" i="106" s="1"/>
  <c r="A68" i="106" s="1"/>
  <c r="A69" i="106" s="1"/>
  <c r="A70" i="106" s="1"/>
  <c r="A71" i="106" s="1"/>
  <c r="A72" i="106" s="1"/>
  <c r="A73" i="106" s="1"/>
  <c r="A74" i="106" s="1"/>
  <c r="A75" i="106" s="1"/>
  <c r="A76" i="106" s="1"/>
  <c r="A77" i="106" s="1"/>
  <c r="A78" i="106" s="1"/>
  <c r="A79" i="106" s="1"/>
  <c r="A80" i="106" s="1"/>
  <c r="A81" i="106" s="1"/>
  <c r="B60" i="106"/>
  <c r="B59" i="106"/>
  <c r="A52" i="106"/>
  <c r="H93" i="145" l="1"/>
  <c r="H95" i="145"/>
  <c r="H181" i="145"/>
  <c r="H110" i="145"/>
  <c r="H114" i="145"/>
  <c r="H111" i="145"/>
  <c r="H35" i="145"/>
  <c r="H148" i="145"/>
  <c r="H147" i="145"/>
  <c r="H151" i="145"/>
  <c r="H152" i="145"/>
  <c r="B29" i="211"/>
  <c r="Q30" i="211"/>
  <c r="I122" i="145"/>
  <c r="I93" i="145"/>
  <c r="I95" i="145"/>
  <c r="I181" i="145"/>
  <c r="I114" i="145"/>
  <c r="I110" i="145"/>
  <c r="I111" i="145"/>
  <c r="I35" i="145"/>
  <c r="I147" i="145"/>
  <c r="I148" i="145"/>
  <c r="I151" i="145"/>
  <c r="I152" i="145"/>
  <c r="A82" i="106"/>
  <c r="A83" i="106" s="1"/>
  <c r="A84" i="106" s="1"/>
  <c r="H60" i="145"/>
  <c r="H156" i="145"/>
  <c r="H154" i="145"/>
  <c r="H138" i="145"/>
  <c r="H137" i="145"/>
  <c r="H121" i="145"/>
  <c r="H126" i="145"/>
  <c r="H125" i="145"/>
  <c r="H124" i="145"/>
  <c r="H123" i="145"/>
  <c r="H128" i="145"/>
  <c r="H136" i="145"/>
  <c r="H67" i="145"/>
  <c r="H162" i="145"/>
  <c r="H161" i="145"/>
  <c r="H175" i="145"/>
  <c r="H81" i="145"/>
  <c r="H167" i="145"/>
  <c r="H135" i="145"/>
  <c r="H37" i="145"/>
  <c r="H166" i="145"/>
  <c r="H165" i="145"/>
  <c r="H178" i="145"/>
  <c r="H173" i="145"/>
  <c r="H172" i="145"/>
  <c r="H169" i="145"/>
  <c r="H163" i="145"/>
  <c r="H49" i="145"/>
  <c r="H115" i="145"/>
  <c r="H58" i="145"/>
  <c r="H113" i="145"/>
  <c r="H48" i="145"/>
  <c r="H50" i="145"/>
  <c r="H116" i="145"/>
  <c r="H177" i="145"/>
  <c r="H145" i="145"/>
  <c r="H143" i="145"/>
  <c r="H108" i="145"/>
  <c r="H144" i="145"/>
  <c r="H142" i="145"/>
  <c r="H105" i="145"/>
  <c r="H32" i="145"/>
  <c r="H27" i="145"/>
  <c r="H25" i="145"/>
  <c r="H107" i="145"/>
  <c r="H99" i="145"/>
  <c r="H106" i="145"/>
  <c r="H31" i="145"/>
  <c r="H28" i="145"/>
  <c r="H101" i="145"/>
  <c r="H109" i="145"/>
  <c r="H140" i="145"/>
  <c r="H112" i="145"/>
  <c r="H102" i="145"/>
  <c r="H122" i="145"/>
  <c r="I60" i="145"/>
  <c r="I156" i="145"/>
  <c r="I154" i="145"/>
  <c r="I136" i="145"/>
  <c r="I121" i="145"/>
  <c r="I123" i="145"/>
  <c r="I138" i="145"/>
  <c r="I137" i="145"/>
  <c r="I126" i="145"/>
  <c r="I125" i="145"/>
  <c r="I124" i="145"/>
  <c r="I128" i="145"/>
  <c r="I178" i="145"/>
  <c r="I173" i="145"/>
  <c r="I174" i="145" s="1"/>
  <c r="I172" i="145"/>
  <c r="I175" i="145"/>
  <c r="I81" i="145"/>
  <c r="I169" i="145"/>
  <c r="I167" i="145"/>
  <c r="I67" i="145"/>
  <c r="I162" i="145"/>
  <c r="I161" i="145"/>
  <c r="I37" i="145"/>
  <c r="I166" i="145"/>
  <c r="I165" i="145"/>
  <c r="I58" i="145"/>
  <c r="I163" i="145"/>
  <c r="I116" i="145"/>
  <c r="I113" i="145"/>
  <c r="I49" i="145"/>
  <c r="I50" i="145"/>
  <c r="I135" i="145"/>
  <c r="I48" i="145"/>
  <c r="I115" i="145"/>
  <c r="I144" i="145"/>
  <c r="I142" i="145"/>
  <c r="I108" i="145"/>
  <c r="I177" i="145"/>
  <c r="I145" i="145"/>
  <c r="I143" i="145"/>
  <c r="I105" i="145"/>
  <c r="I31" i="145"/>
  <c r="I28" i="145"/>
  <c r="I25" i="145"/>
  <c r="I32" i="145"/>
  <c r="I27" i="145"/>
  <c r="I99" i="145"/>
  <c r="I106" i="145"/>
  <c r="I107" i="145"/>
  <c r="I140" i="145"/>
  <c r="I109" i="145"/>
  <c r="I112" i="145"/>
  <c r="I101" i="145"/>
  <c r="I102" i="145"/>
  <c r="I131" i="145"/>
  <c r="H131" i="145"/>
  <c r="Q67" i="211"/>
  <c r="B66" i="211"/>
  <c r="Q96" i="210"/>
  <c r="B95" i="210"/>
  <c r="B31" i="210"/>
  <c r="Q32" i="210"/>
  <c r="A30" i="210"/>
  <c r="A27" i="189"/>
  <c r="Q29" i="189"/>
  <c r="Q30" i="189" s="1"/>
  <c r="Q31" i="189" s="1"/>
  <c r="B28" i="189"/>
  <c r="J10" i="145"/>
  <c r="J93" i="145" l="1"/>
  <c r="J95" i="145"/>
  <c r="J181" i="145"/>
  <c r="J114" i="145"/>
  <c r="J110" i="145"/>
  <c r="J111" i="145"/>
  <c r="J35" i="145"/>
  <c r="J147" i="145"/>
  <c r="J148" i="145"/>
  <c r="J151" i="145"/>
  <c r="J152" i="145"/>
  <c r="Q31" i="211"/>
  <c r="B30" i="211"/>
  <c r="A30" i="211" s="1"/>
  <c r="A29" i="211"/>
  <c r="J156" i="145"/>
  <c r="J60" i="145"/>
  <c r="J154" i="145"/>
  <c r="J128" i="145"/>
  <c r="J138" i="145"/>
  <c r="J137" i="145"/>
  <c r="J121" i="145"/>
  <c r="J126" i="145"/>
  <c r="J125" i="145"/>
  <c r="J136" i="145"/>
  <c r="J124" i="145"/>
  <c r="J123" i="145"/>
  <c r="J166" i="145"/>
  <c r="J165" i="145"/>
  <c r="J169" i="145"/>
  <c r="J167" i="145"/>
  <c r="J37" i="145"/>
  <c r="J178" i="145"/>
  <c r="J173" i="145"/>
  <c r="J174" i="145" s="1"/>
  <c r="J172" i="145"/>
  <c r="J175" i="145"/>
  <c r="J81" i="145"/>
  <c r="J67" i="145"/>
  <c r="J162" i="145"/>
  <c r="J161" i="145"/>
  <c r="J135" i="145"/>
  <c r="J48" i="145"/>
  <c r="J113" i="145"/>
  <c r="J116" i="145"/>
  <c r="J50" i="145"/>
  <c r="J58" i="145"/>
  <c r="J163" i="145"/>
  <c r="J49" i="145"/>
  <c r="J115" i="145"/>
  <c r="J143" i="145"/>
  <c r="J108" i="145"/>
  <c r="J177" i="145"/>
  <c r="J144" i="145"/>
  <c r="J142" i="145"/>
  <c r="J145" i="145"/>
  <c r="J25" i="145"/>
  <c r="J107" i="145"/>
  <c r="J31" i="145"/>
  <c r="J28" i="145"/>
  <c r="J106" i="145"/>
  <c r="J99" i="145"/>
  <c r="J32" i="145"/>
  <c r="J27" i="145"/>
  <c r="J105" i="145"/>
  <c r="J112" i="145"/>
  <c r="J109" i="145"/>
  <c r="J140" i="145"/>
  <c r="J101" i="145"/>
  <c r="J102" i="145"/>
  <c r="J122" i="145"/>
  <c r="J131" i="145"/>
  <c r="H174" i="145"/>
  <c r="Q68" i="211"/>
  <c r="B67" i="211"/>
  <c r="B96" i="210"/>
  <c r="Q97" i="210"/>
  <c r="Q33" i="210"/>
  <c r="B32" i="210"/>
  <c r="A31" i="210"/>
  <c r="B29" i="189"/>
  <c r="A29" i="189" s="1"/>
  <c r="A28" i="189"/>
  <c r="K10" i="145"/>
  <c r="H14" i="123"/>
  <c r="I17" i="123"/>
  <c r="I16" i="123" s="1"/>
  <c r="I15" i="123" s="1"/>
  <c r="K93" i="145" l="1"/>
  <c r="K95" i="145"/>
  <c r="K181" i="145"/>
  <c r="K114" i="145"/>
  <c r="K110" i="145"/>
  <c r="K35" i="145"/>
  <c r="K111" i="145"/>
  <c r="K147" i="145"/>
  <c r="K148" i="145"/>
  <c r="K151" i="145"/>
  <c r="K152" i="145"/>
  <c r="Q32" i="211"/>
  <c r="B31" i="211"/>
  <c r="A31" i="211" s="1"/>
  <c r="K60" i="145"/>
  <c r="K156" i="145"/>
  <c r="K154" i="145"/>
  <c r="K121" i="145"/>
  <c r="K126" i="145"/>
  <c r="K125" i="145"/>
  <c r="K124" i="145"/>
  <c r="K123" i="145"/>
  <c r="K136" i="145"/>
  <c r="K128" i="145"/>
  <c r="K138" i="145"/>
  <c r="K137" i="145"/>
  <c r="K37" i="145"/>
  <c r="K166" i="145"/>
  <c r="K165" i="145"/>
  <c r="K67" i="145"/>
  <c r="K135" i="145"/>
  <c r="K178" i="145"/>
  <c r="K173" i="145"/>
  <c r="K172" i="145"/>
  <c r="K175" i="145"/>
  <c r="K81" i="145"/>
  <c r="K169" i="145"/>
  <c r="K167" i="145"/>
  <c r="K162" i="145"/>
  <c r="K161" i="145"/>
  <c r="K50" i="145"/>
  <c r="K115" i="145"/>
  <c r="K48" i="145"/>
  <c r="K49" i="145"/>
  <c r="K58" i="145"/>
  <c r="K163" i="145"/>
  <c r="K113" i="145"/>
  <c r="K116" i="145"/>
  <c r="K145" i="145"/>
  <c r="K177" i="145"/>
  <c r="K143" i="145"/>
  <c r="K144" i="145"/>
  <c r="K142" i="145"/>
  <c r="K108" i="145"/>
  <c r="K106" i="145"/>
  <c r="K25" i="145"/>
  <c r="K105" i="145"/>
  <c r="K107" i="145"/>
  <c r="K31" i="145"/>
  <c r="K28" i="145"/>
  <c r="K99" i="145"/>
  <c r="K32" i="145"/>
  <c r="K27" i="145"/>
  <c r="K101" i="145"/>
  <c r="K140" i="145"/>
  <c r="K112" i="145"/>
  <c r="K109" i="145"/>
  <c r="K102" i="145"/>
  <c r="K122" i="145"/>
  <c r="K131" i="145"/>
  <c r="B68" i="211"/>
  <c r="Q69" i="211"/>
  <c r="B97" i="210"/>
  <c r="Q98" i="210"/>
  <c r="B33" i="210"/>
  <c r="Q34" i="210"/>
  <c r="A32" i="210"/>
  <c r="B31" i="189"/>
  <c r="B30" i="189"/>
  <c r="L10" i="145"/>
  <c r="L54" i="123"/>
  <c r="L44" i="123"/>
  <c r="L41" i="123"/>
  <c r="M12" i="123"/>
  <c r="J54" i="123"/>
  <c r="J31" i="123"/>
  <c r="J32" i="123" s="1"/>
  <c r="J33" i="123"/>
  <c r="L33" i="123"/>
  <c r="H33" i="123"/>
  <c r="L30" i="123"/>
  <c r="H30" i="123"/>
  <c r="L27" i="123"/>
  <c r="H27" i="123"/>
  <c r="J24" i="123"/>
  <c r="L24" i="123"/>
  <c r="J21" i="123"/>
  <c r="D21" i="123"/>
  <c r="L14" i="123"/>
  <c r="J14" i="123"/>
  <c r="K12" i="123"/>
  <c r="L11" i="123"/>
  <c r="F9" i="123"/>
  <c r="G9" i="123" s="1"/>
  <c r="H54" i="123"/>
  <c r="H60" i="189" l="1"/>
  <c r="J119" i="145" s="1"/>
  <c r="A31" i="189"/>
  <c r="H80" i="189"/>
  <c r="H81" i="189"/>
  <c r="B32" i="211"/>
  <c r="Q33" i="211"/>
  <c r="F21" i="123"/>
  <c r="G21" i="123" s="1"/>
  <c r="K21" i="123"/>
  <c r="L95" i="145"/>
  <c r="L93" i="145"/>
  <c r="L181" i="145"/>
  <c r="L110" i="145"/>
  <c r="L114" i="145"/>
  <c r="L111" i="145"/>
  <c r="L35" i="145"/>
  <c r="L147" i="145"/>
  <c r="L148" i="145"/>
  <c r="L151" i="145"/>
  <c r="L152" i="145"/>
  <c r="L156" i="145"/>
  <c r="L60" i="145"/>
  <c r="L154" i="145"/>
  <c r="L138" i="145"/>
  <c r="L137" i="145"/>
  <c r="L121" i="145"/>
  <c r="L126" i="145"/>
  <c r="L125" i="145"/>
  <c r="L124" i="145"/>
  <c r="L123" i="145"/>
  <c r="L128" i="145"/>
  <c r="L136" i="145"/>
  <c r="L37" i="145"/>
  <c r="L67" i="145"/>
  <c r="L162" i="145"/>
  <c r="L161" i="145"/>
  <c r="L175" i="145"/>
  <c r="L81" i="145"/>
  <c r="L167" i="145"/>
  <c r="L166" i="145"/>
  <c r="L165" i="145"/>
  <c r="L178" i="145"/>
  <c r="L173" i="145"/>
  <c r="L174" i="145" s="1"/>
  <c r="L172" i="145"/>
  <c r="L169" i="145"/>
  <c r="L58" i="145"/>
  <c r="L115" i="145"/>
  <c r="L163" i="145"/>
  <c r="L49" i="145"/>
  <c r="L50" i="145"/>
  <c r="L135" i="145"/>
  <c r="L48" i="145"/>
  <c r="L116" i="145"/>
  <c r="L113" i="145"/>
  <c r="L145" i="145"/>
  <c r="L177" i="145"/>
  <c r="L143" i="145"/>
  <c r="L108" i="145"/>
  <c r="L144" i="145"/>
  <c r="L142" i="145"/>
  <c r="L32" i="145"/>
  <c r="L27" i="145"/>
  <c r="L99" i="145"/>
  <c r="L106" i="145"/>
  <c r="L25" i="145"/>
  <c r="L105" i="145"/>
  <c r="L107" i="145"/>
  <c r="L31" i="145"/>
  <c r="L28" i="145"/>
  <c r="L112" i="145"/>
  <c r="L109" i="145"/>
  <c r="L140" i="145"/>
  <c r="L101" i="145"/>
  <c r="L102" i="145"/>
  <c r="L131" i="145"/>
  <c r="L122" i="145"/>
  <c r="K174" i="145"/>
  <c r="B69" i="211"/>
  <c r="Q70" i="211"/>
  <c r="Q99" i="210"/>
  <c r="B98" i="210"/>
  <c r="A33" i="210"/>
  <c r="Q35" i="210"/>
  <c r="B34" i="210"/>
  <c r="H69" i="189"/>
  <c r="H78" i="189"/>
  <c r="H71" i="189"/>
  <c r="H61" i="189"/>
  <c r="K119" i="145" s="1"/>
  <c r="H79" i="189"/>
  <c r="H70" i="189"/>
  <c r="H56" i="189"/>
  <c r="H65" i="189"/>
  <c r="H68" i="189"/>
  <c r="H64" i="189"/>
  <c r="A30" i="189"/>
  <c r="H57" i="189"/>
  <c r="G119" i="145" s="1"/>
  <c r="H77" i="189"/>
  <c r="H72" i="189"/>
  <c r="H59" i="189"/>
  <c r="I119" i="145" s="1"/>
  <c r="H75" i="189"/>
  <c r="H67" i="189"/>
  <c r="H58" i="189"/>
  <c r="H119" i="145" s="1"/>
  <c r="H74" i="189"/>
  <c r="H62" i="189"/>
  <c r="L119" i="145" s="1"/>
  <c r="H66" i="189"/>
  <c r="H73" i="189"/>
  <c r="H63" i="189"/>
  <c r="M10" i="145"/>
  <c r="J30" i="123"/>
  <c r="J47" i="123"/>
  <c r="L47" i="123"/>
  <c r="J44" i="123"/>
  <c r="J41" i="123"/>
  <c r="J38" i="123"/>
  <c r="L38" i="123"/>
  <c r="H47" i="123"/>
  <c r="H44" i="123"/>
  <c r="H41" i="123"/>
  <c r="H38" i="123"/>
  <c r="M119" i="145" l="1"/>
  <c r="A32" i="211"/>
  <c r="H82" i="189"/>
  <c r="M93" i="145"/>
  <c r="M95" i="145"/>
  <c r="M181" i="145"/>
  <c r="M110" i="145"/>
  <c r="M114" i="145"/>
  <c r="M35" i="145"/>
  <c r="M111" i="145"/>
  <c r="M147" i="145"/>
  <c r="M148" i="145"/>
  <c r="M151" i="145"/>
  <c r="M152" i="145"/>
  <c r="Q34" i="211"/>
  <c r="B33" i="211"/>
  <c r="A33" i="211" s="1"/>
  <c r="M60" i="145"/>
  <c r="M156" i="145"/>
  <c r="M154" i="145"/>
  <c r="M136" i="145"/>
  <c r="M121" i="145"/>
  <c r="M125" i="145"/>
  <c r="M128" i="145"/>
  <c r="M126" i="145"/>
  <c r="M124" i="145"/>
  <c r="M123" i="145"/>
  <c r="M138" i="145"/>
  <c r="M137" i="145"/>
  <c r="M37" i="145"/>
  <c r="M178" i="145"/>
  <c r="M173" i="145"/>
  <c r="M172" i="145"/>
  <c r="M175" i="145"/>
  <c r="M81" i="145"/>
  <c r="M169" i="145"/>
  <c r="M167" i="145"/>
  <c r="M67" i="145"/>
  <c r="M162" i="145"/>
  <c r="M161" i="145"/>
  <c r="M166" i="145"/>
  <c r="M165" i="145"/>
  <c r="M49" i="145"/>
  <c r="M116" i="145"/>
  <c r="M113" i="145"/>
  <c r="M58" i="145"/>
  <c r="M163" i="145"/>
  <c r="M48" i="145"/>
  <c r="M135" i="145"/>
  <c r="M50" i="145"/>
  <c r="M115" i="145"/>
  <c r="M144" i="145"/>
  <c r="M142" i="145"/>
  <c r="M108" i="145"/>
  <c r="M177" i="145"/>
  <c r="M145" i="145"/>
  <c r="M143" i="145"/>
  <c r="M31" i="145"/>
  <c r="M28" i="145"/>
  <c r="M105" i="145"/>
  <c r="M107" i="145"/>
  <c r="M99" i="145"/>
  <c r="M32" i="145"/>
  <c r="M27" i="145"/>
  <c r="M140" i="145"/>
  <c r="M25" i="145"/>
  <c r="M106" i="145"/>
  <c r="M109" i="145"/>
  <c r="M101" i="145"/>
  <c r="M112" i="145"/>
  <c r="M102" i="145"/>
  <c r="M122" i="145"/>
  <c r="M131" i="145"/>
  <c r="Q71" i="211"/>
  <c r="B70" i="211"/>
  <c r="Q100" i="210"/>
  <c r="B99" i="210"/>
  <c r="B35" i="210"/>
  <c r="Q36" i="210"/>
  <c r="A34" i="210"/>
  <c r="F119" i="145"/>
  <c r="N10" i="145"/>
  <c r="N119" i="145" s="1"/>
  <c r="L59" i="123"/>
  <c r="J59" i="123"/>
  <c r="H178" i="210" l="1"/>
  <c r="H179" i="210"/>
  <c r="N93" i="145"/>
  <c r="N95" i="145"/>
  <c r="N181" i="145"/>
  <c r="N114" i="145"/>
  <c r="N110" i="145"/>
  <c r="N111" i="145"/>
  <c r="N35" i="145"/>
  <c r="N148" i="145"/>
  <c r="N147" i="145"/>
  <c r="N151" i="145"/>
  <c r="N152" i="145"/>
  <c r="B34" i="211"/>
  <c r="Q35" i="211"/>
  <c r="N156" i="145"/>
  <c r="N60" i="145"/>
  <c r="N154" i="145"/>
  <c r="N128" i="145"/>
  <c r="N138" i="145"/>
  <c r="N137" i="145"/>
  <c r="N121" i="145"/>
  <c r="N124" i="145"/>
  <c r="N123" i="145"/>
  <c r="N136" i="145"/>
  <c r="N126" i="145"/>
  <c r="N125" i="145"/>
  <c r="N166" i="145"/>
  <c r="N165" i="145"/>
  <c r="N169" i="145"/>
  <c r="N167" i="145"/>
  <c r="N178" i="145"/>
  <c r="N173" i="145"/>
  <c r="N174" i="145" s="1"/>
  <c r="N172" i="145"/>
  <c r="N175" i="145"/>
  <c r="N81" i="145"/>
  <c r="N67" i="145"/>
  <c r="N162" i="145"/>
  <c r="N161" i="145"/>
  <c r="N37" i="145"/>
  <c r="N50" i="145"/>
  <c r="N113" i="145"/>
  <c r="N116" i="145"/>
  <c r="N48" i="145"/>
  <c r="N135" i="145"/>
  <c r="N163" i="145"/>
  <c r="N49" i="145"/>
  <c r="N58" i="145"/>
  <c r="N115" i="145"/>
  <c r="N143" i="145"/>
  <c r="N108" i="145"/>
  <c r="N144" i="145"/>
  <c r="N142" i="145"/>
  <c r="N177" i="145"/>
  <c r="N145" i="145"/>
  <c r="N99" i="145"/>
  <c r="N25" i="145"/>
  <c r="N105" i="145"/>
  <c r="N31" i="145"/>
  <c r="N28" i="145"/>
  <c r="N107" i="145"/>
  <c r="N106" i="145"/>
  <c r="N32" i="145"/>
  <c r="N27" i="145"/>
  <c r="N140" i="145"/>
  <c r="N112" i="145"/>
  <c r="N101" i="145"/>
  <c r="N109" i="145"/>
  <c r="N102" i="145"/>
  <c r="N131" i="145"/>
  <c r="N122" i="145"/>
  <c r="M174" i="145"/>
  <c r="Q72" i="211"/>
  <c r="B71" i="211"/>
  <c r="B100" i="210"/>
  <c r="Q101" i="210"/>
  <c r="A35" i="210"/>
  <c r="B36" i="210"/>
  <c r="Q37" i="210"/>
  <c r="O10" i="145"/>
  <c r="F30" i="123"/>
  <c r="F14" i="123"/>
  <c r="F15" i="123"/>
  <c r="F16" i="123"/>
  <c r="F17" i="123"/>
  <c r="F18" i="123"/>
  <c r="F19" i="123"/>
  <c r="F20" i="123"/>
  <c r="F23" i="123"/>
  <c r="F25" i="123"/>
  <c r="F26" i="123"/>
  <c r="F28" i="123"/>
  <c r="F29" i="123"/>
  <c r="F31" i="123"/>
  <c r="F32" i="123"/>
  <c r="F33" i="123"/>
  <c r="F34" i="123"/>
  <c r="F35" i="123"/>
  <c r="F36" i="123"/>
  <c r="F37" i="123"/>
  <c r="F38" i="123"/>
  <c r="F39" i="123"/>
  <c r="F40" i="123"/>
  <c r="F41" i="123"/>
  <c r="F42" i="123"/>
  <c r="F43" i="123"/>
  <c r="F44" i="123"/>
  <c r="F45" i="123"/>
  <c r="F46" i="123"/>
  <c r="F47" i="123"/>
  <c r="F48" i="123"/>
  <c r="F49" i="123"/>
  <c r="F50" i="123"/>
  <c r="F51" i="123"/>
  <c r="F52" i="123"/>
  <c r="F53" i="123"/>
  <c r="F54" i="123"/>
  <c r="F55" i="123"/>
  <c r="F56" i="123"/>
  <c r="F57" i="123"/>
  <c r="F58" i="123"/>
  <c r="F59" i="123"/>
  <c r="F60" i="123"/>
  <c r="F61" i="123"/>
  <c r="F62" i="123"/>
  <c r="F10" i="123"/>
  <c r="F27" i="123"/>
  <c r="H24" i="123"/>
  <c r="J22" i="123"/>
  <c r="K22" i="123" s="1"/>
  <c r="L22" i="123"/>
  <c r="M22" i="123" s="1"/>
  <c r="H22" i="123"/>
  <c r="I22" i="123" s="1"/>
  <c r="I19" i="123"/>
  <c r="O93" i="145" l="1"/>
  <c r="O95" i="145"/>
  <c r="O181" i="145"/>
  <c r="O114" i="145"/>
  <c r="O110" i="145"/>
  <c r="O111" i="145"/>
  <c r="O35" i="145"/>
  <c r="O147" i="145"/>
  <c r="O148" i="145"/>
  <c r="O151" i="145"/>
  <c r="O152" i="145"/>
  <c r="Q36" i="211"/>
  <c r="B35" i="211"/>
  <c r="A34" i="211"/>
  <c r="O156" i="145"/>
  <c r="O60" i="145"/>
  <c r="O154" i="145"/>
  <c r="O121" i="145"/>
  <c r="O126" i="145"/>
  <c r="O125" i="145"/>
  <c r="O124" i="145"/>
  <c r="O123" i="145"/>
  <c r="O128" i="145"/>
  <c r="O138" i="145"/>
  <c r="O137" i="145"/>
  <c r="O136" i="145"/>
  <c r="O166" i="145"/>
  <c r="O165" i="145"/>
  <c r="O67" i="145"/>
  <c r="O162" i="145"/>
  <c r="O161" i="145"/>
  <c r="O178" i="145"/>
  <c r="O173" i="145"/>
  <c r="O172" i="145"/>
  <c r="O175" i="145"/>
  <c r="O81" i="145"/>
  <c r="O169" i="145"/>
  <c r="O167" i="145"/>
  <c r="O37" i="145"/>
  <c r="O48" i="145"/>
  <c r="O115" i="145"/>
  <c r="O50" i="145"/>
  <c r="O135" i="145"/>
  <c r="O116" i="145"/>
  <c r="O58" i="145"/>
  <c r="O163" i="145"/>
  <c r="O49" i="145"/>
  <c r="O113" i="145"/>
  <c r="O145" i="145"/>
  <c r="O143" i="145"/>
  <c r="O177" i="145"/>
  <c r="O144" i="145"/>
  <c r="O142" i="145"/>
  <c r="O108" i="145"/>
  <c r="O140" i="145"/>
  <c r="O25" i="145"/>
  <c r="O105" i="145"/>
  <c r="O107" i="145"/>
  <c r="O106" i="145"/>
  <c r="O99" i="145"/>
  <c r="O31" i="145"/>
  <c r="O28" i="145"/>
  <c r="O32" i="145"/>
  <c r="O27" i="145"/>
  <c r="O109" i="145"/>
  <c r="O112" i="145"/>
  <c r="O101" i="145"/>
  <c r="O102" i="145"/>
  <c r="O131" i="145"/>
  <c r="O122" i="145"/>
  <c r="O119" i="145"/>
  <c r="B72" i="211"/>
  <c r="Q73" i="211"/>
  <c r="B101" i="210"/>
  <c r="Q102" i="210"/>
  <c r="Q38" i="210"/>
  <c r="B37" i="210"/>
  <c r="A36" i="210"/>
  <c r="P10" i="145"/>
  <c r="F22" i="123"/>
  <c r="F24" i="123"/>
  <c r="M5" i="123"/>
  <c r="K5" i="123"/>
  <c r="I5" i="123"/>
  <c r="H132" i="211" l="1"/>
  <c r="H133" i="211"/>
  <c r="A35" i="211"/>
  <c r="P93" i="145"/>
  <c r="P95" i="145"/>
  <c r="P181" i="145"/>
  <c r="P110" i="145"/>
  <c r="P114" i="145"/>
  <c r="P111" i="145"/>
  <c r="P35" i="145"/>
  <c r="P148" i="145"/>
  <c r="P147" i="145"/>
  <c r="P151" i="145"/>
  <c r="P152" i="145"/>
  <c r="Q37" i="211"/>
  <c r="B36" i="211"/>
  <c r="P60" i="145"/>
  <c r="P156" i="145"/>
  <c r="P154" i="145"/>
  <c r="P138" i="145"/>
  <c r="P137" i="145"/>
  <c r="P121" i="145"/>
  <c r="P126" i="145"/>
  <c r="P125" i="145"/>
  <c r="P124" i="145"/>
  <c r="P123" i="145"/>
  <c r="P128" i="145"/>
  <c r="P136" i="145"/>
  <c r="P135" i="145"/>
  <c r="P67" i="145"/>
  <c r="P162" i="145"/>
  <c r="P161" i="145"/>
  <c r="P175" i="145"/>
  <c r="P81" i="145"/>
  <c r="P167" i="145"/>
  <c r="P37" i="145"/>
  <c r="P166" i="145"/>
  <c r="P165" i="145"/>
  <c r="P178" i="145"/>
  <c r="P173" i="145"/>
  <c r="P174" i="145" s="1"/>
  <c r="P172" i="145"/>
  <c r="P169" i="145"/>
  <c r="P163" i="145"/>
  <c r="P49" i="145"/>
  <c r="P115" i="145"/>
  <c r="P58" i="145"/>
  <c r="P113" i="145"/>
  <c r="P48" i="145"/>
  <c r="P50" i="145"/>
  <c r="P116" i="145"/>
  <c r="P145" i="145"/>
  <c r="P143" i="145"/>
  <c r="P108" i="145"/>
  <c r="P177" i="145"/>
  <c r="P144" i="145"/>
  <c r="P142" i="145"/>
  <c r="P105" i="145"/>
  <c r="P32" i="145"/>
  <c r="P27" i="145"/>
  <c r="P99" i="145"/>
  <c r="P107" i="145"/>
  <c r="P106" i="145"/>
  <c r="P25" i="145"/>
  <c r="P31" i="145"/>
  <c r="P28" i="145"/>
  <c r="P140" i="145"/>
  <c r="P101" i="145"/>
  <c r="P109" i="145"/>
  <c r="P112" i="145"/>
  <c r="P102" i="145"/>
  <c r="P131" i="145"/>
  <c r="P122" i="145"/>
  <c r="P119" i="145"/>
  <c r="O174" i="145"/>
  <c r="B73" i="211"/>
  <c r="Q74" i="211"/>
  <c r="Q103" i="210"/>
  <c r="B102" i="210"/>
  <c r="B38" i="210"/>
  <c r="Q39" i="210"/>
  <c r="A37" i="210"/>
  <c r="Q10" i="145"/>
  <c r="G12" i="123"/>
  <c r="G14" i="123"/>
  <c r="G15" i="123"/>
  <c r="G16" i="123"/>
  <c r="G17" i="123"/>
  <c r="G18" i="123"/>
  <c r="G19" i="123"/>
  <c r="G20" i="123"/>
  <c r="G22" i="123"/>
  <c r="G23" i="123"/>
  <c r="G24" i="123"/>
  <c r="G25" i="123"/>
  <c r="G26" i="123"/>
  <c r="G27" i="123"/>
  <c r="G28" i="123"/>
  <c r="G29" i="123"/>
  <c r="G30" i="123"/>
  <c r="G31" i="123"/>
  <c r="G32" i="123"/>
  <c r="G33" i="123"/>
  <c r="G34" i="123"/>
  <c r="G35" i="123"/>
  <c r="G36" i="123"/>
  <c r="G37" i="123"/>
  <c r="G38" i="123"/>
  <c r="G39" i="123"/>
  <c r="G40" i="123"/>
  <c r="G41" i="123"/>
  <c r="G42" i="123"/>
  <c r="G43" i="123"/>
  <c r="G44" i="123"/>
  <c r="G45" i="123"/>
  <c r="G46" i="123"/>
  <c r="G47" i="123"/>
  <c r="G48" i="123"/>
  <c r="G49" i="123"/>
  <c r="G50" i="123"/>
  <c r="G51" i="123"/>
  <c r="G52" i="123"/>
  <c r="G53" i="123"/>
  <c r="G54" i="123"/>
  <c r="G55" i="123"/>
  <c r="G56" i="123"/>
  <c r="G57" i="123"/>
  <c r="G58" i="123"/>
  <c r="G59" i="123"/>
  <c r="G60" i="123"/>
  <c r="G61" i="123"/>
  <c r="G62" i="123"/>
  <c r="G10" i="123"/>
  <c r="B3" i="123"/>
  <c r="C3" i="123" s="1"/>
  <c r="D3" i="123" s="1"/>
  <c r="E3" i="123" s="1"/>
  <c r="F3" i="123" s="1"/>
  <c r="G3" i="123" s="1"/>
  <c r="H3" i="123" s="1"/>
  <c r="A4" i="123"/>
  <c r="A5" i="123" s="1"/>
  <c r="Q93" i="145" l="1"/>
  <c r="Q95" i="145"/>
  <c r="Q181" i="145"/>
  <c r="Q110" i="145"/>
  <c r="Q114" i="145"/>
  <c r="Q111" i="145"/>
  <c r="Q35" i="145"/>
  <c r="Q147" i="145"/>
  <c r="Q148" i="145"/>
  <c r="Q151" i="145"/>
  <c r="Q152" i="145"/>
  <c r="Q38" i="211"/>
  <c r="B37" i="211"/>
  <c r="A37" i="211" s="1"/>
  <c r="A36" i="211"/>
  <c r="Q60" i="145"/>
  <c r="Q156" i="145"/>
  <c r="Q154" i="145"/>
  <c r="Q136" i="145"/>
  <c r="Q121" i="145"/>
  <c r="Q123" i="145"/>
  <c r="Q137" i="145"/>
  <c r="Q126" i="145"/>
  <c r="Q125" i="145"/>
  <c r="Q124" i="145"/>
  <c r="Q128" i="145"/>
  <c r="Q138" i="145"/>
  <c r="Q178" i="145"/>
  <c r="Q173" i="145"/>
  <c r="Q172" i="145"/>
  <c r="Q175" i="145"/>
  <c r="Q81" i="145"/>
  <c r="Q169" i="145"/>
  <c r="Q167" i="145"/>
  <c r="Q67" i="145"/>
  <c r="Q162" i="145"/>
  <c r="Q161" i="145"/>
  <c r="Q165" i="145"/>
  <c r="Q37" i="145"/>
  <c r="Q166" i="145"/>
  <c r="Q58" i="145"/>
  <c r="Q163" i="145"/>
  <c r="Q116" i="145"/>
  <c r="Q113" i="145"/>
  <c r="Q49" i="145"/>
  <c r="Q50" i="145"/>
  <c r="Q48" i="145"/>
  <c r="Q135" i="145"/>
  <c r="Q115" i="145"/>
  <c r="Q144" i="145"/>
  <c r="Q142" i="145"/>
  <c r="Q108" i="145"/>
  <c r="Q145" i="145"/>
  <c r="Q177" i="145"/>
  <c r="Q143" i="145"/>
  <c r="Q99" i="145"/>
  <c r="Q105" i="145"/>
  <c r="Q31" i="145"/>
  <c r="Q28" i="145"/>
  <c r="Q32" i="145"/>
  <c r="Q27" i="145"/>
  <c r="Q106" i="145"/>
  <c r="Q107" i="145"/>
  <c r="Q25" i="145"/>
  <c r="Q112" i="145"/>
  <c r="Q101" i="145"/>
  <c r="Q140" i="145"/>
  <c r="Q109" i="145"/>
  <c r="Q102" i="145"/>
  <c r="Q131" i="145"/>
  <c r="Q122" i="145"/>
  <c r="Q119" i="145"/>
  <c r="B103" i="210"/>
  <c r="Q104" i="210"/>
  <c r="Q75" i="211"/>
  <c r="B74" i="211"/>
  <c r="A38" i="210"/>
  <c r="B39" i="210"/>
  <c r="Q40" i="210"/>
  <c r="R10" i="145"/>
  <c r="A6" i="123"/>
  <c r="S11" i="228" s="1"/>
  <c r="I3" i="123"/>
  <c r="S13" i="228" l="1"/>
  <c r="S12" i="228"/>
  <c r="S11" i="227"/>
  <c r="S12" i="227" s="1"/>
  <c r="S11" i="226"/>
  <c r="S11" i="224"/>
  <c r="S11" i="223"/>
  <c r="S11" i="225"/>
  <c r="S11" i="222"/>
  <c r="R93" i="145"/>
  <c r="R95" i="145"/>
  <c r="R181" i="145"/>
  <c r="R114" i="145"/>
  <c r="R110" i="145"/>
  <c r="R111" i="145"/>
  <c r="R35" i="145"/>
  <c r="R147" i="145"/>
  <c r="R148" i="145"/>
  <c r="R151" i="145"/>
  <c r="R152" i="145"/>
  <c r="Q39" i="211"/>
  <c r="B38" i="211"/>
  <c r="S11" i="221"/>
  <c r="S12" i="221" s="1"/>
  <c r="S11" i="220"/>
  <c r="S12" i="220" s="1"/>
  <c r="S11" i="219"/>
  <c r="S12" i="219" s="1"/>
  <c r="S11" i="216"/>
  <c r="S11" i="218"/>
  <c r="S11" i="217"/>
  <c r="S11" i="214"/>
  <c r="S11" i="215"/>
  <c r="S12" i="215" s="1"/>
  <c r="S11" i="213"/>
  <c r="S11" i="212"/>
  <c r="S11" i="211"/>
  <c r="S11" i="207"/>
  <c r="S12" i="207" s="1"/>
  <c r="S11" i="210"/>
  <c r="S11" i="209"/>
  <c r="S11" i="208"/>
  <c r="S11" i="199"/>
  <c r="S11" i="197"/>
  <c r="S11" i="196"/>
  <c r="S11" i="206"/>
  <c r="S16" i="206" s="1"/>
  <c r="S11" i="198"/>
  <c r="S11" i="204"/>
  <c r="S11" i="200"/>
  <c r="S11" i="205"/>
  <c r="S11" i="203"/>
  <c r="S11" i="202"/>
  <c r="S11" i="201"/>
  <c r="S11" i="193"/>
  <c r="S11" i="185"/>
  <c r="S12" i="185" s="1"/>
  <c r="S11" i="181"/>
  <c r="S12" i="181" s="1"/>
  <c r="S11" i="180"/>
  <c r="S11" i="176"/>
  <c r="S11" i="195"/>
  <c r="S11" i="190"/>
  <c r="S11" i="187"/>
  <c r="S12" i="187" s="1"/>
  <c r="S11" i="183"/>
  <c r="S12" i="183" s="1"/>
  <c r="S11" i="182"/>
  <c r="S12" i="182" s="1"/>
  <c r="S11" i="179"/>
  <c r="S11" i="175"/>
  <c r="S11" i="194"/>
  <c r="S11" i="189"/>
  <c r="S11" i="178"/>
  <c r="S11" i="174"/>
  <c r="S11" i="177"/>
  <c r="S11" i="192"/>
  <c r="S11" i="186"/>
  <c r="S12" i="186" s="1"/>
  <c r="S11" i="184"/>
  <c r="S12" i="184" s="1"/>
  <c r="S11" i="191"/>
  <c r="S11" i="173"/>
  <c r="S11" i="172"/>
  <c r="S11" i="167"/>
  <c r="S11" i="168"/>
  <c r="S11" i="171"/>
  <c r="S11" i="169"/>
  <c r="S11" i="170"/>
  <c r="S11" i="159"/>
  <c r="S11" i="156"/>
  <c r="S11" i="158"/>
  <c r="S11" i="164"/>
  <c r="S11" i="160"/>
  <c r="S11" i="155"/>
  <c r="S11" i="163"/>
  <c r="S11" i="154"/>
  <c r="S11" i="165"/>
  <c r="S11" i="153"/>
  <c r="S11" i="151"/>
  <c r="S12" i="151" s="1"/>
  <c r="S11" i="148"/>
  <c r="S12" i="148" s="1"/>
  <c r="S11" i="149"/>
  <c r="S11" i="152"/>
  <c r="S11" i="150"/>
  <c r="S12" i="150" s="1"/>
  <c r="S11" i="147"/>
  <c r="S12" i="147" s="1"/>
  <c r="R156" i="145"/>
  <c r="R60" i="145"/>
  <c r="R154" i="145"/>
  <c r="R128" i="145"/>
  <c r="R138" i="145"/>
  <c r="R137" i="145"/>
  <c r="R121" i="145"/>
  <c r="R126" i="145"/>
  <c r="R125" i="145"/>
  <c r="R124" i="145"/>
  <c r="R136" i="145"/>
  <c r="R123" i="145"/>
  <c r="R166" i="145"/>
  <c r="R165" i="145"/>
  <c r="R169" i="145"/>
  <c r="R167" i="145"/>
  <c r="R37" i="145"/>
  <c r="R178" i="145"/>
  <c r="R173" i="145"/>
  <c r="R174" i="145" s="1"/>
  <c r="R172" i="145"/>
  <c r="R175" i="145"/>
  <c r="R81" i="145"/>
  <c r="R67" i="145"/>
  <c r="R162" i="145"/>
  <c r="R161" i="145"/>
  <c r="R159" i="145" s="1"/>
  <c r="R48" i="145"/>
  <c r="R113" i="145"/>
  <c r="R116" i="145"/>
  <c r="R50" i="145"/>
  <c r="R58" i="145"/>
  <c r="R49" i="145"/>
  <c r="R135" i="145"/>
  <c r="R115" i="145"/>
  <c r="R143" i="145"/>
  <c r="R108" i="145"/>
  <c r="R144" i="145"/>
  <c r="R142" i="145"/>
  <c r="R163" i="145"/>
  <c r="R177" i="145"/>
  <c r="R145" i="145"/>
  <c r="R107" i="145"/>
  <c r="R25" i="145"/>
  <c r="R31" i="145"/>
  <c r="R28" i="145"/>
  <c r="R105" i="145"/>
  <c r="R99" i="145"/>
  <c r="R106" i="145"/>
  <c r="R32" i="145"/>
  <c r="R27" i="145"/>
  <c r="R109" i="145"/>
  <c r="R112" i="145"/>
  <c r="R101" i="145"/>
  <c r="R140" i="145"/>
  <c r="R102" i="145"/>
  <c r="R131" i="145"/>
  <c r="R122" i="145"/>
  <c r="R119" i="145"/>
  <c r="Q174" i="145"/>
  <c r="Q105" i="210"/>
  <c r="B104" i="210"/>
  <c r="Q76" i="211"/>
  <c r="B75" i="211"/>
  <c r="Q41" i="210"/>
  <c r="B40" i="210"/>
  <c r="A39" i="210"/>
  <c r="S10" i="145"/>
  <c r="J3" i="123"/>
  <c r="K3" i="123" s="1"/>
  <c r="L3" i="123" s="1"/>
  <c r="M3" i="123" s="1"/>
  <c r="S11" i="106"/>
  <c r="A7" i="123"/>
  <c r="A8" i="123" s="1"/>
  <c r="L4" i="228" s="1"/>
  <c r="S30" i="178" l="1"/>
  <c r="S28" i="178"/>
  <c r="S31" i="178"/>
  <c r="S29" i="178"/>
  <c r="S27" i="178"/>
  <c r="S25" i="178"/>
  <c r="S23" i="178"/>
  <c r="S26" i="178"/>
  <c r="S24" i="178"/>
  <c r="S22" i="178"/>
  <c r="S13" i="178"/>
  <c r="S20" i="178"/>
  <c r="S21" i="178"/>
  <c r="S19" i="178"/>
  <c r="S18" i="178"/>
  <c r="S17" i="178"/>
  <c r="S30" i="197"/>
  <c r="S28" i="197"/>
  <c r="S26" i="197"/>
  <c r="S24" i="197"/>
  <c r="S22" i="197"/>
  <c r="S27" i="197"/>
  <c r="S23" i="197"/>
  <c r="S31" i="197"/>
  <c r="S29" i="197"/>
  <c r="S25" i="197"/>
  <c r="S19" i="197"/>
  <c r="S15" i="197"/>
  <c r="S18" i="197"/>
  <c r="S14" i="197"/>
  <c r="S20" i="197"/>
  <c r="S16" i="197"/>
  <c r="S21" i="197"/>
  <c r="S17" i="197"/>
  <c r="S13" i="197"/>
  <c r="S13" i="225"/>
  <c r="S12" i="225"/>
  <c r="L4" i="227"/>
  <c r="L4" i="226"/>
  <c r="L4" i="224"/>
  <c r="L4" i="223"/>
  <c r="L4" i="225"/>
  <c r="L4" i="222"/>
  <c r="S13" i="222"/>
  <c r="S12" i="222"/>
  <c r="S13" i="226"/>
  <c r="S12" i="226"/>
  <c r="S13" i="224"/>
  <c r="S12" i="224"/>
  <c r="S12" i="223"/>
  <c r="S13" i="223"/>
  <c r="S18" i="179"/>
  <c r="S16" i="179"/>
  <c r="S19" i="179"/>
  <c r="S17" i="179"/>
  <c r="S16" i="216"/>
  <c r="S13" i="216"/>
  <c r="S14" i="216"/>
  <c r="S15" i="216"/>
  <c r="S30" i="171"/>
  <c r="S37" i="171"/>
  <c r="S41" i="173"/>
  <c r="S34" i="173"/>
  <c r="S41" i="172"/>
  <c r="S34" i="172"/>
  <c r="S38" i="173"/>
  <c r="S39" i="173"/>
  <c r="S35" i="173"/>
  <c r="S40" i="173"/>
  <c r="S36" i="173"/>
  <c r="S37" i="173"/>
  <c r="S38" i="172"/>
  <c r="S39" i="172"/>
  <c r="S35" i="172"/>
  <c r="S40" i="172"/>
  <c r="S36" i="172"/>
  <c r="S37" i="172"/>
  <c r="S34" i="171"/>
  <c r="S33" i="171"/>
  <c r="S36" i="171"/>
  <c r="S32" i="171"/>
  <c r="S35" i="171"/>
  <c r="S31" i="171"/>
  <c r="S31" i="173"/>
  <c r="S32" i="173"/>
  <c r="S28" i="173"/>
  <c r="S33" i="173"/>
  <c r="S29" i="173"/>
  <c r="S30" i="173"/>
  <c r="S31" i="172"/>
  <c r="S32" i="172"/>
  <c r="S28" i="172"/>
  <c r="S33" i="172"/>
  <c r="S29" i="172"/>
  <c r="S30" i="172"/>
  <c r="S28" i="171"/>
  <c r="S26" i="171"/>
  <c r="S24" i="171"/>
  <c r="S29" i="171"/>
  <c r="S27" i="171"/>
  <c r="S25" i="171"/>
  <c r="S25" i="173"/>
  <c r="S26" i="173"/>
  <c r="S22" i="173"/>
  <c r="S24" i="173"/>
  <c r="S27" i="173"/>
  <c r="S23" i="173"/>
  <c r="S17" i="172"/>
  <c r="S25" i="172"/>
  <c r="S26" i="172"/>
  <c r="S22" i="172"/>
  <c r="S27" i="172"/>
  <c r="S23" i="172"/>
  <c r="S24" i="172"/>
  <c r="S13" i="171"/>
  <c r="S22" i="171"/>
  <c r="S20" i="171"/>
  <c r="S18" i="171"/>
  <c r="S23" i="171"/>
  <c r="S21" i="171"/>
  <c r="S19" i="171"/>
  <c r="S20" i="173"/>
  <c r="S21" i="173"/>
  <c r="S17" i="173"/>
  <c r="S20" i="172"/>
  <c r="S21" i="172"/>
  <c r="S16" i="171"/>
  <c r="S17" i="171"/>
  <c r="S18" i="173"/>
  <c r="S19" i="173"/>
  <c r="S18" i="172"/>
  <c r="S19" i="172"/>
  <c r="S14" i="171"/>
  <c r="S15" i="171"/>
  <c r="S39" i="171"/>
  <c r="S38" i="171"/>
  <c r="S93" i="145"/>
  <c r="S95" i="145"/>
  <c r="S181" i="145"/>
  <c r="S114" i="145"/>
  <c r="S110" i="145"/>
  <c r="S35" i="145"/>
  <c r="S111" i="145"/>
  <c r="S147" i="145"/>
  <c r="S148" i="145"/>
  <c r="S151" i="145"/>
  <c r="S152" i="145"/>
  <c r="S12" i="154"/>
  <c r="S15" i="154"/>
  <c r="S14" i="154"/>
  <c r="S13" i="154"/>
  <c r="S13" i="164"/>
  <c r="S12" i="164"/>
  <c r="S19" i="167"/>
  <c r="S12" i="167"/>
  <c r="S13" i="167"/>
  <c r="S14" i="167"/>
  <c r="S15" i="167"/>
  <c r="S18" i="167"/>
  <c r="S16" i="167"/>
  <c r="S17" i="167"/>
  <c r="S13" i="174"/>
  <c r="S15" i="174"/>
  <c r="S12" i="174"/>
  <c r="S14" i="174"/>
  <c r="S15" i="175"/>
  <c r="S12" i="175"/>
  <c r="S13" i="175"/>
  <c r="S14" i="175"/>
  <c r="S13" i="201"/>
  <c r="S12" i="201"/>
  <c r="S13" i="196"/>
  <c r="S12" i="196"/>
  <c r="S13" i="212"/>
  <c r="S12" i="212"/>
  <c r="L4" i="221"/>
  <c r="L4" i="220"/>
  <c r="L4" i="219"/>
  <c r="L4" i="218"/>
  <c r="L4" i="216"/>
  <c r="L4" i="217"/>
  <c r="L4" i="214"/>
  <c r="L4" i="215"/>
  <c r="L4" i="213"/>
  <c r="L4" i="212"/>
  <c r="L4" i="211"/>
  <c r="L4" i="210"/>
  <c r="L4" i="209"/>
  <c r="L4" i="207"/>
  <c r="L4" i="208"/>
  <c r="L4" i="199"/>
  <c r="L4" i="198"/>
  <c r="L4" i="196"/>
  <c r="L4" i="197"/>
  <c r="L4" i="202"/>
  <c r="L4" i="206"/>
  <c r="L4" i="204"/>
  <c r="L4" i="205"/>
  <c r="L4" i="200"/>
  <c r="L4" i="203"/>
  <c r="L4" i="201"/>
  <c r="L4" i="193"/>
  <c r="L4" i="176"/>
  <c r="L4" i="175"/>
  <c r="L4" i="174"/>
  <c r="L4" i="195"/>
  <c r="L4" i="190"/>
  <c r="L4" i="185"/>
  <c r="L4" i="183"/>
  <c r="L4" i="182"/>
  <c r="L4" i="180"/>
  <c r="L4" i="178"/>
  <c r="L4" i="179"/>
  <c r="L4" i="184"/>
  <c r="L4" i="181"/>
  <c r="L4" i="187"/>
  <c r="L4" i="177"/>
  <c r="L4" i="192"/>
  <c r="L4" i="191"/>
  <c r="L4" i="189"/>
  <c r="L4" i="186"/>
  <c r="L4" i="194"/>
  <c r="L4" i="173"/>
  <c r="L4" i="172"/>
  <c r="L4" i="167"/>
  <c r="L4" i="168"/>
  <c r="L4" i="171"/>
  <c r="L4" i="170"/>
  <c r="L4" i="169"/>
  <c r="L4" i="165"/>
  <c r="L4" i="163"/>
  <c r="L4" i="159"/>
  <c r="L4" i="156"/>
  <c r="L4" i="158"/>
  <c r="L4" i="164"/>
  <c r="L4" i="160"/>
  <c r="L4" i="155"/>
  <c r="L4" i="154"/>
  <c r="L4" i="153"/>
  <c r="L4" i="149"/>
  <c r="L4" i="151"/>
  <c r="L4" i="152"/>
  <c r="L4" i="150"/>
  <c r="L4" i="148"/>
  <c r="L4" i="147"/>
  <c r="S13" i="163"/>
  <c r="S12" i="163"/>
  <c r="S12" i="158"/>
  <c r="S13" i="158"/>
  <c r="S15" i="158"/>
  <c r="S14" i="158"/>
  <c r="S15" i="169"/>
  <c r="S12" i="169"/>
  <c r="S14" i="169"/>
  <c r="S13" i="169"/>
  <c r="S16" i="172"/>
  <c r="S15" i="172"/>
  <c r="S12" i="172"/>
  <c r="S14" i="172"/>
  <c r="S13" i="172"/>
  <c r="S16" i="178"/>
  <c r="S12" i="178"/>
  <c r="S15" i="178"/>
  <c r="S14" i="178"/>
  <c r="S15" i="179"/>
  <c r="S14" i="179"/>
  <c r="S13" i="179"/>
  <c r="S12" i="179"/>
  <c r="S31" i="190"/>
  <c r="S20" i="190"/>
  <c r="S24" i="190"/>
  <c r="S22" i="190"/>
  <c r="S15" i="190"/>
  <c r="S14" i="190"/>
  <c r="S18" i="190"/>
  <c r="S17" i="190"/>
  <c r="S30" i="190"/>
  <c r="S19" i="190"/>
  <c r="S28" i="190"/>
  <c r="S27" i="190"/>
  <c r="S29" i="190"/>
  <c r="S21" i="190"/>
  <c r="S12" i="190"/>
  <c r="S16" i="190"/>
  <c r="S26" i="190"/>
  <c r="S13" i="190"/>
  <c r="S23" i="190"/>
  <c r="S25" i="190"/>
  <c r="S13" i="202"/>
  <c r="S12" i="202"/>
  <c r="S13" i="204"/>
  <c r="S12" i="204"/>
  <c r="S12" i="197"/>
  <c r="S78" i="210"/>
  <c r="S75" i="210"/>
  <c r="S71" i="210"/>
  <c r="S67" i="210"/>
  <c r="S66" i="210"/>
  <c r="S65" i="210"/>
  <c r="S64" i="210"/>
  <c r="S47" i="210"/>
  <c r="S53" i="210"/>
  <c r="S21" i="210"/>
  <c r="S114" i="210"/>
  <c r="S121" i="210"/>
  <c r="S105" i="210"/>
  <c r="S116" i="210"/>
  <c r="S127" i="210"/>
  <c r="S111" i="210"/>
  <c r="S86" i="210"/>
  <c r="S94" i="210"/>
  <c r="S102" i="210"/>
  <c r="S83" i="210"/>
  <c r="S91" i="210"/>
  <c r="S99" i="210"/>
  <c r="S41" i="210"/>
  <c r="S34" i="210"/>
  <c r="S16" i="210"/>
  <c r="S29" i="210"/>
  <c r="S23" i="210"/>
  <c r="S24" i="210"/>
  <c r="S22" i="210"/>
  <c r="S17" i="210"/>
  <c r="S58" i="210"/>
  <c r="S56" i="210"/>
  <c r="S50" i="210"/>
  <c r="S45" i="210"/>
  <c r="S122" i="210"/>
  <c r="S106" i="210"/>
  <c r="S124" i="210"/>
  <c r="S108" i="210"/>
  <c r="S119" i="210"/>
  <c r="S98" i="210"/>
  <c r="S87" i="210"/>
  <c r="S103" i="210"/>
  <c r="S37" i="210"/>
  <c r="S38" i="210"/>
  <c r="S28" i="210"/>
  <c r="S26" i="210"/>
  <c r="S55" i="210"/>
  <c r="S68" i="210"/>
  <c r="S51" i="210"/>
  <c r="S46" i="210"/>
  <c r="S125" i="210"/>
  <c r="S120" i="210"/>
  <c r="S115" i="210"/>
  <c r="S80" i="210"/>
  <c r="S88" i="210"/>
  <c r="S96" i="210"/>
  <c r="S81" i="210"/>
  <c r="S89" i="210"/>
  <c r="S35" i="210"/>
  <c r="S12" i="210"/>
  <c r="S18" i="210"/>
  <c r="S13" i="210"/>
  <c r="S77" i="210"/>
  <c r="S74" i="210"/>
  <c r="S63" i="210"/>
  <c r="S62" i="210"/>
  <c r="S61" i="210"/>
  <c r="S60" i="210"/>
  <c r="S52" i="210"/>
  <c r="S54" i="210"/>
  <c r="S49" i="210"/>
  <c r="S129" i="210"/>
  <c r="S126" i="210"/>
  <c r="S110" i="210"/>
  <c r="S117" i="210"/>
  <c r="S128" i="210"/>
  <c r="S112" i="210"/>
  <c r="S123" i="210"/>
  <c r="S107" i="210"/>
  <c r="S84" i="210"/>
  <c r="S92" i="210"/>
  <c r="S100" i="210"/>
  <c r="S85" i="210"/>
  <c r="S93" i="210"/>
  <c r="S101" i="210"/>
  <c r="S40" i="210"/>
  <c r="S39" i="210"/>
  <c r="S36" i="210"/>
  <c r="S14" i="210"/>
  <c r="S25" i="210"/>
  <c r="S19" i="210"/>
  <c r="S15" i="210"/>
  <c r="S70" i="210"/>
  <c r="S59" i="210"/>
  <c r="S57" i="210"/>
  <c r="S48" i="210"/>
  <c r="S113" i="210"/>
  <c r="S82" i="210"/>
  <c r="S90" i="210"/>
  <c r="S79" i="210"/>
  <c r="S95" i="210"/>
  <c r="S32" i="210"/>
  <c r="S33" i="210"/>
  <c r="S31" i="210"/>
  <c r="S27" i="210"/>
  <c r="S76" i="210"/>
  <c r="S73" i="210"/>
  <c r="S72" i="210"/>
  <c r="S69" i="210"/>
  <c r="S118" i="210"/>
  <c r="S109" i="210"/>
  <c r="S104" i="210"/>
  <c r="S97" i="210"/>
  <c r="S44" i="210"/>
  <c r="S42" i="210"/>
  <c r="S43" i="210"/>
  <c r="S30" i="210"/>
  <c r="S20" i="210"/>
  <c r="S13" i="213"/>
  <c r="S12" i="213"/>
  <c r="S15" i="218"/>
  <c r="S12" i="218"/>
  <c r="S14" i="218"/>
  <c r="S13" i="218"/>
  <c r="S15" i="180"/>
  <c r="S12" i="180"/>
  <c r="S14" i="180"/>
  <c r="S13" i="180"/>
  <c r="R160" i="145"/>
  <c r="AF160" i="145" s="1"/>
  <c r="AF159" i="145"/>
  <c r="S14" i="152"/>
  <c r="S13" i="152"/>
  <c r="S16" i="152"/>
  <c r="S12" i="152"/>
  <c r="S17" i="152"/>
  <c r="S15" i="152"/>
  <c r="S14" i="153"/>
  <c r="S12" i="153"/>
  <c r="S15" i="153"/>
  <c r="S13" i="153"/>
  <c r="S12" i="155"/>
  <c r="S15" i="155"/>
  <c r="S14" i="155"/>
  <c r="S13" i="155"/>
  <c r="S12" i="156"/>
  <c r="S15" i="156"/>
  <c r="S14" i="156"/>
  <c r="S13" i="156"/>
  <c r="S12" i="171"/>
  <c r="S13" i="173"/>
  <c r="S15" i="173"/>
  <c r="S14" i="173"/>
  <c r="S12" i="173"/>
  <c r="S16" i="173"/>
  <c r="S13" i="192"/>
  <c r="S15" i="192"/>
  <c r="S14" i="192"/>
  <c r="S12" i="192"/>
  <c r="S13" i="189"/>
  <c r="S23" i="189"/>
  <c r="S25" i="189"/>
  <c r="S27" i="189"/>
  <c r="S16" i="189"/>
  <c r="S19" i="189"/>
  <c r="S21" i="189"/>
  <c r="S29" i="189"/>
  <c r="S30" i="189"/>
  <c r="S17" i="189"/>
  <c r="S12" i="189"/>
  <c r="S15" i="189"/>
  <c r="S31" i="189"/>
  <c r="S22" i="189"/>
  <c r="S24" i="189"/>
  <c r="S26" i="189"/>
  <c r="S28" i="189"/>
  <c r="S18" i="189"/>
  <c r="S20" i="189"/>
  <c r="S14" i="189"/>
  <c r="S15" i="195"/>
  <c r="S12" i="195"/>
  <c r="S14" i="195"/>
  <c r="S13" i="195"/>
  <c r="S13" i="203"/>
  <c r="S12" i="203"/>
  <c r="S13" i="198"/>
  <c r="S12" i="198"/>
  <c r="S13" i="199"/>
  <c r="S12" i="199"/>
  <c r="S19" i="216"/>
  <c r="S12" i="216"/>
  <c r="S18" i="216"/>
  <c r="S17" i="216"/>
  <c r="A38" i="211"/>
  <c r="S15" i="170"/>
  <c r="S12" i="170"/>
  <c r="S13" i="170"/>
  <c r="S14" i="170"/>
  <c r="S13" i="200"/>
  <c r="S12" i="200"/>
  <c r="S15" i="209"/>
  <c r="S19" i="209"/>
  <c r="S18" i="209"/>
  <c r="S13" i="209"/>
  <c r="S20" i="209"/>
  <c r="S17" i="209"/>
  <c r="S21" i="209"/>
  <c r="S14" i="209"/>
  <c r="S16" i="209"/>
  <c r="S12" i="209"/>
  <c r="S15" i="217"/>
  <c r="S14" i="217"/>
  <c r="S12" i="217"/>
  <c r="S13" i="217"/>
  <c r="S12" i="149"/>
  <c r="S13" i="149"/>
  <c r="S13" i="165"/>
  <c r="S12" i="165"/>
  <c r="S13" i="160"/>
  <c r="S12" i="160"/>
  <c r="S13" i="159"/>
  <c r="S12" i="159"/>
  <c r="S15" i="168"/>
  <c r="S12" i="168"/>
  <c r="S14" i="168"/>
  <c r="S13" i="168"/>
  <c r="S12" i="191"/>
  <c r="S13" i="191"/>
  <c r="S15" i="177"/>
  <c r="S12" i="177"/>
  <c r="S13" i="177"/>
  <c r="S14" i="177"/>
  <c r="S14" i="194"/>
  <c r="S15" i="194"/>
  <c r="S13" i="194"/>
  <c r="S12" i="194"/>
  <c r="S15" i="176"/>
  <c r="S12" i="176"/>
  <c r="S14" i="176"/>
  <c r="S13" i="176"/>
  <c r="S15" i="193"/>
  <c r="S14" i="193"/>
  <c r="S13" i="193"/>
  <c r="S12" i="193"/>
  <c r="S13" i="205"/>
  <c r="S12" i="205"/>
  <c r="S15" i="206"/>
  <c r="S12" i="206"/>
  <c r="S14" i="206"/>
  <c r="S13" i="206"/>
  <c r="S15" i="208"/>
  <c r="S14" i="208"/>
  <c r="S13" i="208"/>
  <c r="S12" i="208"/>
  <c r="S15" i="211"/>
  <c r="S51" i="211"/>
  <c r="S59" i="211"/>
  <c r="S67" i="211"/>
  <c r="S75" i="211"/>
  <c r="S83" i="211"/>
  <c r="S16" i="211"/>
  <c r="S24" i="211"/>
  <c r="S32" i="211"/>
  <c r="S40" i="211"/>
  <c r="S17" i="211"/>
  <c r="S25" i="211"/>
  <c r="S33" i="211"/>
  <c r="S41" i="211"/>
  <c r="S13" i="211"/>
  <c r="S55" i="211"/>
  <c r="S63" i="211"/>
  <c r="S79" i="211"/>
  <c r="S20" i="211"/>
  <c r="S28" i="211"/>
  <c r="S44" i="211"/>
  <c r="S29" i="211"/>
  <c r="S45" i="211"/>
  <c r="S54" i="211"/>
  <c r="S62" i="211"/>
  <c r="S70" i="211"/>
  <c r="S78" i="211"/>
  <c r="S60" i="211"/>
  <c r="S68" i="211"/>
  <c r="S76" i="211"/>
  <c r="S57" i="211"/>
  <c r="S65" i="211"/>
  <c r="S81" i="211"/>
  <c r="S50" i="211"/>
  <c r="S58" i="211"/>
  <c r="S66" i="211"/>
  <c r="S74" i="211"/>
  <c r="S82" i="211"/>
  <c r="S48" i="211"/>
  <c r="S56" i="211"/>
  <c r="S64" i="211"/>
  <c r="S72" i="211"/>
  <c r="S80" i="211"/>
  <c r="S53" i="211"/>
  <c r="S61" i="211"/>
  <c r="S69" i="211"/>
  <c r="S77" i="211"/>
  <c r="S14" i="211"/>
  <c r="S22" i="211"/>
  <c r="S30" i="211"/>
  <c r="S38" i="211"/>
  <c r="S46" i="211"/>
  <c r="S19" i="211"/>
  <c r="S27" i="211"/>
  <c r="S35" i="211"/>
  <c r="S43" i="211"/>
  <c r="S71" i="211"/>
  <c r="S36" i="211"/>
  <c r="S21" i="211"/>
  <c r="S37" i="211"/>
  <c r="S52" i="211"/>
  <c r="S49" i="211"/>
  <c r="S73" i="211"/>
  <c r="S18" i="211"/>
  <c r="S26" i="211"/>
  <c r="S34" i="211"/>
  <c r="S42" i="211"/>
  <c r="S12" i="211"/>
  <c r="S23" i="211"/>
  <c r="S31" i="211"/>
  <c r="S39" i="211"/>
  <c r="S47" i="211"/>
  <c r="S12" i="214"/>
  <c r="S13" i="214"/>
  <c r="B39" i="211"/>
  <c r="Q40" i="211"/>
  <c r="S60" i="145"/>
  <c r="S156" i="145"/>
  <c r="S154" i="145"/>
  <c r="S121" i="145"/>
  <c r="S126" i="145"/>
  <c r="S125" i="145"/>
  <c r="S124" i="145"/>
  <c r="S123" i="145"/>
  <c r="S136" i="145"/>
  <c r="S128" i="145"/>
  <c r="S138" i="145"/>
  <c r="S137" i="145"/>
  <c r="S166" i="145"/>
  <c r="S165" i="145"/>
  <c r="S162" i="145"/>
  <c r="S37" i="145"/>
  <c r="S178" i="145"/>
  <c r="S173" i="145"/>
  <c r="S174" i="145" s="1"/>
  <c r="S172" i="145"/>
  <c r="S175" i="145"/>
  <c r="S81" i="145"/>
  <c r="S169" i="145"/>
  <c r="S167" i="145"/>
  <c r="S67" i="145"/>
  <c r="S161" i="145"/>
  <c r="S50" i="145"/>
  <c r="S115" i="145"/>
  <c r="S48" i="145"/>
  <c r="S49" i="145"/>
  <c r="S58" i="145"/>
  <c r="S135" i="145"/>
  <c r="S113" i="145"/>
  <c r="S116" i="145"/>
  <c r="S145" i="145"/>
  <c r="S163" i="145"/>
  <c r="S143" i="145"/>
  <c r="S144" i="145"/>
  <c r="S142" i="145"/>
  <c r="S177" i="145"/>
  <c r="S108" i="145"/>
  <c r="S99" i="145"/>
  <c r="S106" i="145"/>
  <c r="S107" i="145"/>
  <c r="S25" i="145"/>
  <c r="S105" i="145"/>
  <c r="S31" i="145"/>
  <c r="S28" i="145"/>
  <c r="S32" i="145"/>
  <c r="S27" i="145"/>
  <c r="S140" i="145"/>
  <c r="S112" i="145"/>
  <c r="S101" i="145"/>
  <c r="S109" i="145"/>
  <c r="S102" i="145"/>
  <c r="S131" i="145"/>
  <c r="S122" i="145"/>
  <c r="S119" i="145"/>
  <c r="Q106" i="210"/>
  <c r="B105" i="210"/>
  <c r="B76" i="211"/>
  <c r="Q77" i="211"/>
  <c r="Q42" i="210"/>
  <c r="B41" i="210"/>
  <c r="A40" i="210"/>
  <c r="T10" i="145"/>
  <c r="A10" i="123"/>
  <c r="L4" i="106"/>
  <c r="S13" i="106"/>
  <c r="S12" i="106"/>
  <c r="P11" i="228" l="1"/>
  <c r="Q11" i="228" s="1"/>
  <c r="T11" i="228"/>
  <c r="T11" i="227"/>
  <c r="P11" i="227"/>
  <c r="Q11" i="227" s="1"/>
  <c r="T11" i="226"/>
  <c r="P11" i="226"/>
  <c r="Q11" i="226" s="1"/>
  <c r="P11" i="225"/>
  <c r="Q11" i="225" s="1"/>
  <c r="P11" i="224"/>
  <c r="Q11" i="224" s="1"/>
  <c r="P11" i="223"/>
  <c r="Q11" i="223" s="1"/>
  <c r="T11" i="223"/>
  <c r="T11" i="224"/>
  <c r="T11" i="225"/>
  <c r="T11" i="222"/>
  <c r="P11" i="222"/>
  <c r="Q11" i="222" s="1"/>
  <c r="A39" i="211"/>
  <c r="T93" i="145"/>
  <c r="T95" i="145"/>
  <c r="T181" i="145"/>
  <c r="T110" i="145"/>
  <c r="T114" i="145"/>
  <c r="T35" i="145"/>
  <c r="T111" i="145"/>
  <c r="T147" i="145"/>
  <c r="T148" i="145"/>
  <c r="T151" i="145"/>
  <c r="T152" i="145"/>
  <c r="P11" i="220"/>
  <c r="Q11" i="220" s="1"/>
  <c r="P11" i="221"/>
  <c r="Q11" i="221" s="1"/>
  <c r="T11" i="220"/>
  <c r="T11" i="221"/>
  <c r="P11" i="219"/>
  <c r="Q11" i="219" s="1"/>
  <c r="T11" i="219"/>
  <c r="T11" i="218"/>
  <c r="P11" i="217"/>
  <c r="Q11" i="217" s="1"/>
  <c r="T11" i="216"/>
  <c r="T11" i="217"/>
  <c r="P11" i="216"/>
  <c r="Q11" i="216" s="1"/>
  <c r="P11" i="218"/>
  <c r="Q11" i="218" s="1"/>
  <c r="T11" i="214"/>
  <c r="P11" i="215"/>
  <c r="Q11" i="215" s="1"/>
  <c r="P11" i="214"/>
  <c r="Q11" i="214" s="1"/>
  <c r="T11" i="215"/>
  <c r="T11" i="213"/>
  <c r="P11" i="212"/>
  <c r="Q11" i="212" s="1"/>
  <c r="T11" i="212"/>
  <c r="P11" i="213"/>
  <c r="Q11" i="213" s="1"/>
  <c r="T11" i="211"/>
  <c r="P11" i="211"/>
  <c r="Q11" i="211" s="1"/>
  <c r="P11" i="210"/>
  <c r="Q11" i="210" s="1"/>
  <c r="P11" i="209"/>
  <c r="Q11" i="209" s="1"/>
  <c r="T11" i="208"/>
  <c r="P11" i="208"/>
  <c r="Q11" i="208" s="1"/>
  <c r="T11" i="207"/>
  <c r="P11" i="207"/>
  <c r="Q11" i="207" s="1"/>
  <c r="T11" i="210"/>
  <c r="T11" i="209"/>
  <c r="P11" i="206"/>
  <c r="Q11" i="206" s="1"/>
  <c r="P11" i="205"/>
  <c r="Q11" i="205" s="1"/>
  <c r="T11" i="204"/>
  <c r="P11" i="202"/>
  <c r="Q11" i="202" s="1"/>
  <c r="P11" i="200"/>
  <c r="Q11" i="200" s="1"/>
  <c r="P11" i="198"/>
  <c r="Q11" i="198" s="1"/>
  <c r="T11" i="197"/>
  <c r="T11" i="196"/>
  <c r="T11" i="205"/>
  <c r="T11" i="203"/>
  <c r="T11" i="202"/>
  <c r="T11" i="201"/>
  <c r="P11" i="199"/>
  <c r="Q11" i="199" s="1"/>
  <c r="T11" i="199"/>
  <c r="T11" i="206"/>
  <c r="P11" i="204"/>
  <c r="Q11" i="204" s="1"/>
  <c r="T11" i="200"/>
  <c r="T11" i="198"/>
  <c r="P11" i="197"/>
  <c r="Q11" i="197" s="1"/>
  <c r="P11" i="196"/>
  <c r="Q11" i="196" s="1"/>
  <c r="P11" i="203"/>
  <c r="Q11" i="203" s="1"/>
  <c r="P11" i="201"/>
  <c r="Q11" i="201" s="1"/>
  <c r="T11" i="195"/>
  <c r="P11" i="194"/>
  <c r="Q11" i="194" s="1"/>
  <c r="P11" i="191"/>
  <c r="Q11" i="191" s="1"/>
  <c r="T11" i="190"/>
  <c r="P11" i="189"/>
  <c r="Q11" i="189" s="1"/>
  <c r="T11" i="187"/>
  <c r="P11" i="184"/>
  <c r="Q11" i="184" s="1"/>
  <c r="T11" i="183"/>
  <c r="T11" i="182"/>
  <c r="T11" i="179"/>
  <c r="T11" i="175"/>
  <c r="P11" i="195"/>
  <c r="Q11" i="195" s="1"/>
  <c r="P11" i="193"/>
  <c r="Q11" i="193" s="1"/>
  <c r="T11" i="192"/>
  <c r="T11" i="186"/>
  <c r="P11" i="185"/>
  <c r="Q11" i="185" s="1"/>
  <c r="P11" i="181"/>
  <c r="Q11" i="181" s="1"/>
  <c r="P11" i="180"/>
  <c r="Q11" i="180" s="1"/>
  <c r="T11" i="178"/>
  <c r="T11" i="177"/>
  <c r="P11" i="176"/>
  <c r="Q11" i="176" s="1"/>
  <c r="T11" i="174"/>
  <c r="T11" i="194"/>
  <c r="T11" i="193"/>
  <c r="P11" i="177"/>
  <c r="Q11" i="177" s="1"/>
  <c r="P11" i="178"/>
  <c r="Q11" i="178" s="1"/>
  <c r="P11" i="192"/>
  <c r="Q11" i="192" s="1"/>
  <c r="P11" i="186"/>
  <c r="Q11" i="186" s="1"/>
  <c r="T11" i="185"/>
  <c r="T11" i="181"/>
  <c r="T11" i="176"/>
  <c r="P11" i="190"/>
  <c r="Q11" i="190" s="1"/>
  <c r="T11" i="184"/>
  <c r="T11" i="180"/>
  <c r="P11" i="175"/>
  <c r="Q11" i="175" s="1"/>
  <c r="P11" i="179"/>
  <c r="Q11" i="179" s="1"/>
  <c r="P11" i="174"/>
  <c r="Q11" i="174" s="1"/>
  <c r="T11" i="191"/>
  <c r="P11" i="183"/>
  <c r="Q11" i="183" s="1"/>
  <c r="T11" i="189"/>
  <c r="P11" i="187"/>
  <c r="Q11" i="187" s="1"/>
  <c r="P11" i="182"/>
  <c r="Q11" i="182" s="1"/>
  <c r="T11" i="171"/>
  <c r="T11" i="169"/>
  <c r="T11" i="168"/>
  <c r="P11" i="173"/>
  <c r="Q11" i="173" s="1"/>
  <c r="P11" i="172"/>
  <c r="Q11" i="172" s="1"/>
  <c r="T11" i="170"/>
  <c r="P11" i="167"/>
  <c r="Q11" i="167" s="1"/>
  <c r="T11" i="172"/>
  <c r="P11" i="170"/>
  <c r="Q11" i="170" s="1"/>
  <c r="P11" i="168"/>
  <c r="Q11" i="168" s="1"/>
  <c r="T11" i="173"/>
  <c r="P11" i="171"/>
  <c r="Q11" i="171" s="1"/>
  <c r="P11" i="169"/>
  <c r="Q11" i="169" s="1"/>
  <c r="T11" i="167"/>
  <c r="T11" i="164"/>
  <c r="T11" i="160"/>
  <c r="P11" i="158"/>
  <c r="Q11" i="158" s="1"/>
  <c r="T11" i="155"/>
  <c r="P11" i="165"/>
  <c r="Q11" i="165" s="1"/>
  <c r="T11" i="163"/>
  <c r="T11" i="165"/>
  <c r="P11" i="164"/>
  <c r="Q11" i="164" s="1"/>
  <c r="P11" i="160"/>
  <c r="Q11" i="160" s="1"/>
  <c r="T11" i="158"/>
  <c r="P11" i="155"/>
  <c r="Q11" i="155" s="1"/>
  <c r="P11" i="163"/>
  <c r="Q11" i="163" s="1"/>
  <c r="T11" i="159"/>
  <c r="P11" i="154"/>
  <c r="Q11" i="154" s="1"/>
  <c r="P11" i="159"/>
  <c r="Q11" i="159" s="1"/>
  <c r="T11" i="156"/>
  <c r="T11" i="154"/>
  <c r="P11" i="156"/>
  <c r="Q11" i="156" s="1"/>
  <c r="T11" i="153"/>
  <c r="P11" i="153"/>
  <c r="Q11" i="153" s="1"/>
  <c r="P11" i="152"/>
  <c r="Q11" i="152" s="1"/>
  <c r="P11" i="150"/>
  <c r="Q11" i="150" s="1"/>
  <c r="T11" i="148"/>
  <c r="P11" i="151"/>
  <c r="Q11" i="151" s="1"/>
  <c r="T11" i="149"/>
  <c r="T11" i="152"/>
  <c r="T11" i="150"/>
  <c r="T11" i="151"/>
  <c r="P11" i="149"/>
  <c r="Q11" i="149" s="1"/>
  <c r="P11" i="148"/>
  <c r="Q11" i="148" s="1"/>
  <c r="P11" i="147"/>
  <c r="T11" i="147"/>
  <c r="Q41" i="211"/>
  <c r="B40" i="211"/>
  <c r="A40" i="211" s="1"/>
  <c r="T156" i="145"/>
  <c r="T60" i="145"/>
  <c r="T154" i="145"/>
  <c r="T138" i="145"/>
  <c r="T137" i="145"/>
  <c r="T121" i="145"/>
  <c r="T126" i="145"/>
  <c r="T125" i="145"/>
  <c r="T124" i="145"/>
  <c r="T123" i="145"/>
  <c r="T128" i="145"/>
  <c r="T136" i="145"/>
  <c r="T37" i="145"/>
  <c r="T67" i="145"/>
  <c r="T162" i="145"/>
  <c r="T161" i="145"/>
  <c r="T175" i="145"/>
  <c r="T81" i="145"/>
  <c r="T167" i="145"/>
  <c r="T166" i="145"/>
  <c r="T165" i="145"/>
  <c r="T178" i="145"/>
  <c r="T173" i="145"/>
  <c r="T174" i="145" s="1"/>
  <c r="T172" i="145"/>
  <c r="T169" i="145"/>
  <c r="T58" i="145"/>
  <c r="T135" i="145"/>
  <c r="T115" i="145"/>
  <c r="T49" i="145"/>
  <c r="T50" i="145"/>
  <c r="T48" i="145"/>
  <c r="T163" i="145"/>
  <c r="T116" i="145"/>
  <c r="T113" i="145"/>
  <c r="T145" i="145"/>
  <c r="T143" i="145"/>
  <c r="T108" i="145"/>
  <c r="T177" i="145"/>
  <c r="T144" i="145"/>
  <c r="T142" i="145"/>
  <c r="T106" i="145"/>
  <c r="T32" i="145"/>
  <c r="T27" i="145"/>
  <c r="T105" i="145"/>
  <c r="T25" i="145"/>
  <c r="T31" i="145"/>
  <c r="T28" i="145"/>
  <c r="T112" i="145"/>
  <c r="T109" i="145"/>
  <c r="T107" i="145"/>
  <c r="T140" i="145"/>
  <c r="T101" i="145"/>
  <c r="T102" i="145"/>
  <c r="T131" i="145"/>
  <c r="T122" i="145"/>
  <c r="T119" i="145"/>
  <c r="B106" i="210"/>
  <c r="Q107" i="210"/>
  <c r="B77" i="211"/>
  <c r="Q78" i="211"/>
  <c r="B42" i="210"/>
  <c r="Q43" i="210"/>
  <c r="A41" i="210"/>
  <c r="S14" i="106"/>
  <c r="U10" i="145"/>
  <c r="A11" i="123"/>
  <c r="A12" i="123" s="1"/>
  <c r="A13" i="123" s="1"/>
  <c r="A14" i="123" s="1"/>
  <c r="A15" i="123" s="1"/>
  <c r="A16" i="123" s="1"/>
  <c r="A17" i="123" s="1"/>
  <c r="A18" i="123" s="1"/>
  <c r="A19" i="123" s="1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31" i="123" s="1"/>
  <c r="A32" i="123" s="1"/>
  <c r="A33" i="123" s="1"/>
  <c r="A34" i="123" s="1"/>
  <c r="A35" i="123" s="1"/>
  <c r="A36" i="123" s="1"/>
  <c r="A37" i="123" s="1"/>
  <c r="A38" i="123" s="1"/>
  <c r="A39" i="123" s="1"/>
  <c r="A40" i="123" s="1"/>
  <c r="A41" i="123" s="1"/>
  <c r="A42" i="123" s="1"/>
  <c r="A43" i="123" s="1"/>
  <c r="A44" i="123" s="1"/>
  <c r="A45" i="123" s="1"/>
  <c r="A46" i="123" s="1"/>
  <c r="A47" i="123" s="1"/>
  <c r="A48" i="123" s="1"/>
  <c r="A49" i="123" s="1"/>
  <c r="A50" i="123" s="1"/>
  <c r="A51" i="123" s="1"/>
  <c r="A52" i="123" s="1"/>
  <c r="A53" i="123" s="1"/>
  <c r="A54" i="123" s="1"/>
  <c r="A55" i="123" s="1"/>
  <c r="A56" i="123" s="1"/>
  <c r="A57" i="123" s="1"/>
  <c r="A58" i="123" s="1"/>
  <c r="A59" i="123" s="1"/>
  <c r="A60" i="123" s="1"/>
  <c r="A61" i="123" s="1"/>
  <c r="A62" i="123" s="1"/>
  <c r="T11" i="106"/>
  <c r="P11" i="106"/>
  <c r="Q42" i="211" l="1"/>
  <c r="B41" i="211"/>
  <c r="A41" i="211" s="1"/>
  <c r="U93" i="145"/>
  <c r="U95" i="145"/>
  <c r="U181" i="145"/>
  <c r="U110" i="145"/>
  <c r="U114" i="145"/>
  <c r="U111" i="145"/>
  <c r="U35" i="145"/>
  <c r="U147" i="145"/>
  <c r="U148" i="145"/>
  <c r="U151" i="145"/>
  <c r="U152" i="145"/>
  <c r="E7" i="147"/>
  <c r="E32" i="147" s="1"/>
  <c r="Q11" i="147"/>
  <c r="U60" i="145"/>
  <c r="U156" i="145"/>
  <c r="U154" i="145"/>
  <c r="U136" i="145"/>
  <c r="U121" i="145"/>
  <c r="U126" i="145"/>
  <c r="U125" i="145"/>
  <c r="U124" i="145"/>
  <c r="U138" i="145"/>
  <c r="U123" i="145"/>
  <c r="U128" i="145"/>
  <c r="U137" i="145"/>
  <c r="U178" i="145"/>
  <c r="U173" i="145"/>
  <c r="U174" i="145" s="1"/>
  <c r="U172" i="145"/>
  <c r="U175" i="145"/>
  <c r="U81" i="145"/>
  <c r="U169" i="145"/>
  <c r="U167" i="145"/>
  <c r="U67" i="145"/>
  <c r="U162" i="145"/>
  <c r="U161" i="145"/>
  <c r="U166" i="145"/>
  <c r="U165" i="145"/>
  <c r="U37" i="145"/>
  <c r="U49" i="145"/>
  <c r="U116" i="145"/>
  <c r="U113" i="145"/>
  <c r="U58" i="145"/>
  <c r="U135" i="145"/>
  <c r="U48" i="145"/>
  <c r="U50" i="145"/>
  <c r="U163" i="145"/>
  <c r="U115" i="145"/>
  <c r="U144" i="145"/>
  <c r="U142" i="145"/>
  <c r="U108" i="145"/>
  <c r="U145" i="145"/>
  <c r="U177" i="145"/>
  <c r="U143" i="145"/>
  <c r="U31" i="145"/>
  <c r="U28" i="145"/>
  <c r="U27" i="145"/>
  <c r="U105" i="145"/>
  <c r="U32" i="145"/>
  <c r="U99" i="145"/>
  <c r="U107" i="145"/>
  <c r="U106" i="145"/>
  <c r="U25" i="145"/>
  <c r="U112" i="145"/>
  <c r="U140" i="145"/>
  <c r="U109" i="145"/>
  <c r="U101" i="145"/>
  <c r="U102" i="145"/>
  <c r="U122" i="145"/>
  <c r="U131" i="145"/>
  <c r="U119" i="145"/>
  <c r="Q108" i="210"/>
  <c r="B107" i="210"/>
  <c r="Q79" i="211"/>
  <c r="B78" i="211"/>
  <c r="A42" i="210"/>
  <c r="B43" i="210"/>
  <c r="Q44" i="210"/>
  <c r="E7" i="106"/>
  <c r="E55" i="106" s="1"/>
  <c r="S15" i="106"/>
  <c r="V10" i="145"/>
  <c r="A5" i="106"/>
  <c r="A53" i="106" s="1"/>
  <c r="Q11" i="106"/>
  <c r="Q45" i="210" l="1"/>
  <c r="B45" i="210" s="1"/>
  <c r="Q46" i="210"/>
  <c r="V93" i="145"/>
  <c r="V95" i="145"/>
  <c r="V181" i="145"/>
  <c r="V114" i="145"/>
  <c r="V110" i="145"/>
  <c r="V35" i="145"/>
  <c r="V111" i="145"/>
  <c r="V147" i="145"/>
  <c r="V148" i="145"/>
  <c r="V151" i="145"/>
  <c r="V152" i="145"/>
  <c r="B42" i="211"/>
  <c r="A42" i="211" s="1"/>
  <c r="Q43" i="211"/>
  <c r="V156" i="145"/>
  <c r="V60" i="145"/>
  <c r="V154" i="145"/>
  <c r="V128" i="145"/>
  <c r="V138" i="145"/>
  <c r="V137" i="145"/>
  <c r="V121" i="145"/>
  <c r="V124" i="145"/>
  <c r="V123" i="145"/>
  <c r="V136" i="145"/>
  <c r="V126" i="145"/>
  <c r="V125" i="145"/>
  <c r="V166" i="145"/>
  <c r="V165" i="145"/>
  <c r="V169" i="145"/>
  <c r="V167" i="145"/>
  <c r="V178" i="145"/>
  <c r="V173" i="145"/>
  <c r="V174" i="145" s="1"/>
  <c r="V172" i="145"/>
  <c r="V175" i="145"/>
  <c r="V81" i="145"/>
  <c r="V67" i="145"/>
  <c r="V162" i="145"/>
  <c r="V161" i="145"/>
  <c r="V37" i="145"/>
  <c r="V50" i="145"/>
  <c r="V113" i="145"/>
  <c r="V116" i="145"/>
  <c r="V48" i="145"/>
  <c r="V135" i="145"/>
  <c r="V49" i="145"/>
  <c r="V163" i="145"/>
  <c r="V58" i="145"/>
  <c r="V115" i="145"/>
  <c r="V177" i="145"/>
  <c r="V143" i="145"/>
  <c r="V108" i="145"/>
  <c r="V144" i="145"/>
  <c r="V142" i="145"/>
  <c r="V145" i="145"/>
  <c r="V25" i="145"/>
  <c r="V31" i="145"/>
  <c r="V28" i="145"/>
  <c r="V99" i="145"/>
  <c r="V32" i="145"/>
  <c r="V27" i="145"/>
  <c r="V105" i="145"/>
  <c r="V107" i="145"/>
  <c r="V106" i="145"/>
  <c r="V109" i="145"/>
  <c r="V112" i="145"/>
  <c r="V140" i="145"/>
  <c r="V101" i="145"/>
  <c r="V102" i="145"/>
  <c r="V122" i="145"/>
  <c r="V131" i="145"/>
  <c r="V119" i="145"/>
  <c r="Q109" i="210"/>
  <c r="B108" i="210"/>
  <c r="Q80" i="211"/>
  <c r="B79" i="211"/>
  <c r="B44" i="210"/>
  <c r="A43" i="210"/>
  <c r="B15" i="106"/>
  <c r="B16" i="106"/>
  <c r="B14" i="106"/>
  <c r="G17" i="106"/>
  <c r="H17" i="106"/>
  <c r="I17" i="106"/>
  <c r="J17" i="106"/>
  <c r="F17" i="106"/>
  <c r="I20" i="106"/>
  <c r="J20" i="106"/>
  <c r="F20" i="106"/>
  <c r="G20" i="106"/>
  <c r="H20" i="106"/>
  <c r="G15" i="106"/>
  <c r="H15" i="106"/>
  <c r="I15" i="106"/>
  <c r="J15" i="106"/>
  <c r="F15" i="106"/>
  <c r="I26" i="106"/>
  <c r="J26" i="106"/>
  <c r="F26" i="106"/>
  <c r="G26" i="106"/>
  <c r="H26" i="106"/>
  <c r="I34" i="106"/>
  <c r="J34" i="106"/>
  <c r="F34" i="106"/>
  <c r="G34" i="106"/>
  <c r="H34" i="106"/>
  <c r="G21" i="106"/>
  <c r="H21" i="106"/>
  <c r="I21" i="106"/>
  <c r="J21" i="106"/>
  <c r="F21" i="106"/>
  <c r="G29" i="106"/>
  <c r="H29" i="106"/>
  <c r="I29" i="106"/>
  <c r="J29" i="106"/>
  <c r="F29" i="106"/>
  <c r="I22" i="106"/>
  <c r="J22" i="106"/>
  <c r="F22" i="106"/>
  <c r="G22" i="106"/>
  <c r="H22" i="106"/>
  <c r="B17" i="106"/>
  <c r="S16" i="106"/>
  <c r="I28" i="106"/>
  <c r="J28" i="106"/>
  <c r="F28" i="106"/>
  <c r="G28" i="106"/>
  <c r="H28" i="106"/>
  <c r="G23" i="106"/>
  <c r="H23" i="106"/>
  <c r="I23" i="106"/>
  <c r="J23" i="106"/>
  <c r="F23" i="106"/>
  <c r="I18" i="106"/>
  <c r="J18" i="106"/>
  <c r="F18" i="106"/>
  <c r="G18" i="106"/>
  <c r="H18" i="106"/>
  <c r="I16" i="106"/>
  <c r="J16" i="106"/>
  <c r="F16" i="106"/>
  <c r="G16" i="106"/>
  <c r="H16" i="106"/>
  <c r="I24" i="106"/>
  <c r="J24" i="106"/>
  <c r="F24" i="106"/>
  <c r="G24" i="106"/>
  <c r="H24" i="106"/>
  <c r="I32" i="106"/>
  <c r="J32" i="106"/>
  <c r="F32" i="106"/>
  <c r="G32" i="106"/>
  <c r="H32" i="106"/>
  <c r="G19" i="106"/>
  <c r="H19" i="106"/>
  <c r="I19" i="106"/>
  <c r="J19" i="106"/>
  <c r="F19" i="106"/>
  <c r="G27" i="106"/>
  <c r="H27" i="106"/>
  <c r="I27" i="106"/>
  <c r="J27" i="106"/>
  <c r="F27" i="106"/>
  <c r="G35" i="106"/>
  <c r="H35" i="106"/>
  <c r="I35" i="106"/>
  <c r="J35" i="106"/>
  <c r="F35" i="106"/>
  <c r="I14" i="106"/>
  <c r="J14" i="106"/>
  <c r="F14" i="106"/>
  <c r="G14" i="106"/>
  <c r="H14" i="106"/>
  <c r="G25" i="106"/>
  <c r="H25" i="106"/>
  <c r="I25" i="106"/>
  <c r="J25" i="106"/>
  <c r="F25" i="106"/>
  <c r="G33" i="106"/>
  <c r="H33" i="106"/>
  <c r="I33" i="106"/>
  <c r="J33" i="106"/>
  <c r="F33" i="106"/>
  <c r="I30" i="106"/>
  <c r="J30" i="106"/>
  <c r="F30" i="106"/>
  <c r="G30" i="106"/>
  <c r="H30" i="106"/>
  <c r="G31" i="106"/>
  <c r="H31" i="106"/>
  <c r="I31" i="106"/>
  <c r="J31" i="106"/>
  <c r="F31" i="106"/>
  <c r="T12" i="106"/>
  <c r="C12" i="106" s="1"/>
  <c r="D59" i="106"/>
  <c r="D60" i="106" s="1"/>
  <c r="D61" i="106" s="1"/>
  <c r="D62" i="106" s="1"/>
  <c r="D63" i="106" s="1"/>
  <c r="D64" i="106" s="1"/>
  <c r="D65" i="106" s="1"/>
  <c r="D66" i="106" s="1"/>
  <c r="D67" i="106" s="1"/>
  <c r="D68" i="106" s="1"/>
  <c r="D69" i="106" s="1"/>
  <c r="D70" i="106" s="1"/>
  <c r="D71" i="106" s="1"/>
  <c r="D72" i="106" s="1"/>
  <c r="D73" i="106" s="1"/>
  <c r="D74" i="106" s="1"/>
  <c r="D75" i="106" s="1"/>
  <c r="D76" i="106" s="1"/>
  <c r="D77" i="106" s="1"/>
  <c r="D78" i="106" s="1"/>
  <c r="D79" i="106" s="1"/>
  <c r="D80" i="106" s="1"/>
  <c r="D81" i="106" s="1"/>
  <c r="G13" i="106"/>
  <c r="F13" i="106"/>
  <c r="J13" i="106"/>
  <c r="H13" i="106"/>
  <c r="I13" i="106"/>
  <c r="J12" i="106"/>
  <c r="F12" i="106"/>
  <c r="I12" i="106"/>
  <c r="H12" i="106"/>
  <c r="G12" i="106"/>
  <c r="W10" i="145"/>
  <c r="A6" i="106"/>
  <c r="A54" i="106" s="1"/>
  <c r="P36" i="106"/>
  <c r="B13" i="106"/>
  <c r="B12" i="106"/>
  <c r="Q47" i="210" l="1"/>
  <c r="B46" i="210"/>
  <c r="A46" i="210" s="1"/>
  <c r="B43" i="211"/>
  <c r="A43" i="211" s="1"/>
  <c r="Q44" i="211"/>
  <c r="A45" i="210"/>
  <c r="W95" i="145"/>
  <c r="W93" i="145"/>
  <c r="W181" i="145"/>
  <c r="W114" i="145"/>
  <c r="W110" i="145"/>
  <c r="W35" i="145"/>
  <c r="W111" i="145"/>
  <c r="W147" i="145"/>
  <c r="W148" i="145"/>
  <c r="W151" i="145"/>
  <c r="W152" i="145"/>
  <c r="D82" i="106"/>
  <c r="T13" i="106"/>
  <c r="C13" i="106" s="1"/>
  <c r="W156" i="145"/>
  <c r="W60" i="145"/>
  <c r="W154" i="145"/>
  <c r="W121" i="145"/>
  <c r="W126" i="145"/>
  <c r="W125" i="145"/>
  <c r="W124" i="145"/>
  <c r="W123" i="145"/>
  <c r="W128" i="145"/>
  <c r="W138" i="145"/>
  <c r="W137" i="145"/>
  <c r="W136" i="145"/>
  <c r="W166" i="145"/>
  <c r="W165" i="145"/>
  <c r="W67" i="145"/>
  <c r="W162" i="145"/>
  <c r="W161" i="145"/>
  <c r="W37" i="145"/>
  <c r="W178" i="145"/>
  <c r="W173" i="145"/>
  <c r="W174" i="145" s="1"/>
  <c r="W172" i="145"/>
  <c r="W175" i="145"/>
  <c r="W81" i="145"/>
  <c r="W169" i="145"/>
  <c r="W167" i="145"/>
  <c r="W48" i="145"/>
  <c r="W115" i="145"/>
  <c r="W50" i="145"/>
  <c r="W163" i="145"/>
  <c r="W116" i="145"/>
  <c r="W58" i="145"/>
  <c r="W135" i="145"/>
  <c r="W49" i="145"/>
  <c r="W113" i="145"/>
  <c r="W177" i="145"/>
  <c r="W145" i="145"/>
  <c r="W143" i="145"/>
  <c r="W144" i="145"/>
  <c r="W142" i="145"/>
  <c r="W108" i="145"/>
  <c r="W99" i="145"/>
  <c r="W25" i="145"/>
  <c r="W31" i="145"/>
  <c r="W28" i="145"/>
  <c r="W106" i="145"/>
  <c r="W105" i="145"/>
  <c r="W107" i="145"/>
  <c r="W32" i="145"/>
  <c r="W27" i="145"/>
  <c r="W112" i="145"/>
  <c r="W140" i="145"/>
  <c r="W109" i="145"/>
  <c r="W101" i="145"/>
  <c r="W102" i="145"/>
  <c r="W131" i="145"/>
  <c r="W122" i="145"/>
  <c r="W119" i="145"/>
  <c r="Q110" i="210"/>
  <c r="B109" i="210"/>
  <c r="B80" i="211"/>
  <c r="Q81" i="211"/>
  <c r="A44" i="210"/>
  <c r="A16" i="106"/>
  <c r="A14" i="106"/>
  <c r="A17" i="106"/>
  <c r="A15" i="106"/>
  <c r="I36" i="106"/>
  <c r="H24" i="144" s="1"/>
  <c r="S17" i="106"/>
  <c r="G36" i="106"/>
  <c r="F24" i="144" s="1"/>
  <c r="J36" i="106"/>
  <c r="I24" i="144" s="1"/>
  <c r="H36" i="106"/>
  <c r="G24" i="144" s="1"/>
  <c r="X10" i="145"/>
  <c r="F36" i="106"/>
  <c r="A13" i="106"/>
  <c r="A12" i="106"/>
  <c r="B44" i="211" l="1"/>
  <c r="A44" i="211" s="1"/>
  <c r="Q45" i="211"/>
  <c r="B47" i="210"/>
  <c r="Q48" i="210"/>
  <c r="A7" i="106"/>
  <c r="A55" i="106" s="1"/>
  <c r="D84" i="106"/>
  <c r="D83" i="106"/>
  <c r="X95" i="145"/>
  <c r="X93" i="145"/>
  <c r="X181" i="145"/>
  <c r="X110" i="145"/>
  <c r="X114" i="145"/>
  <c r="X111" i="145"/>
  <c r="X35" i="145"/>
  <c r="X147" i="145"/>
  <c r="X148" i="145"/>
  <c r="X151" i="145"/>
  <c r="X152" i="145"/>
  <c r="T14" i="106"/>
  <c r="C14" i="106" s="1"/>
  <c r="X60" i="145"/>
  <c r="X156" i="145"/>
  <c r="X154" i="145"/>
  <c r="X138" i="145"/>
  <c r="X137" i="145"/>
  <c r="X121" i="145"/>
  <c r="X126" i="145"/>
  <c r="X125" i="145"/>
  <c r="X124" i="145"/>
  <c r="X123" i="145"/>
  <c r="X128" i="145"/>
  <c r="X136" i="145"/>
  <c r="X67" i="145"/>
  <c r="X162" i="145"/>
  <c r="X161" i="145"/>
  <c r="X172" i="145"/>
  <c r="X175" i="145"/>
  <c r="X81" i="145"/>
  <c r="X167" i="145"/>
  <c r="X37" i="145"/>
  <c r="X166" i="145"/>
  <c r="X165" i="145"/>
  <c r="X178" i="145"/>
  <c r="X173" i="145"/>
  <c r="X174" i="145" s="1"/>
  <c r="X169" i="145"/>
  <c r="X135" i="145"/>
  <c r="X49" i="145"/>
  <c r="X115" i="145"/>
  <c r="X113" i="145"/>
  <c r="X48" i="145"/>
  <c r="X163" i="145"/>
  <c r="X58" i="145"/>
  <c r="X50" i="145"/>
  <c r="X116" i="145"/>
  <c r="X177" i="145"/>
  <c r="X145" i="145"/>
  <c r="X143" i="145"/>
  <c r="X108" i="145"/>
  <c r="X144" i="145"/>
  <c r="X142" i="145"/>
  <c r="X32" i="145"/>
  <c r="X27" i="145"/>
  <c r="X99" i="145"/>
  <c r="X106" i="145"/>
  <c r="X105" i="145"/>
  <c r="X25" i="145"/>
  <c r="X107" i="145"/>
  <c r="X31" i="145"/>
  <c r="X28" i="145"/>
  <c r="X109" i="145"/>
  <c r="X112" i="145"/>
  <c r="X140" i="145"/>
  <c r="X101" i="145"/>
  <c r="X102" i="145"/>
  <c r="X122" i="145"/>
  <c r="X131" i="145"/>
  <c r="X119" i="145"/>
  <c r="Q111" i="210"/>
  <c r="B110" i="210"/>
  <c r="B81" i="211"/>
  <c r="Q82" i="211"/>
  <c r="S18" i="106"/>
  <c r="B18" i="106"/>
  <c r="T15" i="106"/>
  <c r="C15" i="106" s="1"/>
  <c r="Y10" i="145"/>
  <c r="H11" i="123"/>
  <c r="F12" i="123"/>
  <c r="J11" i="123"/>
  <c r="F11" i="123" l="1"/>
  <c r="G11" i="123" s="1"/>
  <c r="Y95" i="145"/>
  <c r="Y93" i="145"/>
  <c r="Y181" i="145"/>
  <c r="Y114" i="145"/>
  <c r="Y110" i="145"/>
  <c r="Y111" i="145"/>
  <c r="Y35" i="145"/>
  <c r="Y148" i="145"/>
  <c r="Y147" i="145"/>
  <c r="Y151" i="145"/>
  <c r="Y152" i="145"/>
  <c r="Q49" i="210"/>
  <c r="B48" i="210"/>
  <c r="A47" i="210"/>
  <c r="B45" i="211"/>
  <c r="Q46" i="211"/>
  <c r="Y60" i="145"/>
  <c r="Y156" i="145"/>
  <c r="Y154" i="145"/>
  <c r="Y136" i="145"/>
  <c r="Y121" i="145"/>
  <c r="Y123" i="145"/>
  <c r="Y137" i="145"/>
  <c r="Y126" i="145"/>
  <c r="Y125" i="145"/>
  <c r="Y124" i="145"/>
  <c r="Y128" i="145"/>
  <c r="Y138" i="145"/>
  <c r="Y178" i="145"/>
  <c r="Y173" i="145"/>
  <c r="Y174" i="145" s="1"/>
  <c r="Y172" i="145"/>
  <c r="Y175" i="145"/>
  <c r="Y81" i="145"/>
  <c r="Y169" i="145"/>
  <c r="Y167" i="145"/>
  <c r="Y67" i="145"/>
  <c r="Y162" i="145"/>
  <c r="Y161" i="145"/>
  <c r="Y166" i="145"/>
  <c r="Y165" i="145"/>
  <c r="Y37" i="145"/>
  <c r="Y58" i="145"/>
  <c r="Y135" i="145"/>
  <c r="Y116" i="145"/>
  <c r="Y113" i="145"/>
  <c r="Y49" i="145"/>
  <c r="Y50" i="145"/>
  <c r="Y163" i="145"/>
  <c r="Y48" i="145"/>
  <c r="Y115" i="145"/>
  <c r="Y177" i="145"/>
  <c r="Y144" i="145"/>
  <c r="Y142" i="145"/>
  <c r="Y108" i="145"/>
  <c r="Y145" i="145"/>
  <c r="Y143" i="145"/>
  <c r="Y99" i="145"/>
  <c r="Y106" i="145"/>
  <c r="Y31" i="145"/>
  <c r="Y28" i="145"/>
  <c r="Y107" i="145"/>
  <c r="Y32" i="145"/>
  <c r="Y27" i="145"/>
  <c r="Y105" i="145"/>
  <c r="Y25" i="145"/>
  <c r="Y112" i="145"/>
  <c r="Y140" i="145"/>
  <c r="Y109" i="145"/>
  <c r="Y101" i="145"/>
  <c r="Y102" i="145"/>
  <c r="Y131" i="145"/>
  <c r="Y122" i="145"/>
  <c r="Y119" i="145"/>
  <c r="B111" i="210"/>
  <c r="Q112" i="210"/>
  <c r="Q83" i="211"/>
  <c r="B82" i="211"/>
  <c r="S19" i="106"/>
  <c r="B19" i="106"/>
  <c r="T16" i="106"/>
  <c r="C16" i="106" s="1"/>
  <c r="A18" i="106"/>
  <c r="Z10" i="145"/>
  <c r="B83" i="211" l="1"/>
  <c r="Q47" i="211"/>
  <c r="B47" i="211" s="1"/>
  <c r="B46" i="211"/>
  <c r="A45" i="211"/>
  <c r="Q50" i="210"/>
  <c r="B49" i="210"/>
  <c r="Z93" i="145"/>
  <c r="Z95" i="145"/>
  <c r="Z181" i="145"/>
  <c r="Z114" i="145"/>
  <c r="Z110" i="145"/>
  <c r="Z111" i="145"/>
  <c r="Z35" i="145"/>
  <c r="Z147" i="145"/>
  <c r="Z148" i="145"/>
  <c r="Z151" i="145"/>
  <c r="Z152" i="145"/>
  <c r="A48" i="210"/>
  <c r="Z156" i="145"/>
  <c r="Z60" i="145"/>
  <c r="Z154" i="145"/>
  <c r="Z128" i="145"/>
  <c r="Z138" i="145"/>
  <c r="Z137" i="145"/>
  <c r="Z121" i="145"/>
  <c r="Z126" i="145"/>
  <c r="Z125" i="145"/>
  <c r="Z136" i="145"/>
  <c r="Z124" i="145"/>
  <c r="Z123" i="145"/>
  <c r="Z166" i="145"/>
  <c r="Z165" i="145"/>
  <c r="Z169" i="145"/>
  <c r="Z167" i="145"/>
  <c r="Z178" i="145"/>
  <c r="Z173" i="145"/>
  <c r="Z174" i="145" s="1"/>
  <c r="Z172" i="145"/>
  <c r="Z175" i="145"/>
  <c r="Z81" i="145"/>
  <c r="Z67" i="145"/>
  <c r="Z162" i="145"/>
  <c r="Z161" i="145"/>
  <c r="Z163" i="145"/>
  <c r="Z113" i="145"/>
  <c r="Z116" i="145"/>
  <c r="Z37" i="145"/>
  <c r="Z115" i="145"/>
  <c r="Z58" i="145"/>
  <c r="Z49" i="145"/>
  <c r="Z143" i="145"/>
  <c r="Z108" i="145"/>
  <c r="Z177" i="145"/>
  <c r="Z144" i="145"/>
  <c r="Z142" i="145"/>
  <c r="Z50" i="145"/>
  <c r="Z48" i="145"/>
  <c r="Z145" i="145"/>
  <c r="Z105" i="145"/>
  <c r="Z107" i="145"/>
  <c r="Z106" i="145"/>
  <c r="Z25" i="145"/>
  <c r="Z31" i="145"/>
  <c r="Z28" i="145"/>
  <c r="Z99" i="145"/>
  <c r="Z32" i="145"/>
  <c r="Z27" i="145"/>
  <c r="Z112" i="145"/>
  <c r="Z140" i="145"/>
  <c r="Z109" i="145"/>
  <c r="Z101" i="145"/>
  <c r="Z102" i="145"/>
  <c r="Z131" i="145"/>
  <c r="Z122" i="145"/>
  <c r="Z119" i="145"/>
  <c r="Q113" i="210"/>
  <c r="B112" i="210"/>
  <c r="T17" i="106"/>
  <c r="C17" i="106" s="1"/>
  <c r="S20" i="106"/>
  <c r="B20" i="106"/>
  <c r="A19" i="106"/>
  <c r="AA10" i="145"/>
  <c r="A59" i="211" l="1"/>
  <c r="A63" i="211"/>
  <c r="A75" i="211"/>
  <c r="A80" i="211"/>
  <c r="A77" i="211"/>
  <c r="A62" i="211"/>
  <c r="A55" i="211"/>
  <c r="A51" i="211"/>
  <c r="A49" i="210"/>
  <c r="A76" i="211"/>
  <c r="A81" i="211"/>
  <c r="A78" i="211"/>
  <c r="B50" i="210"/>
  <c r="Q51" i="210"/>
  <c r="A79" i="211"/>
  <c r="A58" i="211"/>
  <c r="A46" i="211"/>
  <c r="A74" i="211"/>
  <c r="A60" i="211"/>
  <c r="A71" i="211"/>
  <c r="A70" i="211"/>
  <c r="A53" i="211"/>
  <c r="A68" i="211"/>
  <c r="A73" i="211"/>
  <c r="A56" i="211"/>
  <c r="A47" i="211"/>
  <c r="A72" i="211"/>
  <c r="A52" i="211"/>
  <c r="A61" i="211"/>
  <c r="A66" i="211"/>
  <c r="A49" i="211"/>
  <c r="A83" i="211"/>
  <c r="AA95" i="145"/>
  <c r="AA93" i="145"/>
  <c r="AA181" i="145"/>
  <c r="AA114" i="145"/>
  <c r="AA110" i="145"/>
  <c r="AA111" i="145"/>
  <c r="AA35" i="145"/>
  <c r="AA147" i="145"/>
  <c r="AA148" i="145"/>
  <c r="AA151" i="145"/>
  <c r="AA152" i="145"/>
  <c r="A82" i="211"/>
  <c r="A57" i="211"/>
  <c r="A67" i="211"/>
  <c r="A48" i="211"/>
  <c r="A65" i="211"/>
  <c r="A69" i="211"/>
  <c r="A54" i="211"/>
  <c r="A50" i="211"/>
  <c r="A64" i="211"/>
  <c r="AA60" i="145"/>
  <c r="AA156" i="145"/>
  <c r="AA154" i="145"/>
  <c r="AA121" i="145"/>
  <c r="AA126" i="145"/>
  <c r="AA125" i="145"/>
  <c r="AA124" i="145"/>
  <c r="AA123" i="145"/>
  <c r="AA136" i="145"/>
  <c r="AA128" i="145"/>
  <c r="AA138" i="145"/>
  <c r="AA137" i="145"/>
  <c r="AA166" i="145"/>
  <c r="AA165" i="145"/>
  <c r="AA67" i="145"/>
  <c r="AA162" i="145"/>
  <c r="AA178" i="145"/>
  <c r="AA173" i="145"/>
  <c r="AA174" i="145" s="1"/>
  <c r="AA172" i="145"/>
  <c r="AA175" i="145"/>
  <c r="AA81" i="145"/>
  <c r="AA169" i="145"/>
  <c r="AA167" i="145"/>
  <c r="AA37" i="145"/>
  <c r="AA161" i="145"/>
  <c r="AA163" i="145"/>
  <c r="AA49" i="145"/>
  <c r="AA58" i="145"/>
  <c r="AA115" i="145"/>
  <c r="AA48" i="145"/>
  <c r="AA50" i="145"/>
  <c r="AA135" i="145"/>
  <c r="AA113" i="145"/>
  <c r="AA116" i="145"/>
  <c r="AA177" i="145"/>
  <c r="AA145" i="145"/>
  <c r="AA143" i="145"/>
  <c r="AA144" i="145"/>
  <c r="AA142" i="145"/>
  <c r="AA108" i="145"/>
  <c r="AA106" i="145"/>
  <c r="AA105" i="145"/>
  <c r="AA107" i="145"/>
  <c r="AA25" i="145"/>
  <c r="AA31" i="145"/>
  <c r="AA28" i="145"/>
  <c r="AA99" i="145"/>
  <c r="AA32" i="145"/>
  <c r="AA27" i="145"/>
  <c r="AA112" i="145"/>
  <c r="AA140" i="145"/>
  <c r="AA109" i="145"/>
  <c r="AA101" i="145"/>
  <c r="AA102" i="145"/>
  <c r="AA131" i="145"/>
  <c r="AA122" i="145"/>
  <c r="AA119" i="145"/>
  <c r="Q114" i="210"/>
  <c r="B113" i="210"/>
  <c r="A20" i="106"/>
  <c r="T18" i="106"/>
  <c r="C18" i="106" s="1"/>
  <c r="S21" i="106"/>
  <c r="B21" i="106"/>
  <c r="AB10" i="145"/>
  <c r="H109" i="211" l="1"/>
  <c r="G153" i="145" s="1"/>
  <c r="V153" i="145"/>
  <c r="H127" i="211"/>
  <c r="Y153" i="145" s="1"/>
  <c r="Q52" i="210"/>
  <c r="B51" i="210"/>
  <c r="A50" i="210"/>
  <c r="AB93" i="145"/>
  <c r="AB95" i="145"/>
  <c r="AB181" i="145"/>
  <c r="AB110" i="145"/>
  <c r="AB114" i="145"/>
  <c r="AB111" i="145"/>
  <c r="AB35" i="145"/>
  <c r="AB147" i="145"/>
  <c r="AB148" i="145"/>
  <c r="AB151" i="145"/>
  <c r="AB152" i="145"/>
  <c r="AB156" i="145"/>
  <c r="AB60" i="145"/>
  <c r="AB154" i="145"/>
  <c r="AB138" i="145"/>
  <c r="AB137" i="145"/>
  <c r="AB121" i="145"/>
  <c r="AB126" i="145"/>
  <c r="AB125" i="145"/>
  <c r="AB124" i="145"/>
  <c r="AB123" i="145"/>
  <c r="AB128" i="145"/>
  <c r="AB136" i="145"/>
  <c r="AB67" i="145"/>
  <c r="AB162" i="145"/>
  <c r="AB161" i="145"/>
  <c r="AB175" i="145"/>
  <c r="AB81" i="145"/>
  <c r="AB167" i="145"/>
  <c r="AB166" i="145"/>
  <c r="AB165" i="145"/>
  <c r="AB37" i="145"/>
  <c r="AB178" i="145"/>
  <c r="AB173" i="145"/>
  <c r="AB174" i="145" s="1"/>
  <c r="AB172" i="145"/>
  <c r="AB169" i="145"/>
  <c r="AB115" i="145"/>
  <c r="AB48" i="145"/>
  <c r="AB50" i="145"/>
  <c r="AB135" i="145"/>
  <c r="AB163" i="145"/>
  <c r="AB49" i="145"/>
  <c r="AB58" i="145"/>
  <c r="AB116" i="145"/>
  <c r="AB113" i="145"/>
  <c r="AB177" i="145"/>
  <c r="AB145" i="145"/>
  <c r="AB143" i="145"/>
  <c r="AB108" i="145"/>
  <c r="AB144" i="145"/>
  <c r="AB142" i="145"/>
  <c r="AB107" i="145"/>
  <c r="AB32" i="145"/>
  <c r="AB27" i="145"/>
  <c r="AB106" i="145"/>
  <c r="AB25" i="145"/>
  <c r="AB105" i="145"/>
  <c r="AB99" i="145"/>
  <c r="AB31" i="145"/>
  <c r="AB28" i="145"/>
  <c r="AB109" i="145"/>
  <c r="AB112" i="145"/>
  <c r="AB140" i="145"/>
  <c r="AB101" i="145"/>
  <c r="AB102" i="145"/>
  <c r="AB122" i="145"/>
  <c r="AB131" i="145"/>
  <c r="AB119" i="145"/>
  <c r="Q115" i="210"/>
  <c r="B114" i="210"/>
  <c r="T19" i="106"/>
  <c r="C19" i="106" s="1"/>
  <c r="A21" i="106"/>
  <c r="S22" i="106"/>
  <c r="B22" i="106"/>
  <c r="AC10" i="145"/>
  <c r="H121" i="211" l="1"/>
  <c r="S153" i="145" s="1"/>
  <c r="H115" i="211"/>
  <c r="M153" i="145" s="1"/>
  <c r="H111" i="211"/>
  <c r="I153" i="145" s="1"/>
  <c r="H131" i="211"/>
  <c r="AC153" i="145" s="1"/>
  <c r="H122" i="211"/>
  <c r="T153" i="145" s="1"/>
  <c r="H128" i="211"/>
  <c r="Z153" i="145" s="1"/>
  <c r="H125" i="211"/>
  <c r="W153" i="145" s="1"/>
  <c r="H113" i="211"/>
  <c r="K153" i="145" s="1"/>
  <c r="U153" i="145"/>
  <c r="H114" i="211"/>
  <c r="L153" i="145" s="1"/>
  <c r="H120" i="211"/>
  <c r="R153" i="145" s="1"/>
  <c r="H126" i="211"/>
  <c r="X153" i="145" s="1"/>
  <c r="H110" i="211"/>
  <c r="H153" i="145" s="1"/>
  <c r="H112" i="211"/>
  <c r="J153" i="145" s="1"/>
  <c r="H108" i="211"/>
  <c r="H118" i="211"/>
  <c r="P153" i="145" s="1"/>
  <c r="H129" i="211"/>
  <c r="AA153" i="145" s="1"/>
  <c r="H116" i="211"/>
  <c r="N153" i="145" s="1"/>
  <c r="H117" i="211"/>
  <c r="O153" i="145" s="1"/>
  <c r="H130" i="211"/>
  <c r="AB153" i="145" s="1"/>
  <c r="H119" i="211"/>
  <c r="Q153" i="145" s="1"/>
  <c r="A51" i="210"/>
  <c r="AC93" i="145"/>
  <c r="AC95" i="145"/>
  <c r="AC181" i="145"/>
  <c r="AC110" i="145"/>
  <c r="AC114" i="145"/>
  <c r="AC35" i="145"/>
  <c r="AC111" i="145"/>
  <c r="AC148" i="145"/>
  <c r="AC147" i="145"/>
  <c r="AD10" i="145"/>
  <c r="AD144" i="145" s="1"/>
  <c r="AC151" i="145"/>
  <c r="AC152" i="145"/>
  <c r="B52" i="210"/>
  <c r="Q53" i="210"/>
  <c r="AC60" i="145"/>
  <c r="AC156" i="145"/>
  <c r="AC154" i="145"/>
  <c r="AC136" i="145"/>
  <c r="AC121" i="145"/>
  <c r="AC125" i="145"/>
  <c r="AC126" i="145"/>
  <c r="AC124" i="145"/>
  <c r="AC123" i="145"/>
  <c r="AC128" i="145"/>
  <c r="AC138" i="145"/>
  <c r="AC137" i="145"/>
  <c r="AC135" i="145"/>
  <c r="AC178" i="145"/>
  <c r="AC173" i="145"/>
  <c r="AC174" i="145" s="1"/>
  <c r="AC172" i="145"/>
  <c r="AC175" i="145"/>
  <c r="AC81" i="145"/>
  <c r="AC169" i="145"/>
  <c r="AC167" i="145"/>
  <c r="AC67" i="145"/>
  <c r="AC162" i="145"/>
  <c r="AC161" i="145"/>
  <c r="AC165" i="145"/>
  <c r="AC37" i="145"/>
  <c r="AC166" i="145"/>
  <c r="AC116" i="145"/>
  <c r="AC113" i="145"/>
  <c r="AC48" i="145"/>
  <c r="AC50" i="145"/>
  <c r="AC163" i="145"/>
  <c r="AC49" i="145"/>
  <c r="AC58" i="145"/>
  <c r="AC115" i="145"/>
  <c r="AC177" i="145"/>
  <c r="AC144" i="145"/>
  <c r="AC142" i="145"/>
  <c r="AC108" i="145"/>
  <c r="AC145" i="145"/>
  <c r="AC143" i="145"/>
  <c r="AC140" i="145"/>
  <c r="AC31" i="145"/>
  <c r="AC28" i="145"/>
  <c r="AC109" i="145"/>
  <c r="AC106" i="145"/>
  <c r="AC32" i="145"/>
  <c r="AC27" i="145"/>
  <c r="AC107" i="145"/>
  <c r="AC99" i="145"/>
  <c r="AC105" i="145"/>
  <c r="AC25" i="145"/>
  <c r="AC112" i="145"/>
  <c r="AC101" i="145"/>
  <c r="AC102" i="145"/>
  <c r="AC122" i="145"/>
  <c r="AC131" i="145"/>
  <c r="AC119" i="145"/>
  <c r="AD109" i="145"/>
  <c r="B115" i="210"/>
  <c r="Q116" i="210"/>
  <c r="S23" i="106"/>
  <c r="B23" i="106"/>
  <c r="A23" i="106" s="1"/>
  <c r="T20" i="106"/>
  <c r="C20" i="106" s="1"/>
  <c r="A22" i="106"/>
  <c r="AD108" i="145" l="1"/>
  <c r="AD107" i="145"/>
  <c r="AD37" i="145"/>
  <c r="AD136" i="145"/>
  <c r="AD143" i="145"/>
  <c r="AD166" i="145"/>
  <c r="AD165" i="145"/>
  <c r="AD169" i="145"/>
  <c r="AD116" i="145"/>
  <c r="AD135" i="145"/>
  <c r="AD131" i="145"/>
  <c r="AD27" i="145"/>
  <c r="AD32" i="145"/>
  <c r="AD31" i="145"/>
  <c r="H134" i="211"/>
  <c r="F153" i="145"/>
  <c r="AD58" i="145"/>
  <c r="AD123" i="145"/>
  <c r="AD154" i="145"/>
  <c r="AD50" i="145"/>
  <c r="AD115" i="145"/>
  <c r="AD142" i="145"/>
  <c r="AD173" i="145"/>
  <c r="AD174" i="145" s="1"/>
  <c r="AD49" i="145"/>
  <c r="AD113" i="145"/>
  <c r="AD140" i="145"/>
  <c r="AD172" i="145"/>
  <c r="AD48" i="145"/>
  <c r="AD112" i="145"/>
  <c r="AD138" i="145"/>
  <c r="AD175" i="145"/>
  <c r="A52" i="210"/>
  <c r="AD99" i="145"/>
  <c r="AD81" i="145"/>
  <c r="AD178" i="145"/>
  <c r="AD145" i="145"/>
  <c r="AD60" i="145"/>
  <c r="Q54" i="210"/>
  <c r="B53" i="210"/>
  <c r="AD93" i="145"/>
  <c r="AD95" i="145"/>
  <c r="AD181" i="145"/>
  <c r="AD114" i="145"/>
  <c r="AD110" i="145"/>
  <c r="AD111" i="145"/>
  <c r="AD35" i="145"/>
  <c r="AD147" i="145"/>
  <c r="AD148" i="145"/>
  <c r="AD151" i="145"/>
  <c r="AD152" i="145"/>
  <c r="AE10" i="145"/>
  <c r="AE172" i="145" s="1"/>
  <c r="AF172" i="145" s="1"/>
  <c r="AD128" i="145"/>
  <c r="AD162" i="145"/>
  <c r="AD122" i="145"/>
  <c r="AD153" i="145"/>
  <c r="AD67" i="145"/>
  <c r="AD121" i="145"/>
  <c r="AD177" i="145"/>
  <c r="AD119" i="145"/>
  <c r="AD28" i="145"/>
  <c r="AD106" i="145"/>
  <c r="AD137" i="145"/>
  <c r="AD167" i="145"/>
  <c r="AD105" i="145"/>
  <c r="AD126" i="145"/>
  <c r="AD161" i="145"/>
  <c r="AD25" i="145"/>
  <c r="AD102" i="145"/>
  <c r="AD125" i="145"/>
  <c r="AD156" i="145"/>
  <c r="AD101" i="145"/>
  <c r="AD124" i="145"/>
  <c r="AD163" i="145"/>
  <c r="AE178" i="145"/>
  <c r="AF178" i="145" s="1"/>
  <c r="AE144" i="145"/>
  <c r="AF144" i="145" s="1"/>
  <c r="B116" i="210"/>
  <c r="Q117" i="210"/>
  <c r="T21" i="106"/>
  <c r="C21" i="106" s="1"/>
  <c r="S24" i="106"/>
  <c r="B24" i="106"/>
  <c r="AE143" i="145" l="1"/>
  <c r="AF143" i="145" s="1"/>
  <c r="AE156" i="145"/>
  <c r="AF156" i="145" s="1"/>
  <c r="AE81" i="145"/>
  <c r="AE140" i="145"/>
  <c r="AF140" i="145" s="1"/>
  <c r="AE175" i="145"/>
  <c r="AF175" i="145" s="1"/>
  <c r="AF81" i="145"/>
  <c r="AE142" i="145"/>
  <c r="AF142" i="145" s="1"/>
  <c r="AE67" i="145"/>
  <c r="AF67" i="145" s="1"/>
  <c r="AE173" i="145"/>
  <c r="AE174" i="145" s="1"/>
  <c r="AF174" i="145" s="1"/>
  <c r="AE145" i="145"/>
  <c r="AF145" i="145" s="1"/>
  <c r="AE177" i="145"/>
  <c r="AF177" i="145" s="1"/>
  <c r="Q55" i="210"/>
  <c r="B54" i="210"/>
  <c r="AE95" i="145"/>
  <c r="AF95" i="145" s="1"/>
  <c r="AE93" i="145"/>
  <c r="AF93" i="145" s="1"/>
  <c r="AE181" i="145"/>
  <c r="AF181" i="145" s="1"/>
  <c r="AE114" i="145"/>
  <c r="AF114" i="145" s="1"/>
  <c r="AE111" i="145"/>
  <c r="AF111" i="145" s="1"/>
  <c r="AE35" i="145"/>
  <c r="AF35" i="145" s="1"/>
  <c r="AE147" i="145"/>
  <c r="AF147" i="145" s="1"/>
  <c r="AE148" i="145"/>
  <c r="AF148" i="145" s="1"/>
  <c r="AE151" i="145"/>
  <c r="AF151" i="145" s="1"/>
  <c r="AE152" i="145"/>
  <c r="AF152" i="145" s="1"/>
  <c r="AE153" i="145"/>
  <c r="AF153" i="145" s="1"/>
  <c r="AE135" i="145"/>
  <c r="AE125" i="145"/>
  <c r="AF125" i="145" s="1"/>
  <c r="AE32" i="145"/>
  <c r="AF32" i="145" s="1"/>
  <c r="AE122" i="145"/>
  <c r="AF122" i="145" s="1"/>
  <c r="AE60" i="145"/>
  <c r="AF60" i="145" s="1"/>
  <c r="AE163" i="145"/>
  <c r="AF163" i="145" s="1"/>
  <c r="AE116" i="145"/>
  <c r="AF116" i="145" s="1"/>
  <c r="AE110" i="145"/>
  <c r="AF110" i="145" s="1"/>
  <c r="AE101" i="145"/>
  <c r="AF101" i="145" s="1"/>
  <c r="AE109" i="145"/>
  <c r="AF109" i="145" s="1"/>
  <c r="AE121" i="145"/>
  <c r="AF121" i="145" s="1"/>
  <c r="AE165" i="145"/>
  <c r="AF165" i="145" s="1"/>
  <c r="AE105" i="145"/>
  <c r="AF105" i="145" s="1"/>
  <c r="AE138" i="145"/>
  <c r="AF138" i="145" s="1"/>
  <c r="AE131" i="145"/>
  <c r="AF131" i="145" s="1"/>
  <c r="AE124" i="145"/>
  <c r="AF124" i="145" s="1"/>
  <c r="AE31" i="145"/>
  <c r="AF31" i="145" s="1"/>
  <c r="AE119" i="145"/>
  <c r="AF119" i="145" s="1"/>
  <c r="AE167" i="145"/>
  <c r="AF167" i="145" s="1"/>
  <c r="AE162" i="145"/>
  <c r="AF162" i="145" s="1"/>
  <c r="AE115" i="145"/>
  <c r="AF115" i="145" s="1"/>
  <c r="AE106" i="145"/>
  <c r="AF106" i="145" s="1"/>
  <c r="AE112" i="145"/>
  <c r="AF112" i="145" s="1"/>
  <c r="AE137" i="145"/>
  <c r="AF137" i="145" s="1"/>
  <c r="AE128" i="145"/>
  <c r="AF128" i="145" s="1"/>
  <c r="AE123" i="145"/>
  <c r="AF123" i="145" s="1"/>
  <c r="AE28" i="145"/>
  <c r="AF28" i="145" s="1"/>
  <c r="AE107" i="145"/>
  <c r="AF107" i="145" s="1"/>
  <c r="AE166" i="145"/>
  <c r="AF166" i="145" s="1"/>
  <c r="AE161" i="145"/>
  <c r="AF161" i="145" s="1"/>
  <c r="AE113" i="145"/>
  <c r="AF113" i="145" s="1"/>
  <c r="AE108" i="145"/>
  <c r="AF108" i="145" s="1"/>
  <c r="AE136" i="145"/>
  <c r="AF136" i="145" s="1"/>
  <c r="AE126" i="145"/>
  <c r="AF126" i="145" s="1"/>
  <c r="AE25" i="145"/>
  <c r="AF25" i="145" s="1"/>
  <c r="AE154" i="145"/>
  <c r="AF154" i="145" s="1"/>
  <c r="AE50" i="145"/>
  <c r="AF50" i="145" s="1"/>
  <c r="AE49" i="145"/>
  <c r="AF49" i="145" s="1"/>
  <c r="AE48" i="145"/>
  <c r="AF48" i="145" s="1"/>
  <c r="AE37" i="145"/>
  <c r="AF37" i="145" s="1"/>
  <c r="AE58" i="145"/>
  <c r="AF58" i="145" s="1"/>
  <c r="AE169" i="145"/>
  <c r="AF169" i="145" s="1"/>
  <c r="AE102" i="145"/>
  <c r="AF102" i="145" s="1"/>
  <c r="AE99" i="145"/>
  <c r="AE27" i="145"/>
  <c r="AF27" i="145" s="1"/>
  <c r="A53" i="210"/>
  <c r="AF173" i="145"/>
  <c r="Q118" i="210"/>
  <c r="B117" i="210"/>
  <c r="A24" i="106"/>
  <c r="T22" i="106"/>
  <c r="C22" i="106" s="1"/>
  <c r="S25" i="106"/>
  <c r="B25" i="106"/>
  <c r="A25" i="106" s="1"/>
  <c r="Q56" i="210" l="1"/>
  <c r="B55" i="210"/>
  <c r="A54" i="210"/>
  <c r="Q119" i="210"/>
  <c r="B118" i="210"/>
  <c r="S26" i="106"/>
  <c r="B26" i="106"/>
  <c r="T23" i="106"/>
  <c r="C23" i="106" s="1"/>
  <c r="A55" i="210" l="1"/>
  <c r="Q57" i="210"/>
  <c r="B56" i="210"/>
  <c r="B119" i="210"/>
  <c r="Q120" i="210"/>
  <c r="T24" i="106"/>
  <c r="C24" i="106" s="1"/>
  <c r="S27" i="106"/>
  <c r="B27" i="106"/>
  <c r="A27" i="106" s="1"/>
  <c r="A26" i="106"/>
  <c r="A56" i="210" l="1"/>
  <c r="Q58" i="210"/>
  <c r="B57" i="210"/>
  <c r="B120" i="210"/>
  <c r="Q121" i="210"/>
  <c r="T25" i="106"/>
  <c r="C25" i="106" s="1"/>
  <c r="S28" i="106"/>
  <c r="B28" i="106"/>
  <c r="A28" i="106" s="1"/>
  <c r="A57" i="210" l="1"/>
  <c r="Q59" i="210"/>
  <c r="B58" i="210"/>
  <c r="B121" i="210"/>
  <c r="Q122" i="210"/>
  <c r="T26" i="106"/>
  <c r="C26" i="106" s="1"/>
  <c r="S29" i="106"/>
  <c r="B29" i="106"/>
  <c r="A29" i="106" s="1"/>
  <c r="A58" i="210" l="1"/>
  <c r="Q60" i="210"/>
  <c r="B59" i="210"/>
  <c r="Q123" i="210"/>
  <c r="B122" i="210"/>
  <c r="T27" i="106"/>
  <c r="C27" i="106" s="1"/>
  <c r="S30" i="106"/>
  <c r="B30" i="106"/>
  <c r="A30" i="106" s="1"/>
  <c r="B60" i="210" l="1"/>
  <c r="Q61" i="210"/>
  <c r="A59" i="210"/>
  <c r="Q124" i="210"/>
  <c r="B123" i="210"/>
  <c r="T28" i="106"/>
  <c r="C28" i="106" s="1"/>
  <c r="S31" i="106"/>
  <c r="B31" i="106"/>
  <c r="A31" i="106" s="1"/>
  <c r="B61" i="210" l="1"/>
  <c r="Q62" i="210"/>
  <c r="A60" i="210"/>
  <c r="Q125" i="210"/>
  <c r="B124" i="210"/>
  <c r="T29" i="106"/>
  <c r="C29" i="106" s="1"/>
  <c r="S32" i="106"/>
  <c r="B32" i="106"/>
  <c r="A32" i="106" s="1"/>
  <c r="Q63" i="210" l="1"/>
  <c r="B62" i="210"/>
  <c r="A61" i="210"/>
  <c r="Q126" i="210"/>
  <c r="B125" i="210"/>
  <c r="T30" i="106"/>
  <c r="C30" i="106" s="1"/>
  <c r="S33" i="106"/>
  <c r="B33" i="106"/>
  <c r="A33" i="106" s="1"/>
  <c r="A62" i="210" l="1"/>
  <c r="B63" i="210"/>
  <c r="Q64" i="210"/>
  <c r="B126" i="210"/>
  <c r="Q127" i="210"/>
  <c r="T31" i="106"/>
  <c r="C31" i="106" s="1"/>
  <c r="S34" i="106"/>
  <c r="B34" i="106"/>
  <c r="A34" i="106" s="1"/>
  <c r="Q65" i="210" l="1"/>
  <c r="B64" i="210"/>
  <c r="A63" i="210"/>
  <c r="B127" i="210"/>
  <c r="Q128" i="210"/>
  <c r="T32" i="106"/>
  <c r="C32" i="106" s="1"/>
  <c r="S35" i="106"/>
  <c r="B35" i="106"/>
  <c r="H83" i="106" s="1"/>
  <c r="AD24" i="145" s="1"/>
  <c r="A64" i="210" l="1"/>
  <c r="Q66" i="210"/>
  <c r="B65" i="210"/>
  <c r="Q129" i="210"/>
  <c r="B129" i="210" s="1"/>
  <c r="B128" i="210"/>
  <c r="A35" i="106"/>
  <c r="H70" i="106"/>
  <c r="Q24" i="145" s="1"/>
  <c r="H82" i="106"/>
  <c r="AC24" i="145" s="1"/>
  <c r="H81" i="106"/>
  <c r="AB24" i="145" s="1"/>
  <c r="H78" i="106"/>
  <c r="Y24" i="145" s="1"/>
  <c r="H73" i="106"/>
  <c r="T24" i="145" s="1"/>
  <c r="H76" i="106"/>
  <c r="W24" i="145" s="1"/>
  <c r="H66" i="106"/>
  <c r="M24" i="145" s="1"/>
  <c r="H64" i="106"/>
  <c r="K24" i="145" s="1"/>
  <c r="H75" i="106"/>
  <c r="V24" i="145" s="1"/>
  <c r="H80" i="106"/>
  <c r="AA24" i="145" s="1"/>
  <c r="H61" i="106"/>
  <c r="H24" i="145" s="1"/>
  <c r="H68" i="106"/>
  <c r="O24" i="145" s="1"/>
  <c r="H71" i="106"/>
  <c r="R24" i="145" s="1"/>
  <c r="H65" i="106"/>
  <c r="L24" i="145" s="1"/>
  <c r="H67" i="106"/>
  <c r="N24" i="145" s="1"/>
  <c r="H79" i="106"/>
  <c r="Z24" i="145" s="1"/>
  <c r="H60" i="106"/>
  <c r="G24" i="145" s="1"/>
  <c r="H72" i="106"/>
  <c r="S24" i="145" s="1"/>
  <c r="H69" i="106"/>
  <c r="P24" i="145" s="1"/>
  <c r="H63" i="106"/>
  <c r="J24" i="145" s="1"/>
  <c r="H59" i="106"/>
  <c r="F24" i="145" s="1"/>
  <c r="H84" i="106"/>
  <c r="AE24" i="145" s="1"/>
  <c r="H77" i="106"/>
  <c r="X24" i="145" s="1"/>
  <c r="H62" i="106"/>
  <c r="I24" i="145" s="1"/>
  <c r="H74" i="106"/>
  <c r="U24" i="145" s="1"/>
  <c r="T33" i="106"/>
  <c r="C33" i="106" s="1"/>
  <c r="A65" i="210" l="1"/>
  <c r="Q67" i="210"/>
  <c r="B66" i="210"/>
  <c r="AF24" i="145"/>
  <c r="T34" i="106"/>
  <c r="C34" i="106" s="1"/>
  <c r="H85" i="106"/>
  <c r="A66" i="210" l="1"/>
  <c r="B67" i="210"/>
  <c r="Q68" i="210"/>
  <c r="AE155" i="145"/>
  <c r="AD155" i="145"/>
  <c r="T35" i="106"/>
  <c r="C35" i="106" s="1"/>
  <c r="A67" i="210" l="1"/>
  <c r="B68" i="210"/>
  <c r="Q69" i="210"/>
  <c r="B69" i="210" l="1"/>
  <c r="Q70" i="210"/>
  <c r="A68" i="210"/>
  <c r="B70" i="210" l="1"/>
  <c r="Q71" i="210"/>
  <c r="A69" i="210"/>
  <c r="Q72" i="210" l="1"/>
  <c r="B71" i="210"/>
  <c r="A70" i="210"/>
  <c r="A71" i="210" l="1"/>
  <c r="Q73" i="210"/>
  <c r="B72" i="210"/>
  <c r="Q75" i="210" l="1"/>
  <c r="B73" i="210"/>
  <c r="Q74" i="210"/>
  <c r="B74" i="210" s="1"/>
  <c r="A72" i="210"/>
  <c r="A74" i="210" l="1"/>
  <c r="A73" i="210"/>
  <c r="Q76" i="210"/>
  <c r="B75" i="210"/>
  <c r="A75" i="210" l="1"/>
  <c r="Q77" i="210"/>
  <c r="B76" i="210"/>
  <c r="A76" i="210" s="1"/>
  <c r="Q78" i="210" l="1"/>
  <c r="B78" i="210" s="1"/>
  <c r="B77" i="210"/>
  <c r="A77" i="210" s="1"/>
  <c r="A101" i="210" l="1"/>
  <c r="A105" i="210"/>
  <c r="A111" i="210"/>
  <c r="A85" i="210"/>
  <c r="A95" i="210"/>
  <c r="A104" i="210"/>
  <c r="A92" i="210"/>
  <c r="A79" i="210"/>
  <c r="A103" i="210"/>
  <c r="A89" i="210"/>
  <c r="A90" i="210"/>
  <c r="A83" i="210"/>
  <c r="A88" i="210"/>
  <c r="A86" i="210"/>
  <c r="A78" i="210"/>
  <c r="A107" i="210"/>
  <c r="A82" i="210"/>
  <c r="A100" i="210"/>
  <c r="A97" i="210"/>
  <c r="A94" i="210"/>
  <c r="A93" i="210"/>
  <c r="A87" i="210"/>
  <c r="A109" i="210"/>
  <c r="A98" i="210"/>
  <c r="A99" i="210"/>
  <c r="A84" i="210"/>
  <c r="A106" i="210"/>
  <c r="A80" i="210"/>
  <c r="A81" i="210"/>
  <c r="A96" i="210"/>
  <c r="A108" i="210"/>
  <c r="A113" i="210"/>
  <c r="A102" i="210"/>
  <c r="A110" i="210"/>
  <c r="A91" i="210"/>
  <c r="A112" i="210"/>
  <c r="A117" i="210"/>
  <c r="A114" i="210"/>
  <c r="A115" i="210"/>
  <c r="A116" i="210"/>
  <c r="A118" i="210"/>
  <c r="A123" i="210"/>
  <c r="A119" i="210"/>
  <c r="A121" i="210"/>
  <c r="A125" i="210"/>
  <c r="A120" i="210"/>
  <c r="A122" i="210"/>
  <c r="A124" i="210"/>
  <c r="A126" i="210"/>
  <c r="A127" i="210"/>
  <c r="A128" i="210"/>
  <c r="X155" i="145"/>
  <c r="H167" i="210"/>
  <c r="S155" i="145" s="1"/>
  <c r="H169" i="210"/>
  <c r="U155" i="145" s="1"/>
  <c r="H168" i="210"/>
  <c r="T155" i="145" s="1"/>
  <c r="H165" i="210"/>
  <c r="Q155" i="145" s="1"/>
  <c r="H160" i="210"/>
  <c r="L155" i="145" s="1"/>
  <c r="A129" i="210"/>
  <c r="H175" i="210"/>
  <c r="AA155" i="145" s="1"/>
  <c r="H170" i="210"/>
  <c r="V155" i="145" s="1"/>
  <c r="H174" i="210"/>
  <c r="Z155" i="145" s="1"/>
  <c r="H163" i="210"/>
  <c r="O155" i="145" s="1"/>
  <c r="H161" i="210"/>
  <c r="M155" i="145" s="1"/>
  <c r="H173" i="210"/>
  <c r="Y155" i="145" s="1"/>
  <c r="H171" i="210"/>
  <c r="W155" i="145" s="1"/>
  <c r="H157" i="210"/>
  <c r="I155" i="145" s="1"/>
  <c r="H154" i="210"/>
  <c r="H162" i="210"/>
  <c r="N155" i="145" s="1"/>
  <c r="H158" i="210"/>
  <c r="J155" i="145" s="1"/>
  <c r="H176" i="210"/>
  <c r="AB155" i="145" s="1"/>
  <c r="H159" i="210"/>
  <c r="K155" i="145" s="1"/>
  <c r="H166" i="210"/>
  <c r="R155" i="145" s="1"/>
  <c r="H155" i="210"/>
  <c r="G155" i="145" s="1"/>
  <c r="H177" i="210"/>
  <c r="AC155" i="145" s="1"/>
  <c r="H156" i="210"/>
  <c r="H155" i="145" s="1"/>
  <c r="H164" i="210"/>
  <c r="P155" i="145" s="1"/>
  <c r="H180" i="210" l="1"/>
  <c r="F155" i="145"/>
  <c r="AF155" i="145" s="1"/>
  <c r="G21" i="167"/>
  <c r="F99" i="144" s="1"/>
  <c r="H21" i="167"/>
  <c r="G99" i="144" s="1"/>
  <c r="I21" i="167" l="1"/>
  <c r="J16" i="167"/>
  <c r="J21" i="167" s="1"/>
  <c r="I99" i="144" s="1"/>
  <c r="H58" i="167"/>
  <c r="T99" i="145" l="1"/>
  <c r="AF99" i="145" s="1"/>
  <c r="H70" i="167"/>
  <c r="H99" i="144"/>
  <c r="A7" i="167"/>
  <c r="A40" i="167" s="1"/>
  <c r="H12" i="196"/>
  <c r="I12" i="196" s="1"/>
  <c r="G15" i="196"/>
  <c r="F135" i="144" s="1"/>
  <c r="H15" i="196" l="1"/>
  <c r="G135" i="144" s="1"/>
  <c r="I15" i="196"/>
  <c r="H58" i="196"/>
  <c r="A7" i="196" l="1"/>
  <c r="A34" i="196" s="1"/>
  <c r="H135" i="144"/>
  <c r="H64" i="196"/>
  <c r="Z135" i="145"/>
  <c r="AF135" i="145" s="1"/>
</calcChain>
</file>

<file path=xl/sharedStrings.xml><?xml version="1.0" encoding="utf-8"?>
<sst xmlns="http://schemas.openxmlformats.org/spreadsheetml/2006/main" count="5202" uniqueCount="838">
  <si>
    <t>m</t>
  </si>
  <si>
    <t>Ngày kiểm tra</t>
  </si>
  <si>
    <t>Kỳ trước</t>
  </si>
  <si>
    <t>STT</t>
  </si>
  <si>
    <t xml:space="preserve"> Tổng </t>
  </si>
  <si>
    <t>Người lập</t>
  </si>
  <si>
    <t>Người kiểm tra</t>
  </si>
  <si>
    <t>m3</t>
  </si>
  <si>
    <t>tấn</t>
  </si>
  <si>
    <t>Tấn</t>
  </si>
  <si>
    <t>TT</t>
  </si>
  <si>
    <t>Nội dung công việc</t>
  </si>
  <si>
    <t>Đơn vị</t>
  </si>
  <si>
    <t>KL nghiệm thu</t>
  </si>
  <si>
    <t>V</t>
  </si>
  <si>
    <t>HẦM CHUI DÂN SINH</t>
  </si>
  <si>
    <t>a</t>
  </si>
  <si>
    <t xml:space="preserve">Đào, đắp hố móng </t>
  </si>
  <si>
    <t>Đào hố móng đất C4</t>
  </si>
  <si>
    <t>Đắp đất trả hố móng K95</t>
  </si>
  <si>
    <t>Đắp đất K95 tứ nón</t>
  </si>
  <si>
    <t>Đắp VL dạng hạt K98</t>
  </si>
  <si>
    <t>Đợt 1</t>
  </si>
  <si>
    <t>Đợt 2</t>
  </si>
  <si>
    <t>Đợt 3</t>
  </si>
  <si>
    <t>Đợt 4</t>
  </si>
  <si>
    <t>Trồng cỏ</t>
  </si>
  <si>
    <t>m2</t>
  </si>
  <si>
    <t>b</t>
  </si>
  <si>
    <t>Vận chuyển đất đổ thải</t>
  </si>
  <si>
    <t>Vận chuyển đất C4 đổ thải</t>
  </si>
  <si>
    <t>c</t>
  </si>
  <si>
    <t>Cửa hầm chui</t>
  </si>
  <si>
    <t>BT tường đầu, tường cánh C30 đổ tại chỗ</t>
  </si>
  <si>
    <t>Gia công cốt thép tường cánh cống D&lt;=10</t>
  </si>
  <si>
    <t>Gia công cốt thép tường cánh cống D&lt;=18</t>
  </si>
  <si>
    <t>Gia công cốt thép tường cánh cống D&gt;18</t>
  </si>
  <si>
    <t>Tấm ốp 40x40x5cm</t>
  </si>
  <si>
    <t>tấm</t>
  </si>
  <si>
    <t>d</t>
  </si>
  <si>
    <t>Bản quá độ</t>
  </si>
  <si>
    <t>Cốt thép bản quá độ D&lt;=10</t>
  </si>
  <si>
    <t>Cốt thép bản quá độ D&lt;=18</t>
  </si>
  <si>
    <t>Cốt thép &gt;18</t>
  </si>
  <si>
    <t>e</t>
  </si>
  <si>
    <t>Bậc thoát nước</t>
  </si>
  <si>
    <t>Bê tông hố thu C16</t>
  </si>
  <si>
    <t>Bê tông mương dẫn C16</t>
  </si>
  <si>
    <t>f</t>
  </si>
  <si>
    <t>Tứ nón gia cố chân khay</t>
  </si>
  <si>
    <t>Bê tông chân khay C16</t>
  </si>
  <si>
    <t xml:space="preserve">Đá dăm đệm </t>
  </si>
  <si>
    <t>Đá hộc xếp khan không miết mạch</t>
  </si>
  <si>
    <t>Vữa xi măng C10</t>
  </si>
  <si>
    <t>g</t>
  </si>
  <si>
    <t>Hầm chui dân sinh</t>
  </si>
  <si>
    <t>Hầm chui (4x3)m đổ tại chỗ</t>
  </si>
  <si>
    <t>Đốt 1</t>
  </si>
  <si>
    <t>Đốt 2</t>
  </si>
  <si>
    <t>Khối lượng HĐ</t>
  </si>
  <si>
    <t>Chênh</t>
  </si>
  <si>
    <t>TỔNG HỢP KHỐI LƯỢNG HẦM CHUI XL3</t>
  </si>
  <si>
    <t>K.Lượng</t>
  </si>
  <si>
    <t>Ngày NT</t>
  </si>
  <si>
    <t>4,0x3,5</t>
  </si>
  <si>
    <t>4,0x3,0</t>
  </si>
  <si>
    <t>Hầm chui</t>
  </si>
  <si>
    <t>IPC3,IPC8</t>
  </si>
  <si>
    <t>NHÀ THẦU THI CÔNG</t>
  </si>
  <si>
    <t>TƯ VẤN GIÁM SÁT</t>
  </si>
  <si>
    <t>Hạng mục</t>
  </si>
  <si>
    <t>Ngày</t>
  </si>
  <si>
    <t>khối lượng</t>
  </si>
  <si>
    <t>IPC</t>
  </si>
  <si>
    <t>Bê tông tấm bản quá độ C25</t>
  </si>
  <si>
    <t>Đào thay đất cấp 2</t>
  </si>
  <si>
    <t>Đắp trả K95</t>
  </si>
  <si>
    <t>Vận chuyển đất C2 đổ thải</t>
  </si>
  <si>
    <t>IPC2,IPC3,IPC8</t>
  </si>
  <si>
    <t>Tường cánh rái tuyến</t>
  </si>
  <si>
    <t>Tường cánh phải tuyến</t>
  </si>
  <si>
    <t>Bản quá độ trái tuyến</t>
  </si>
  <si>
    <t>Bản quá độ phải tuyến</t>
  </si>
  <si>
    <t>Hầm chui (4x3,5)m</t>
  </si>
  <si>
    <t>Thời gian nghiệm thu</t>
  </si>
  <si>
    <t>Ghi chú</t>
  </si>
  <si>
    <t>Tổng</t>
  </si>
  <si>
    <t>DỰ ÁN THÀNH PHẦN 1 THUỘC DỰ ÁN ĐẦU TƯ XÂY DỰNG CÔNG TRÌNH TUYẾN CAO TỐC BẮC GIANG - LẠNG SƠN ĐOẠN KM1+800-KM108+500, KẾT HỢP TĂNG CƯỜNG MẶT ĐƯỜNG QL 1 ĐOẠN KM1+800-KM 106+500 TỈNH BẮC GIANG VÀ TỈNH LẠNG SƠN THEO HÌNH THỨC HỢP ĐỒNG BOT</t>
  </si>
  <si>
    <t>BẢNG THỐNG KÊ CHI TIẾT KHỐI LƯỢNG</t>
  </si>
  <si>
    <t>Khối lượng quyết toán</t>
  </si>
  <si>
    <t>BẢNG PHÂN KHAI KHỐI LƯỢNG THEO THÁNG</t>
  </si>
  <si>
    <t>Thực hiện từ 01/08/2017 đến 31/08/2019</t>
  </si>
  <si>
    <t>Khối lượng BVTC</t>
  </si>
  <si>
    <t>Khối lượng Bản vẽ hoàn công</t>
  </si>
  <si>
    <t>Khối lượng nghiệm thu</t>
  </si>
  <si>
    <t>Khối lượng đã thanh toán</t>
  </si>
  <si>
    <t>Mô tả</t>
  </si>
  <si>
    <t>CÔNG TY CỔ PHẦN BOT BẮC GIANG - LẠNG SƠN</t>
  </si>
  <si>
    <t>--------o0o--------</t>
  </si>
  <si>
    <t>DỰ ÁN ĐẦU TƯ XÂY DỰNG CÔNG TRÌNH TUYẾN CAO TỐC BẮC GIANG - LẠNG SƠN ĐOẠN KM1+800 - KM108+500, KẾT HỢP TĂNG CƯỜNG MẶT ĐƯỜNG QL1 ĐOẠN KM1+800 - KM106+500, TỈNH BẮC GIANG VÀ TỈNH LẠNG SƠN 
THEO HÌNH THỨC HỢP ĐỒNG BOT</t>
  </si>
  <si>
    <t>DỰ ÁN THÀNH PHẦN 1
TUYẾN CAO TỐC BẮC GIANG - LẠNG SƠN ĐOẠN KM45+100 - KM108+500, KẾT HỢP TĂNG CƯỜNG MẶT ĐƯỜNG QL1 ĐOẠN KM1+800 - KM106+500, TỈNH BẮC GIANG VÀ TỈNH LẠNG SƠN</t>
  </si>
  <si>
    <t>THI CÔNG XÂY DỰNG ĐƯỜNG CAO TỐC TỪ KM49+000.00 - KM52+000.00</t>
  </si>
  <si>
    <t>HỒ SƠ HOÀN THÀNH CÔNG TRÌNH</t>
  </si>
  <si>
    <t>KHỐI LƯỢNG HOÀN CÔNG</t>
  </si>
  <si>
    <t>ĐẠI DIỆN BAN QLDA</t>
  </si>
  <si>
    <t>ĐẠI DIỆN TƯ VẤN GIÁM SÁT</t>
  </si>
  <si>
    <t>BOT BẮC GIANG - LẠNG SƠN</t>
  </si>
  <si>
    <t>CÔNG TY CP TƯ VẤN XÂY DỰNG A2Z</t>
  </si>
  <si>
    <t>LIÊN DANH CÔNG TY CỔ PHẦN TẬP ĐOÀN ĐÈO CẢ
VÀ CÔNG TY CỔ PHẦN THƯƠNG MẠI VÀ XÂY DỰNG HOÀNG LONG</t>
  </si>
  <si>
    <t>Hà Nội, năm 2019</t>
  </si>
  <si>
    <t>BẢNG KHỐI LƯỢNG QUYẾT TOÁN</t>
  </si>
  <si>
    <t>Tên công việc</t>
  </si>
  <si>
    <t>Khối lượng theo BVTC</t>
  </si>
  <si>
    <t>Khối lượng bản vẽ hoàn công</t>
  </si>
  <si>
    <t>A</t>
  </si>
  <si>
    <t>PHẦN CÔNG VIỆC THEO PLHĐ SỐ 06-03/2017/HĐTCXL-BGLS</t>
  </si>
  <si>
    <t>I</t>
  </si>
  <si>
    <t>II</t>
  </si>
  <si>
    <t>II.1</t>
  </si>
  <si>
    <t>II.2</t>
  </si>
  <si>
    <t>III</t>
  </si>
  <si>
    <t>III.2</t>
  </si>
  <si>
    <t>Đắp đất K95</t>
  </si>
  <si>
    <t>Vận chuyển đá C4 đổ thải</t>
  </si>
  <si>
    <t>Đá dăm đệm</t>
  </si>
  <si>
    <t>cái</t>
  </si>
  <si>
    <t>bộ</t>
  </si>
  <si>
    <t>kg</t>
  </si>
  <si>
    <t>B</t>
  </si>
  <si>
    <t>PHẦN CÔNG VIỆC PHÁT SINH, BỔ SUNG NGOÀI PLHĐ SỐ 06-03/2017/HĐTCXL-BGLS</t>
  </si>
  <si>
    <t>ĐẠI DIỆN NHÀ THẦU THI CÔNG</t>
  </si>
  <si>
    <t>BẢNG PHÂN KHAI KHỐI LƯỢNG HOÀN THÀNH THEO THỜI GIAN THI CÔNG</t>
  </si>
  <si>
    <t>Hạng mục công việc</t>
  </si>
  <si>
    <t>Đơn vị tính</t>
  </si>
  <si>
    <t>Khối lượng hoàn thành theo thời gian thi công</t>
  </si>
  <si>
    <t>Năm 2017</t>
  </si>
  <si>
    <t>Năm 2018</t>
  </si>
  <si>
    <t>Năm 2019</t>
  </si>
  <si>
    <t>Tháng 8</t>
  </si>
  <si>
    <t>Tháng 9</t>
  </si>
  <si>
    <t>Tháng 10</t>
  </si>
  <si>
    <t>Tháng 11</t>
  </si>
  <si>
    <t>Tháng 12</t>
  </si>
  <si>
    <t>Tháng 1</t>
  </si>
  <si>
    <t>Tháng 2</t>
  </si>
  <si>
    <t>Tháng 3</t>
  </si>
  <si>
    <t>Tháng 4</t>
  </si>
  <si>
    <t>Tháng 5</t>
  </si>
  <si>
    <t>Tháng 6</t>
  </si>
  <si>
    <t>Tháng 7</t>
  </si>
  <si>
    <t>C</t>
  </si>
  <si>
    <t>CẦU VƯỢT KM101+813.49</t>
  </si>
  <si>
    <t>KẾT CẦU NHỊP DẦM</t>
  </si>
  <si>
    <t/>
  </si>
  <si>
    <t>I.1</t>
  </si>
  <si>
    <t>KẾT CẤU CHÍNH</t>
  </si>
  <si>
    <t xml:space="preserve">Dầm bản </t>
  </si>
  <si>
    <t>Bê tông dầm bản đúc sẵn 40MPa</t>
  </si>
  <si>
    <t>Sản xuất, LD cốt thép dầm cầu D ≤ 18mm</t>
  </si>
  <si>
    <t>Sản xuất, LD cốt thép dầm cầu D &gt; 18mm</t>
  </si>
  <si>
    <t xml:space="preserve">Căng kéo trước bó cáp CĐC dầm bản </t>
  </si>
  <si>
    <t>Quét keo Epoxy đầu dầm</t>
  </si>
  <si>
    <t>Bơm vữa XM lấp lòng ống luồn cáp</t>
  </si>
  <si>
    <t>Neo cáp dự ứng lực</t>
  </si>
  <si>
    <t>SX,LD bộ nối D18/32</t>
  </si>
  <si>
    <t>Dầm bản lắp ghép BTCT DƯL L=18m</t>
  </si>
  <si>
    <t>Dầm</t>
  </si>
  <si>
    <t>Lắp đặt dầm bản  lắp ghép BTCT DƯL L=18m</t>
  </si>
  <si>
    <t>Gối cầu</t>
  </si>
  <si>
    <t>Gối cầu 150x200x20</t>
  </si>
  <si>
    <t>Vữa không co ngót 40MPA</t>
  </si>
  <si>
    <t>Tấm PTFE 500x350x3</t>
  </si>
  <si>
    <t>Bản mặt cầu</t>
  </si>
  <si>
    <t>Bê tông bản mặt cầu  30MPa</t>
  </si>
  <si>
    <t>SX+LD cốt thép bản mặt cầu D≤18mm</t>
  </si>
  <si>
    <t>I.2</t>
  </si>
  <si>
    <t>HỆ MẶT CẦU, LAN CAN, THẢM MẶT CẦU, THOÁT NƯỚC, KHE CO GIÃN</t>
  </si>
  <si>
    <t>Khe co giãn</t>
  </si>
  <si>
    <t>Lắp đặt khe co giãn FEPA</t>
  </si>
  <si>
    <t>Lan can, dải phân cách</t>
  </si>
  <si>
    <t>Lắp đặt ống HDPE D112/90</t>
  </si>
  <si>
    <t>Lắp đặt ống nhựa D150</t>
  </si>
  <si>
    <t>Lắp đặt bộ phiễu thu nước bằng ống thép đúc D150 + nắp chắn rác</t>
  </si>
  <si>
    <t>Lắp đặt cút nhựa D225</t>
  </si>
  <si>
    <t>Sản xuất, lắp đặt thép treo hệ thoát nước mạ kẽm</t>
  </si>
  <si>
    <t>Bu lông M5/8</t>
  </si>
  <si>
    <t>chiếc</t>
  </si>
  <si>
    <t>Lưới thép mạ kẽm</t>
  </si>
  <si>
    <t>Tay vịn lan can</t>
  </si>
  <si>
    <t>Cột lan can</t>
  </si>
  <si>
    <t>Ống thép liên kết, bu lông thép</t>
  </si>
  <si>
    <t>Lắp đặt lan can</t>
  </si>
  <si>
    <t>Bê tông gờ lan can đổ tại chỗ 25MPa</t>
  </si>
  <si>
    <t>Cốt thép gờ lan can đổ tại chỗ D≤18mm</t>
  </si>
  <si>
    <t>Cốt thép gờ lan can đổ tại chỗ D18mm</t>
  </si>
  <si>
    <t>Bê tông đúc sẵn gờ Lan can C25</t>
  </si>
  <si>
    <t>Bê tông đúc sẵn Lan can, bó vỉa C15</t>
  </si>
  <si>
    <t>Cốt thép gờ lan can đúc sẵn</t>
  </si>
  <si>
    <t>Sản xuất, lắp đặt thép móc cẩu, dây cáp</t>
  </si>
  <si>
    <t>Vận chuyển cấu kiện BTĐS cự ly &lt;=1Km</t>
  </si>
  <si>
    <t>Bốc xếp CK BTĐS lên PT V/chuyển</t>
  </si>
  <si>
    <t>Bốc xếp CK BTĐS xuống PT V/chuyển</t>
  </si>
  <si>
    <t>Lắp đặt lan can đúc sẵn bằng cần cẩu</t>
  </si>
  <si>
    <t>Phủ mặt cầu</t>
  </si>
  <si>
    <t>Lớp phòng nước</t>
  </si>
  <si>
    <t>I.3</t>
  </si>
  <si>
    <t>PHỤ TRỢ THI CÔNG</t>
  </si>
  <si>
    <t>Dầm bản</t>
  </si>
  <si>
    <t>Di chuyển dầm bản trong bãi , L&lt;=30m</t>
  </si>
  <si>
    <t>dầm</t>
  </si>
  <si>
    <t>Nâng hạ dầm bản, L&lt;=30m</t>
  </si>
  <si>
    <t>Di chuyển dầm từ bãi đúc ra vị trí lao bằng xe chuyên dụng</t>
  </si>
  <si>
    <t xml:space="preserve">Lắp đặt dầm bản bằng đấu cẩu </t>
  </si>
  <si>
    <t>Bệ đúc dầm</t>
  </si>
  <si>
    <t>Trọn gói</t>
  </si>
  <si>
    <t>Đào đất hố móng bằng máy</t>
  </si>
  <si>
    <t>Đắp đất</t>
  </si>
  <si>
    <t>Cốt thép bệ đúc dầm ≤ 18mm</t>
  </si>
  <si>
    <t>Ván khuôn bệ đúc dầm</t>
  </si>
  <si>
    <t>Bê tông bệ đúc dầm 10MPa</t>
  </si>
  <si>
    <t>Bê tông bệ đỡ dầm 20MPa</t>
  </si>
  <si>
    <t>Phá dỡ bệ đúc dầm</t>
  </si>
  <si>
    <t xml:space="preserve">Sản xuất hệ thép hình </t>
  </si>
  <si>
    <t xml:space="preserve">Khấu hao hệ thép hình liên kết </t>
  </si>
  <si>
    <t>Lắp dựng + tháo dỡ kết cấu thép hình (HS 1,6)</t>
  </si>
  <si>
    <t>Đào thanh thải</t>
  </si>
  <si>
    <t xml:space="preserve">Vận chuyển phế thải đổ đi </t>
  </si>
  <si>
    <t>Bãi đúc và chứa dầm</t>
  </si>
  <si>
    <t>Vận chuyển đất C2 đổ đi trong phạm vi 4,92 km</t>
  </si>
  <si>
    <t>Đóng cọc tre dài 3m</t>
  </si>
  <si>
    <t>Bê tông tấm BTCT 20MPa</t>
  </si>
  <si>
    <t>Lắp đặt tấm bê tông ĐS</t>
  </si>
  <si>
    <t>c.kiện</t>
  </si>
  <si>
    <t>Cốt thép tấm BTCT</t>
  </si>
  <si>
    <t>T</t>
  </si>
  <si>
    <t>Khấu hao Ray P43 (KH 2%*5+7%)</t>
  </si>
  <si>
    <t>Khấu hao Dầm I200, H 200  (KH2%*5+7%)</t>
  </si>
  <si>
    <t>Khấu hao Tà vẹt gỗ (luân chuyển 8 lần)</t>
  </si>
  <si>
    <t>Sản xuất và lắp đặt ván khuôn thép bản để lại</t>
  </si>
  <si>
    <t>Lắp đặt ván khuôn thép bản để lại</t>
  </si>
  <si>
    <t>SX+LD ván khuôn bản mặt cầu</t>
  </si>
  <si>
    <t>100m2</t>
  </si>
  <si>
    <t>KẾT CẤU MỐ A1, A2</t>
  </si>
  <si>
    <t>II.1.1</t>
  </si>
  <si>
    <t>Mố A1, A2</t>
  </si>
  <si>
    <t>Bê tông bệ, thân mố loại 30MPa</t>
  </si>
  <si>
    <t>Bê tông bệ kê gối, ụ chống xô 25MPa</t>
  </si>
  <si>
    <t>Bê tông bản quá độ 25MPa</t>
  </si>
  <si>
    <t>Đổ BT đệm đáy móng + tạo phẳng 10Mpa</t>
  </si>
  <si>
    <t>Vữa không co ngót 40Mpa</t>
  </si>
  <si>
    <t>Bê tông không co ngót 45Mpa</t>
  </si>
  <si>
    <t>SX+LD cốt thép bệ móng + thân mô D ≤ 10 trên cạn</t>
  </si>
  <si>
    <t>SX+LD cốt thép bệ móng + thân mô D ≤ 18 trên cạn</t>
  </si>
  <si>
    <t>SX+LD cốt thép bệ móng + thân mố D &gt; 18 trên cạn</t>
  </si>
  <si>
    <t>SX+LD cốt thép bản quá độ D ≤ 10</t>
  </si>
  <si>
    <t>SX+LD cốt thép bản quá độ D ≤ 18</t>
  </si>
  <si>
    <t>SX+LD cốt thép bản quá độ D &gt; 18</t>
  </si>
  <si>
    <t>Quét nhựa bitum chống thấm</t>
  </si>
  <si>
    <t>Chèn bitum bản quá độ</t>
  </si>
  <si>
    <t>Sản xuất, lắp đặt ống thép mạ kẽm</t>
  </si>
  <si>
    <t>Tấm ngăn nước</t>
  </si>
  <si>
    <t>Tấm cao su đàn hồi</t>
  </si>
  <si>
    <t>II.1.2</t>
  </si>
  <si>
    <t>Tứ nón mố, chân khay</t>
  </si>
  <si>
    <t>Gia cố mái taluy</t>
  </si>
  <si>
    <t>Bê tông đúc sẵn tấm ốp taluy 16MPa</t>
  </si>
  <si>
    <t>Cốt thép tấm BTCT ốp taluy D≤10mm</t>
  </si>
  <si>
    <t>Lắp đặt tấp ốp BTCT 400x400</t>
  </si>
  <si>
    <t>Thép D6 tấm ốp ta luy</t>
  </si>
  <si>
    <t>Đào đất chân khay</t>
  </si>
  <si>
    <t>Đắp đất chân khay</t>
  </si>
  <si>
    <t>Đá dăm đệm móng</t>
  </si>
  <si>
    <t>Đá hộc xây vữa C16</t>
  </si>
  <si>
    <t>Đóng cọc tre dài 2m</t>
  </si>
  <si>
    <t>Lắp đặt ống nhựa D50</t>
  </si>
  <si>
    <t>II.1.3</t>
  </si>
  <si>
    <t>Dải phân cách giữa</t>
  </si>
  <si>
    <t>Dải phân cách giữa BTĐS</t>
  </si>
  <si>
    <t>Lắp dựng tấm lưới chống chói trên dải phân cách</t>
  </si>
  <si>
    <t>Lan can tôn lượn sóng</t>
  </si>
  <si>
    <t>II.1.4</t>
  </si>
  <si>
    <t>Tường chắn</t>
  </si>
  <si>
    <t xml:space="preserve">Đào đất </t>
  </si>
  <si>
    <t>Bê tông lót móng 10 Mpa (B&gt;250cm)</t>
  </si>
  <si>
    <t>Bê tông tường đổ tại chỗ 16MPa</t>
  </si>
  <si>
    <t>II.1.5</t>
  </si>
  <si>
    <t>Tầng lọc</t>
  </si>
  <si>
    <t>Lớp cát hạt thô thoát nước</t>
  </si>
  <si>
    <t>Đắp vật liệu dạng hạt K98</t>
  </si>
  <si>
    <t>Vải địa kỹ thuật bọc đầu</t>
  </si>
  <si>
    <t>Rải vải địa kỹ thuật 300x300</t>
  </si>
  <si>
    <t>Cút nối góc</t>
  </si>
  <si>
    <t>II.1.6</t>
  </si>
  <si>
    <t>Bậc thang</t>
  </si>
  <si>
    <t>Bê tông bậc thang 16MPa</t>
  </si>
  <si>
    <t>II.1.7</t>
  </si>
  <si>
    <t>Đường đầu cầu</t>
  </si>
  <si>
    <t>Nền đường</t>
  </si>
  <si>
    <t>San ủi mặt bằng (phát quang)</t>
  </si>
  <si>
    <t>Đào vật liệu không thích hợp</t>
  </si>
  <si>
    <t>Đắp đất K98</t>
  </si>
  <si>
    <t>Đắp vật liệu dạng hạt</t>
  </si>
  <si>
    <t>Cấp phối đá dăm loại 1</t>
  </si>
  <si>
    <t>Cấp phối đá dăm loại 2</t>
  </si>
  <si>
    <t>SX thép đà giáo mố A1, A2 (Luân chuyển)</t>
  </si>
  <si>
    <t>KH VLC thép đà giáo (2%*2 tháng+7%*2)</t>
  </si>
  <si>
    <t>Lắp dựng + tháo dỡ thép đà giáo</t>
  </si>
  <si>
    <t>San ủi hoàn trả mặt bằng</t>
  </si>
  <si>
    <t>Đào đất hố móng</t>
  </si>
  <si>
    <t>Đào đá đá cấp IV</t>
  </si>
  <si>
    <t>Đắp đất hố móng</t>
  </si>
  <si>
    <t>Sản xuất, lắp đặt thép bản đặt sẵn trong bê tông</t>
  </si>
  <si>
    <t>Gỗ chống nẹp, gỗ sàn</t>
  </si>
  <si>
    <t>HẠNG MỤC KHÁC</t>
  </si>
  <si>
    <t>III,1</t>
  </si>
  <si>
    <t>Mặt bằng công trường</t>
  </si>
  <si>
    <t xml:space="preserve">Đào đất hữu cơ </t>
  </si>
  <si>
    <t>Đắp đất K90</t>
  </si>
  <si>
    <t>Đắp cát công trình</t>
  </si>
  <si>
    <t>Đá dăm mặt bằng thi công</t>
  </si>
  <si>
    <t>Bê tông nền 10MPa</t>
  </si>
  <si>
    <t>Phá dỡ bê tông</t>
  </si>
  <si>
    <t>Đào thanh thải, hoàn trả mặt bằng</t>
  </si>
  <si>
    <t>1</t>
  </si>
  <si>
    <t>PHẦN CÔNG VIỆC THEO PLHĐ SỐ ..-../....../HĐTCXL-BGLS</t>
  </si>
  <si>
    <t>PHẦN CÔNG VIỆC PHÁT SINH, BỔ SUNG NGOÀI PLHĐ SỐ ,,-,,/,,,,,,/HĐTCXL-BGLS</t>
  </si>
  <si>
    <t>-</t>
  </si>
  <si>
    <t>PHẦN C.: CẦU VƯỢT</t>
  </si>
  <si>
    <t>Hạng mục C.</t>
  </si>
  <si>
    <t>Kết cấu nhịp dầm</t>
  </si>
  <si>
    <t>Bệ kê gối A1</t>
  </si>
  <si>
    <t>Bệ kê gối A2</t>
  </si>
  <si>
    <t>1.1</t>
  </si>
  <si>
    <t>1.2</t>
  </si>
  <si>
    <t>1.3</t>
  </si>
  <si>
    <t>Hạng mục: Cầu vượt km101+813,49</t>
  </si>
  <si>
    <t>1.1.1</t>
  </si>
  <si>
    <t>1.1.3</t>
  </si>
  <si>
    <t>1.1.2</t>
  </si>
  <si>
    <t>1.1.8</t>
  </si>
  <si>
    <t>1.1.10</t>
  </si>
  <si>
    <t>1.1.9</t>
  </si>
  <si>
    <t>A1P</t>
  </si>
  <si>
    <t>A1T</t>
  </si>
  <si>
    <t>A2P</t>
  </si>
  <si>
    <t>A2T</t>
  </si>
  <si>
    <t>cỏi</t>
  </si>
  <si>
    <t>1.5.1</t>
  </si>
  <si>
    <t>A2</t>
  </si>
  <si>
    <t>A1</t>
  </si>
  <si>
    <t>1.5.2</t>
  </si>
  <si>
    <t>a2r</t>
  </si>
  <si>
    <t>a2l</t>
  </si>
  <si>
    <t>a1l</t>
  </si>
  <si>
    <t>a1r</t>
  </si>
  <si>
    <t>,thân A1L</t>
  </si>
  <si>
    <t>,thân A1R</t>
  </si>
  <si>
    <t>,thân A2L</t>
  </si>
  <si>
    <t>,thân A2R</t>
  </si>
  <si>
    <t>1.1.15</t>
  </si>
  <si>
    <t>1.1.16</t>
  </si>
  <si>
    <t>1.1.13</t>
  </si>
  <si>
    <t>1.1.5</t>
  </si>
  <si>
    <t>1.1.6</t>
  </si>
  <si>
    <t>1.1.7</t>
  </si>
  <si>
    <t>,bệ móng A2L</t>
  </si>
  <si>
    <t>,bệ móng A1R</t>
  </si>
  <si>
    <t>,bệ móng A1L</t>
  </si>
  <si>
    <t>,bệ móng A2R</t>
  </si>
  <si>
    <t xml:space="preserve"> A1L</t>
  </si>
  <si>
    <t xml:space="preserve"> A1R</t>
  </si>
  <si>
    <t xml:space="preserve"> A2L</t>
  </si>
  <si>
    <t xml:space="preserve"> A2R</t>
  </si>
  <si>
    <t>III.1</t>
  </si>
  <si>
    <t>A1 Lần 1</t>
  </si>
  <si>
    <t>A1 Lần 2</t>
  </si>
  <si>
    <t>A1 Lần 3</t>
  </si>
  <si>
    <t>A1 Lần 4</t>
  </si>
  <si>
    <t>A1 Lần 5</t>
  </si>
  <si>
    <t>A1 Lần 6</t>
  </si>
  <si>
    <t>A1 Lần 7</t>
  </si>
  <si>
    <t>A1 Lần 8</t>
  </si>
  <si>
    <t>A1 Lần 9</t>
  </si>
  <si>
    <t>A2 Lần 1</t>
  </si>
  <si>
    <t>A2 Lần 2</t>
  </si>
  <si>
    <t>A2 Lần 3</t>
  </si>
  <si>
    <t>A2 Lần 4</t>
  </si>
  <si>
    <t>A2 Lần 5</t>
  </si>
  <si>
    <t>A2 Lần 6</t>
  </si>
  <si>
    <t>A2 Lần 7</t>
  </si>
  <si>
    <t>A2 Lần 8</t>
  </si>
  <si>
    <t>A2 Lần 9</t>
  </si>
  <si>
    <t>A2 Lần 10</t>
  </si>
  <si>
    <t>A2 Lần 11</t>
  </si>
  <si>
    <t>I.2.2</t>
  </si>
  <si>
    <t>Phải tuyến</t>
  </si>
  <si>
    <t>Trái tuyến</t>
  </si>
  <si>
    <t>HẠNG MỤC: CẦU VƯỢT KM101+813.49</t>
  </si>
  <si>
    <t>Gờ lan can phải tuyến</t>
  </si>
  <si>
    <t>Gờ lan can trái tuyến</t>
  </si>
  <si>
    <t>I.2.3</t>
  </si>
  <si>
    <t>mặt cầu</t>
  </si>
  <si>
    <t>km101+778,79-km101+805,992 lớp 1</t>
  </si>
  <si>
    <t>km101+778,79-km101+805,992 lớp 2</t>
  </si>
  <si>
    <t>km101+778,79-km101+805,992 lớp 3</t>
  </si>
  <si>
    <t>km101+778,79-km101+805,992 lớp 4</t>
  </si>
  <si>
    <t>km101+778,79-km101+805,992 lớp 5</t>
  </si>
  <si>
    <t>km101+850,79-km101+820+87 lớp 1</t>
  </si>
  <si>
    <t>km101+850,79-km101+820+87 lớp 2</t>
  </si>
  <si>
    <t>km101+850,79-km101+820+87 lớp 3</t>
  </si>
  <si>
    <t>km101+850,79-km101+820+87 lớp 4</t>
  </si>
  <si>
    <t>km101+850,79-km101+820+87 lớp 5</t>
  </si>
  <si>
    <t>km101+850,79-km101+820+87 lớp 6</t>
  </si>
  <si>
    <t>km101+850,79-km101+820+87 lớp 7</t>
  </si>
  <si>
    <t>km101+850,79-km101+820+87 lớp 8</t>
  </si>
  <si>
    <t>km101+850,79-km101+820+87 lớp 9</t>
  </si>
  <si>
    <t>km101+850,79-km101+820+87 lớp 10</t>
  </si>
  <si>
    <t>km101+850,79-km101+820+87 lớp 11</t>
  </si>
  <si>
    <t>km101+850,79-km101+820+87 lớp 12</t>
  </si>
  <si>
    <t>km101+850,79-km101+820+87 lớp 13</t>
  </si>
  <si>
    <t>km101+850,79-km101+820+87 lớp 14</t>
  </si>
  <si>
    <t>km101+850,79-km101+820+87 lớp 15</t>
  </si>
  <si>
    <t>km101+850,79-km101+820+87 lớp 16</t>
  </si>
  <si>
    <t>km101+850,79-km101+820+87 lớp 17</t>
  </si>
  <si>
    <t>km101+850,79-km101+820+87 lớp 18</t>
  </si>
  <si>
    <t>km101+850,79-km101+820+87 lớp 19</t>
  </si>
  <si>
    <t>km101+850,79-km101+820+87 lớp 20</t>
  </si>
  <si>
    <t>km101+850,79-km101+820+87 lớp 21</t>
  </si>
  <si>
    <t>km101+850,79-km101+820+87 lớp 22</t>
  </si>
  <si>
    <t>km101+850,79-km101+820+87 lớp 23</t>
  </si>
  <si>
    <t>km101+850,79-km101+820+87 lớp 24</t>
  </si>
  <si>
    <t>km101+850,79-km101+820+87 lớp 25</t>
  </si>
  <si>
    <t>km101+850,79-km101+820+87 lớp 26</t>
  </si>
  <si>
    <t>km101+850,79-km101+820+87 lớp 27</t>
  </si>
  <si>
    <t>km101+850,79-km101+820+87 lớp 28</t>
  </si>
  <si>
    <t>km101+850,79-km101+820+87 lớp 29</t>
  </si>
  <si>
    <t>km101+850,79-km101+820+87 lớp 30</t>
  </si>
  <si>
    <t>km101+850,79-km101+820+87 lớp 31</t>
  </si>
  <si>
    <t>km101+850,79-km101+820+87 lớp 32</t>
  </si>
  <si>
    <t>km101+850,79-km101+820+87 lớp 33</t>
  </si>
  <si>
    <t>km101+778,79-km101+805,92 lớp 1</t>
  </si>
  <si>
    <t>km101+778,79-km101+805,92 lớp 2</t>
  </si>
  <si>
    <t>km101+778,79-km101+805,92 lớp 3</t>
  </si>
  <si>
    <t>km101+778,79-km101+805,92 lớp 4</t>
  </si>
  <si>
    <t>km101+778,79-km101+805,92 lớp 5</t>
  </si>
  <si>
    <t>km101+778,79-km101+805,92 lớp 6</t>
  </si>
  <si>
    <t>km101+778,79-km101+805,92 lớp 7</t>
  </si>
  <si>
    <t>km101+778,79-km101+805,92 lớp 8</t>
  </si>
  <si>
    <t>km101+778,79-km101+805,92 lớp 9</t>
  </si>
  <si>
    <t>km101+778,79-km101+805,92 lớp 10</t>
  </si>
  <si>
    <t>km101+778,79-km101+805,92 lớp 11</t>
  </si>
  <si>
    <t>km101+778,79-km101+805,92 lớp 12</t>
  </si>
  <si>
    <t>km101+778,79-km101+805,92 lớp 13</t>
  </si>
  <si>
    <t>km101+778,79-km101+805,92 lớp 14</t>
  </si>
  <si>
    <t>km101+778,79-km101+805,92 lớp 15</t>
  </si>
  <si>
    <t>km101+778,79-km101+805,92 lớp 16</t>
  </si>
  <si>
    <t>km101+778,79-km101+805,92 lớp 17</t>
  </si>
  <si>
    <t>km101+778,79-km101+805,92 lớp 18</t>
  </si>
  <si>
    <t>km101+778,79-km101+805,92 lớp 19</t>
  </si>
  <si>
    <t>km101+778,79-km101+805,92 lớp 20</t>
  </si>
  <si>
    <t>km101+778,79-km101+805,92 lớp 21</t>
  </si>
  <si>
    <t>km101+778,79-km101+805,92 lớp 22</t>
  </si>
  <si>
    <t>km101+778,79-km101+805,92 lớp 23</t>
  </si>
  <si>
    <t>km101+778,79-km101+805,92 lớp 24</t>
  </si>
  <si>
    <t>km101+778,79-km101+805,92 lớp 25</t>
  </si>
  <si>
    <t>km 101+820,87-km101+850,79 lớp 1</t>
  </si>
  <si>
    <t>km 101+820,87-km101+850,79 lớp 2</t>
  </si>
  <si>
    <t>km 101+820,87-km101+850,79 lớp 3</t>
  </si>
  <si>
    <t>km 101+820,87-km101+850,79 lớp 4</t>
  </si>
  <si>
    <t>km 101+778,79-km101+805,99 lớp 1</t>
  </si>
  <si>
    <t>km 101+778,79-km101+805,99 lớp 2</t>
  </si>
  <si>
    <t>km101+778,79-km101+805,92 lớp 26</t>
  </si>
  <si>
    <t>km101+778,79-km101+805,92 lớp 27</t>
  </si>
  <si>
    <t>km101+778,79-km101+805,92 lớp 28</t>
  </si>
  <si>
    <t>km101+778,79-km101+805,92 lớp 29</t>
  </si>
  <si>
    <t>km101+778,79-km101+805,92 lớp 30</t>
  </si>
  <si>
    <t>km101+778,79-km101+805,92 lớp 31</t>
  </si>
  <si>
    <t>km101+778,79-km101+805,92 lớp 32</t>
  </si>
  <si>
    <t>km101+778,79-km101+805,92 lớp 33</t>
  </si>
  <si>
    <t>km101+778,79-km101+805,92 lớp 34</t>
  </si>
  <si>
    <t>km101+778,79-km101+805,92 lớp 35</t>
  </si>
  <si>
    <t>km101+778,79-km101+805,92 lớp 36</t>
  </si>
  <si>
    <t>km101+778,79-km101+805,92 lớp 37</t>
  </si>
  <si>
    <t>km101+778,79-km101+805,92 lớp 38</t>
  </si>
  <si>
    <t>km101+778,79-km101+805,92 lớp 39</t>
  </si>
  <si>
    <t>km101+778,79-km101+805,92 lớp 40</t>
  </si>
  <si>
    <t>km101+778,79-km101+805,92 lớp 41</t>
  </si>
  <si>
    <t>km101+778,79-km101+805,92 lớp 42</t>
  </si>
  <si>
    <t>km101+778,79-km101+805,92 lớp 43</t>
  </si>
  <si>
    <t>km101+778,79-km101+805,92 lớp 44</t>
  </si>
  <si>
    <t>km101+778,79-km101+805,92 lớp 45</t>
  </si>
  <si>
    <t>km101+778,79-km101+805,92 lớp 46</t>
  </si>
  <si>
    <t>km101+778,79-km101+805,92 lớp 47</t>
  </si>
  <si>
    <t>km101+778,79-km101+805,92 lớp 48</t>
  </si>
  <si>
    <t>km101+778,79-km101+805,92 lớp 49</t>
  </si>
  <si>
    <t>km101+778,79-km101+805,92 lớp 50</t>
  </si>
  <si>
    <t>km101+778,79-km101+805,92 lớp 51</t>
  </si>
  <si>
    <t>km 101+778,79-km101+805,99 lớp 3</t>
  </si>
  <si>
    <t>km 101+778,79-km101+805,99 lớp 4</t>
  </si>
  <si>
    <t>km 101+778,79-km101+805,99 lớp 5</t>
  </si>
  <si>
    <t>km 101+778,79-km101+805,99 lớp 6</t>
  </si>
  <si>
    <t>km 101+778,79-km101+805,99 lớp 7</t>
  </si>
  <si>
    <t>km 101+778,79-km101+805,99 lớp 8</t>
  </si>
  <si>
    <t>km 101+778,79-km101+805,99 lớp 9</t>
  </si>
  <si>
    <t>km 101+778,79-km101+805,99 lớp 10</t>
  </si>
  <si>
    <t>km 101+778,79-km101+805,99 lớp 11</t>
  </si>
  <si>
    <t>km 101+778,79-km101+805,99 lớp 12</t>
  </si>
  <si>
    <t>km 101+778,79-km101+805,99 lớp 13</t>
  </si>
  <si>
    <t>km 101+778,79-km101+805,99 lớp 14</t>
  </si>
  <si>
    <t>km 101+778,79-km101+805,99 lớp 15</t>
  </si>
  <si>
    <t>km 101+778,79-km101+805,99 lớp 16</t>
  </si>
  <si>
    <t>km 101+778,79-km101+805,99 lớp 17</t>
  </si>
  <si>
    <t>km 101+778,79-km101+805,99 lớp 18</t>
  </si>
  <si>
    <t>km 101+778,79-km101+805,99 lớp 19</t>
  </si>
  <si>
    <t>km 101+778,79-km101+805,99 lớp 20</t>
  </si>
  <si>
    <t>km 101+778,79-km101+805,99 lớp 21</t>
  </si>
  <si>
    <t>km 101+778,79-km101+805,99 lớp 22</t>
  </si>
  <si>
    <t>km 101+778,79-km101+805,99 lớp 23</t>
  </si>
  <si>
    <t>km 101+778,79-km101+805,99 lớp 24</t>
  </si>
  <si>
    <t>km 101+778,79-km101+805,99 lớp 25</t>
  </si>
  <si>
    <t>km 101+778,79-km101+805,99 lớp 26</t>
  </si>
  <si>
    <t>km 101+778,79-km101+805,99 lớp 27</t>
  </si>
  <si>
    <t>km 101+778,79-km101+805,99 lớp 28</t>
  </si>
  <si>
    <t>km 101+778,79-km101+805,99 lớp 29</t>
  </si>
  <si>
    <t>km 101+778,79-km101+805,99 lớp 30</t>
  </si>
  <si>
    <t>km 101+778,79-km101+805,99 lớp 31</t>
  </si>
  <si>
    <t>km 101+778,79-km101+805,99 lớp 32</t>
  </si>
  <si>
    <t>km 101+778,79-km101+805,99 lớp 33</t>
  </si>
  <si>
    <t>km 101+778,79-km101+805,99 lớp 34</t>
  </si>
  <si>
    <t>km 101+778,79-km101+805,99 lớp 35</t>
  </si>
  <si>
    <t>km 101+778,79-km101+805,99 lớp 36</t>
  </si>
  <si>
    <t>km 101+820,87-km101+850,79 lớp 5</t>
  </si>
  <si>
    <t>km 101+820,87-km101+850,79 lớp 6</t>
  </si>
  <si>
    <t>km 101+820,87-km101+850,79 lớp 7</t>
  </si>
  <si>
    <t>km 101+820,87-km101+850,79 lớp 8</t>
  </si>
  <si>
    <t>km 101+820,87-km101+850,79 lớp 9</t>
  </si>
  <si>
    <t>km 101+820,87-km101+850,79 lớp 10</t>
  </si>
  <si>
    <t>km 101+820,87-km101+850,79 lớp 11</t>
  </si>
  <si>
    <t>km 101+820,87-km101+850,79 lớp 12</t>
  </si>
  <si>
    <t>km 101+820,87-km101+850,79 lớp 13</t>
  </si>
  <si>
    <t>km 101+820,87-km101+850,79 lớp 14</t>
  </si>
  <si>
    <t>km 101+820,87-km101+850,79 lớp 15</t>
  </si>
  <si>
    <t>km 101+820,87-km101+850,79 lớp 16</t>
  </si>
  <si>
    <t>km 101+820,87-km101+850,79 lớp 17</t>
  </si>
  <si>
    <t>km 101+820,87-km101+850,79 lớp 18</t>
  </si>
  <si>
    <t>km 101+820,87-km101+850,79 lớp 19</t>
  </si>
  <si>
    <t>km 101+820,87-km101+850,79 lớp 20</t>
  </si>
  <si>
    <t>km 101+820,87-km101+850,79 lớp 21</t>
  </si>
  <si>
    <t>km 101+820,87-km101+850,79 lớp 22</t>
  </si>
  <si>
    <t>km 101+820,87-km101+850,79 lớp 23</t>
  </si>
  <si>
    <t>km 101+820,87-km101+850,79 lớp 24</t>
  </si>
  <si>
    <t>km 101+820,87-km101+850,79 lớp 25</t>
  </si>
  <si>
    <t>km 101+820,87-km101+850,79 lớp 26</t>
  </si>
  <si>
    <t>km 101+820,87-km101+850,79 lớp 27</t>
  </si>
  <si>
    <t>km 101+820,87-km101+850,79 lớp 28</t>
  </si>
  <si>
    <t>km 101+820,87-km101+850,79 lớp 29</t>
  </si>
  <si>
    <t>km 101+820,87-km101+850,79 lớp 30</t>
  </si>
  <si>
    <t>km 101+820,87-km101+850,79 lớp 31</t>
  </si>
  <si>
    <t>km 101+820,87-km101+850,79 lớp 32</t>
  </si>
  <si>
    <t>km 101+820,87-km101+850,79 lớp 33</t>
  </si>
  <si>
    <t>km 101+820,87-km101+850,79 lớp 34</t>
  </si>
  <si>
    <t>km 101+820,87-km101+850,79 lớp 35</t>
  </si>
  <si>
    <t>km 101+820,87-km101+850,79 lớp 36</t>
  </si>
  <si>
    <t>km101+850,79-km101+820+87 lớp 34</t>
  </si>
  <si>
    <t>km101+850,79-km101+820+87 lớp 35</t>
  </si>
  <si>
    <t>km101+850,79-km101+820+87 lớp 36</t>
  </si>
  <si>
    <t>km101+850,79-km101+820+87 lớp 37</t>
  </si>
  <si>
    <t>km101+850,79-km101+820+87 lớp 38</t>
  </si>
  <si>
    <t>km101+850,79-km101+820+87 lớp 39</t>
  </si>
  <si>
    <t>km101+850,79-km101+820+87 lớp 40</t>
  </si>
  <si>
    <t>km101+850,79-km101+820+87 lớp 41</t>
  </si>
  <si>
    <t>km101+850,79-km101+820+87 lớp 42</t>
  </si>
  <si>
    <t>km101+850,79-km101+820+87 lớp 43</t>
  </si>
  <si>
    <t>km101+850,79-km101+820+87 lớp 44</t>
  </si>
  <si>
    <t>km101+850,79-km101+820+87 lớp 45</t>
  </si>
  <si>
    <t>km101+850,79-km101+820+87 lớp 46</t>
  </si>
  <si>
    <t>km101+850,79-km101+820+87 lớp 47</t>
  </si>
  <si>
    <t>km101+850,79-km101+820+87 lớp 48</t>
  </si>
  <si>
    <t>km101+850,79-km101+820+87 lớp 49</t>
  </si>
  <si>
    <t>km101+850,79-km101+820+87 lớp 50</t>
  </si>
  <si>
    <t>km101+850,79-km101+820+87 lớp 51</t>
  </si>
  <si>
    <t>km101+850,79-km101+820+87 lớp 52</t>
  </si>
  <si>
    <t>km101+850,79-km101+820+87 lớp 53</t>
  </si>
  <si>
    <t>km101+850,79-km101+820+87 lớp 54</t>
  </si>
  <si>
    <t>km101+850,79-km101+820+87 lớp 55</t>
  </si>
  <si>
    <t>km101+850,79-km101+820+87 lớp 56</t>
  </si>
  <si>
    <t>km101+850,79-km101+820+87 lớp 57</t>
  </si>
  <si>
    <t>km101+850,79-km101+820+87 lớp 58</t>
  </si>
  <si>
    <t>km101+850,79-km101+820+87 lớp 59</t>
  </si>
  <si>
    <t>km101+850,79-km101+820+87 lớp 60</t>
  </si>
  <si>
    <t>km101+850,79-km101+820+87 lớp 61</t>
  </si>
  <si>
    <t>km101+850,79-km101+820+87 lớp 62</t>
  </si>
  <si>
    <t>km101+850,79-km101+820+87 lớp 63</t>
  </si>
  <si>
    <t>km101+850,79-km101+820+87 lớp 64</t>
  </si>
  <si>
    <t>km101+850,79-km101+820+87 lớp 65</t>
  </si>
  <si>
    <t>km101+850,79-km101+820+87 lớp 66</t>
  </si>
  <si>
    <t>km101+850,79-km101+820+87 lớp 67</t>
  </si>
  <si>
    <t>GÓI THẦU XL18-CT</t>
  </si>
  <si>
    <t>Tên gói thầu XL18-CT: Thi công xây dựng đường cao tốc đoạn từ Km49+000.00 đến Km52+000.00</t>
  </si>
  <si>
    <t>GÓI THẦU XL18-CT: THI CÔNG XÂY DỰNG ĐƯỜNG CAO TỐC TỪ KM49 +00.0 -:- KM52 + 000</t>
  </si>
  <si>
    <t>C.II.1.1.2!A1</t>
  </si>
  <si>
    <t>C.II.1.1.1!A1</t>
  </si>
  <si>
    <t>C.I.1.1!A1</t>
  </si>
  <si>
    <t>C.I.1.2!A1</t>
  </si>
  <si>
    <t>C.I.1.3!A1</t>
  </si>
  <si>
    <t>C.I.1.4!A1</t>
  </si>
  <si>
    <t>C.I.1.5!A1</t>
  </si>
  <si>
    <t>C.I.1.6!A1</t>
  </si>
  <si>
    <t>C.I.2.2.1!A1</t>
  </si>
  <si>
    <t>C.I.2.2.7!A1</t>
  </si>
  <si>
    <t>C.I.2.2.8!A1</t>
  </si>
  <si>
    <t>C.I.2.2.9!A1</t>
  </si>
  <si>
    <t>C.I.2.2.10!A1</t>
  </si>
  <si>
    <t>C.I.2.3.1!A1</t>
  </si>
  <si>
    <t>C.I.3.1!A1</t>
  </si>
  <si>
    <t>C.I.3.2!A1</t>
  </si>
  <si>
    <t>C.II.1.3.1!A1</t>
  </si>
  <si>
    <t>C.II.1.4.1!A1</t>
  </si>
  <si>
    <t>C.II.1.4.2!A1</t>
  </si>
  <si>
    <t>C.II.1.4.3!A1</t>
  </si>
  <si>
    <t>C.II.1.4.4!A1</t>
  </si>
  <si>
    <t>C.II.1.5.1!A1</t>
  </si>
  <si>
    <t>C.II.1.5.2!A1</t>
  </si>
  <si>
    <t>C.II.1.5.3!A1</t>
  </si>
  <si>
    <t>C.II.1.5.4!A1</t>
  </si>
  <si>
    <t>C.II.1.5.5!A1</t>
  </si>
  <si>
    <t>C.II.1.6.1!A1</t>
  </si>
  <si>
    <t>C.II.1.6.2!A1</t>
  </si>
  <si>
    <t>C.II.1.7.3!A1</t>
  </si>
  <si>
    <t>C.II.1.7.4!A1</t>
  </si>
  <si>
    <t>C.II.1.7.5!A1</t>
  </si>
  <si>
    <t>C.II.1.7.6!A1</t>
  </si>
  <si>
    <t>C.II.2.3!A1</t>
  </si>
  <si>
    <t>C.II.2.4!A1</t>
  </si>
  <si>
    <t>C.II.2.5!A1</t>
  </si>
  <si>
    <t>C.II.2.7!A1</t>
  </si>
  <si>
    <t>C.II.2.9!A1</t>
  </si>
  <si>
    <t>C.II.2.8!A1</t>
  </si>
  <si>
    <t>C.II.1.1.3!A1</t>
  </si>
  <si>
    <t>C.II.1.1.10!A1</t>
  </si>
  <si>
    <t>C.II.1.1.9!A1</t>
  </si>
  <si>
    <t>C.II.1.1.8!A1</t>
  </si>
  <si>
    <t>C.II.1.1.16!A1</t>
  </si>
  <si>
    <t>C.II.1.1.15!A1</t>
  </si>
  <si>
    <t>C.II.1.1.13!A1</t>
  </si>
  <si>
    <t>C.II.1.1.12!A1</t>
  </si>
  <si>
    <t>C.II.1.1.11!A1</t>
  </si>
  <si>
    <t>1.1.11</t>
  </si>
  <si>
    <t>1.1.14</t>
  </si>
  <si>
    <t>C.II.1.1.14!A1</t>
  </si>
  <si>
    <t>C.I.2.1.1!A1</t>
  </si>
  <si>
    <t>I.2.1</t>
  </si>
  <si>
    <t>C.II.1.1.5!A1</t>
  </si>
  <si>
    <t>C.II.1.1.6!A1</t>
  </si>
  <si>
    <t>C.II.1.1.7!A1</t>
  </si>
  <si>
    <t>C.II.1.2.1!A1</t>
  </si>
  <si>
    <t>C.II.1.2.2!A1</t>
  </si>
  <si>
    <t>C.II.1.2.3!A1</t>
  </si>
  <si>
    <t>C.II.1.2.4!A1</t>
  </si>
  <si>
    <t>C.II.1.2.5!A1</t>
  </si>
  <si>
    <t>C.II.1.2.6!A1</t>
  </si>
  <si>
    <t>C.II.1.2.7!A1</t>
  </si>
  <si>
    <t>C.II.1.2.8!A1</t>
  </si>
  <si>
    <t>C.III.1.1!A1</t>
  </si>
  <si>
    <t>C.III.1.2!A1</t>
  </si>
  <si>
    <t>C.III.1.4!A1</t>
  </si>
  <si>
    <t>C.III.1.5!A1</t>
  </si>
  <si>
    <t>C.III.1.6!A1</t>
  </si>
  <si>
    <t>C.II.2.11!A1</t>
  </si>
  <si>
    <t>C.III.2.1!A1</t>
  </si>
  <si>
    <t>C.I.3.3!A1</t>
  </si>
  <si>
    <t>C.I.3.4!A1</t>
  </si>
  <si>
    <t>C.II.1.7.2!A1</t>
  </si>
  <si>
    <t>C.II.1.7.1!A1</t>
  </si>
  <si>
    <t>chưa có BBNTHT, cần ghép các kết quả nén mẫu BT theo từng dầm</t>
  </si>
  <si>
    <t>bổ sung HS nguồn vật liệu và các KQ thí nghiệm</t>
  </si>
  <si>
    <t>chưa có  KQ nén mẫu vữa mố A2</t>
  </si>
  <si>
    <t>chưa có HSNT</t>
  </si>
  <si>
    <t>Bê tông dải phân cách đổ tại chỗ 25MPa Phải tuyến</t>
  </si>
  <si>
    <t>Bê tông dải phân cách đổ tại chỗ 25MPa trái tuyến</t>
  </si>
  <si>
    <t>TVGS vật liệu và trắc đạc chưa ký HSNT, chưa ghép các KQ nén mẫu theo từng mục nghiệm thu</t>
  </si>
  <si>
    <t xml:space="preserve">Hạng mục: </t>
  </si>
  <si>
    <t xml:space="preserve"> chưa ghép các KQ nén mẫu theo từng mục nghiệm thu</t>
  </si>
  <si>
    <t>Đổ BT đệm đáy móng + tạo phẳng 10Mpa ,bệ móng A1L+A1R</t>
  </si>
  <si>
    <t>Đổ BT đệm đáy móng + tạo phẳng 10Mpa ,bệ móng A2L+A2R</t>
  </si>
  <si>
    <t>Kiểm tra lại KL trong BVTC(20,84m3) và KLNT</t>
  </si>
  <si>
    <t>Kiểm tra lại toàn bộ KL cốt thép trong HSNT so với bản vẽ TKTC</t>
  </si>
  <si>
    <t>Chưa có HSNT</t>
  </si>
  <si>
    <t>gchưa ghép kết quả nén mẫu theo từng mục nghiệm thu</t>
  </si>
  <si>
    <t>Lắp đặt tấp ốp BTCT 400x400 A2</t>
  </si>
  <si>
    <t>Lắp đặt tấp ốp BTCT 400x400 A1</t>
  </si>
  <si>
    <t>chưa có HSNT mố A2</t>
  </si>
  <si>
    <t>chưa có phân lớp, KQ độ chặt</t>
  </si>
  <si>
    <t>chưa có KQ nén mẫu vữa</t>
  </si>
  <si>
    <t>chưa có BBNT theo lớp, chưa có KQ độ chặt</t>
  </si>
  <si>
    <t>kiểm tra tần suất nguồn vật liệu</t>
  </si>
  <si>
    <t>chưa có HSNT, KL đang tính nhầm ở phần mặt bằng công trường</t>
  </si>
  <si>
    <t>cần ghép KQ độ chặt theo từng lớp nghiệm thu, kiểm tra lại KL BVTC</t>
  </si>
  <si>
    <t>Chưa có BBNTHT, thiếu BB kiểm tra độ bằng phẳng</t>
  </si>
  <si>
    <t>chưa có BBNTHT, cần ghép KQ độ chặt theo từng lớp nghiệm thu, kiểm tra lại KL BVTC</t>
  </si>
  <si>
    <t>KS trắc đạc chưa ký</t>
  </si>
  <si>
    <t>Chưa có BBNTHT</t>
  </si>
  <si>
    <t>chưa có phân lớp, BBNT và KQ độ chặt</t>
  </si>
  <si>
    <t>bổ sung BBNT</t>
  </si>
  <si>
    <t>chưa có KQ nén mẫu</t>
  </si>
  <si>
    <t>file</t>
  </si>
  <si>
    <t>lưu ý đủ 2 tháng</t>
  </si>
  <si>
    <t>?</t>
  </si>
  <si>
    <t>đã ghép</t>
  </si>
  <si>
    <t>lấy lại thí nghiệm</t>
  </si>
  <si>
    <t>đã sửa</t>
  </si>
  <si>
    <t>đã kt</t>
  </si>
  <si>
    <t>đã ht</t>
  </si>
  <si>
    <t>,bệ kê gối A1</t>
  </si>
  <si>
    <t>,bệ kê gối A2</t>
  </si>
  <si>
    <t>,thân A1L đợt 1</t>
  </si>
  <si>
    <t>,thân A1L đợt 2</t>
  </si>
  <si>
    <t>,thân A1L đợt 3</t>
  </si>
  <si>
    <t>,thân A1L đợt 4</t>
  </si>
  <si>
    <t>,thân A1L đợt 5</t>
  </si>
  <si>
    <t>,thân A1L chờ ở bệ</t>
  </si>
  <si>
    <t>,thân A1R chờ ở bệ</t>
  </si>
  <si>
    <t>,thân A1R đợt 1</t>
  </si>
  <si>
    <t>,thân A1R đợt 2</t>
  </si>
  <si>
    <t>,thân A1R đợt 3</t>
  </si>
  <si>
    <t>,thân A1R đợt 4</t>
  </si>
  <si>
    <t>,thân A1R đợt 5</t>
  </si>
  <si>
    <t>,thân A2L chờ ở bệ</t>
  </si>
  <si>
    <t>,thân A2L đợt 1</t>
  </si>
  <si>
    <t>,thân A2L đợt 2</t>
  </si>
  <si>
    <t>,thân A2L đợt 3</t>
  </si>
  <si>
    <t>,thân A2L đợt 4</t>
  </si>
  <si>
    <t>,thân A2L đợt 5</t>
  </si>
  <si>
    <t>,thân A2R chờ ở bệ</t>
  </si>
  <si>
    <t>,thân A2R đợt 1</t>
  </si>
  <si>
    <t>,thân A2R đợt 2</t>
  </si>
  <si>
    <t>,thân A2R đợt 3</t>
  </si>
  <si>
    <t>,thân A2R đợt 4</t>
  </si>
  <si>
    <t>,thân A2R đợt 5</t>
  </si>
  <si>
    <t>,thân A2L đợt 6</t>
  </si>
  <si>
    <t>,thân A2R đợt 6</t>
  </si>
  <si>
    <t>đã kiểm tra đủ bvtc</t>
  </si>
  <si>
    <t>lưu ý bvtc tổng hợp sai</t>
  </si>
  <si>
    <t>2 bộ hồ sơ khác nhau</t>
  </si>
  <si>
    <t>thiếu tn 1 đoạn</t>
  </si>
  <si>
    <t>có rồi</t>
  </si>
  <si>
    <t>đắp trả?</t>
  </si>
  <si>
    <t>thép gối cầu x2</t>
  </si>
  <si>
    <t>đã ghpé</t>
  </si>
  <si>
    <t>đã bổ sung</t>
  </si>
  <si>
    <t>khối G1</t>
  </si>
  <si>
    <t>khối G2</t>
  </si>
  <si>
    <t>khối G3</t>
  </si>
  <si>
    <t>khối G2*</t>
  </si>
  <si>
    <t>khối G3*</t>
  </si>
  <si>
    <t>dải phân cách giữa trái tuyến</t>
  </si>
  <si>
    <t>dải phân cách phải tuyến</t>
  </si>
  <si>
    <t>đã có</t>
  </si>
  <si>
    <t>bệ mố A1R</t>
  </si>
  <si>
    <t>bệ mố A1L</t>
  </si>
  <si>
    <t>bệ mố A2R</t>
  </si>
  <si>
    <t>bệ mố A2L</t>
  </si>
  <si>
    <t>thân A1R</t>
  </si>
  <si>
    <t>thân A1L</t>
  </si>
  <si>
    <t>thân A2R</t>
  </si>
  <si>
    <t>thân A2L</t>
  </si>
  <si>
    <t>đã đúng</t>
  </si>
  <si>
    <t>,đợt 4 thân A1L</t>
  </si>
  <si>
    <t>,đợt 4 thân A1R</t>
  </si>
  <si>
    <t>,đợt 5 thân A2L</t>
  </si>
  <si>
    <t>,đợt 5 thân A2R</t>
  </si>
  <si>
    <t>đang lấy</t>
  </si>
  <si>
    <t>đag lấy</t>
  </si>
  <si>
    <t>.</t>
  </si>
  <si>
    <t>Lắp dựng đà giáo</t>
  </si>
  <si>
    <t>bệ mố A1</t>
  </si>
  <si>
    <t>bệ mố A2</t>
  </si>
  <si>
    <t>thân mố A1</t>
  </si>
  <si>
    <t>thân mố A2</t>
  </si>
  <si>
    <t>Tháo dỡ đà giáo</t>
  </si>
  <si>
    <t>từ lắp đà giáo thân mố A2 ngày 29/07/2018 đến tháo đà giáo thân mố A1 ngày 26/10/2018</t>
  </si>
  <si>
    <t>từ lắp đà giáo bệ mố A2 ngày 21/7/2018 đến tháo đà giáo bệ mố A1 ngày 8/9/2018</t>
  </si>
  <si>
    <t>có rồi trong mặt bằng , đường tạm</t>
  </si>
  <si>
    <t>K95; đắp trả mẫu ko phân lớp</t>
  </si>
  <si>
    <t>độ chặt k95</t>
  </si>
  <si>
    <t>đắp k90</t>
  </si>
  <si>
    <t>đắp trả bệ móng k90</t>
  </si>
  <si>
    <t>bổ sung bằng phẳng</t>
  </si>
  <si>
    <t>mặt bằng thì bản vẽ nào</t>
  </si>
  <si>
    <t xml:space="preserve"> </t>
  </si>
  <si>
    <t>bổ sung</t>
  </si>
  <si>
    <t xml:space="preserve">                                                                                                               </t>
  </si>
  <si>
    <t>OK</t>
  </si>
  <si>
    <t>A1 lớp 1</t>
  </si>
  <si>
    <t>A1 lớp 2</t>
  </si>
  <si>
    <t>A1 lớp 3</t>
  </si>
  <si>
    <t>A1 lớp 4</t>
  </si>
  <si>
    <t>A1 lớp 5</t>
  </si>
  <si>
    <t>A1 lớp 6</t>
  </si>
  <si>
    <t>A1 lớp 7</t>
  </si>
  <si>
    <t>A1 lớp 8</t>
  </si>
  <si>
    <t>A1 lớp 9</t>
  </si>
  <si>
    <t>A1 lớp 10</t>
  </si>
  <si>
    <t>A2 lớp 1</t>
  </si>
  <si>
    <t>A2 lớp 2</t>
  </si>
  <si>
    <t>A2 lớp 3</t>
  </si>
  <si>
    <t>A2 lớp 4</t>
  </si>
  <si>
    <t>A2 lớp 5</t>
  </si>
  <si>
    <t>A2 lớp 6</t>
  </si>
  <si>
    <t>A2 lớp 7</t>
  </si>
  <si>
    <t>A2 lớp 8</t>
  </si>
  <si>
    <t>A2 lớp 9</t>
  </si>
  <si>
    <t>A2 lớp 10</t>
  </si>
  <si>
    <t>ống trên lan can</t>
  </si>
  <si>
    <t>Nhầ thầu ký thay TVGS</t>
  </si>
  <si>
    <t>ok</t>
  </si>
  <si>
    <t xml:space="preserve">chưa có HSNT </t>
  </si>
  <si>
    <t>Cốt thép dải phân cách đổ tại chỗ D≤18mm Phải tuyến</t>
  </si>
  <si>
    <t>Cốt thép Cốt thép dải phân cách đổ tại chỗ đổ tại chỗ D≤18mm Trái tuyến</t>
  </si>
  <si>
    <t>Chưa ký Mr Thùy. (ký thay)</t>
  </si>
  <si>
    <t>Cốt thép gờ lan can đổ tại chỗ D&gt;18mm</t>
  </si>
  <si>
    <t>Thiếu hồ sơ nghiệm thu</t>
  </si>
  <si>
    <t>Chưa ký kết quả nén mẫu (Mr Sơn)</t>
  </si>
  <si>
    <t>Chưa ký</t>
  </si>
  <si>
    <t>Hồ sơ chưa ký Mr Thùy</t>
  </si>
  <si>
    <t>chưa có hồ sơ, phân lớp, KQ độ chặt</t>
  </si>
  <si>
    <t>Đã có hồ sơ nghiệm thu, KQTN chưa ký (ký thay)</t>
  </si>
  <si>
    <t>Đã có hồ sơ nghiệm thu, Chưa ký Mr Thùy , Mr Nhật .KQTN chưa ký (ký thay)</t>
  </si>
  <si>
    <t>Chưa có hồ sơ VL nguồn</t>
  </si>
  <si>
    <t>Không tính KL</t>
  </si>
  <si>
    <t>Chưa có kết quả TN</t>
  </si>
  <si>
    <t>Chưa ký hồ sơ Mr Thùy (BBMT và KQ độ chặt)</t>
  </si>
  <si>
    <t>chưa ký Ký Mr Cảnh Tùng hoặc Mr Thùy</t>
  </si>
  <si>
    <t>Chưa ký Ký Mr Thùy</t>
  </si>
  <si>
    <t>Ok</t>
  </si>
  <si>
    <t>GÓI THẦU XL18-CT: THI CÔNG XÂY DỰNG ĐƯỜNG CAO TỐC TỪ KM101 + 720 -:- KM102 + 720</t>
  </si>
  <si>
    <t>Phạm Xuân Thiệp</t>
  </si>
  <si>
    <t>Bùi Ngọc Thành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</si>
</sst>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42" formatCode="_-* #,##0\ &quot;₫&quot;_-;\-* #,##0\ &quot;₫&quot;_-;_-* &quot;-&quot;\ &quot;₫&quot;_-;_-@_-"/>
    <numFmt numFmtId="44" formatCode="_-* #,##0.00\ &quot;₫&quot;_-;\-* #,##0.00\ &quot;₫&quot;_-;_-* &quot;-&quot;??\ &quot;₫&quot;_-;_-@_-"/>
    <numFmt numFmtId="43" formatCode="_-* #,##0.00_-;\-* #,##0.00_-;_-* &quot;-&quot;??_-;_-@_-"/>
    <numFmt numFmtId="164" formatCode="_-* #,##0\ _₫_-;\-* #,##0\ _₫_-;_-* &quot;-&quot;\ _₫_-;_-@_-"/>
    <numFmt numFmtId="165" formatCode="0_);[Red]\(0\)"/>
    <numFmt numFmtId="166" formatCode="[$-1010000]d/m/yyyy;@"/>
    <numFmt numFmtId="167" formatCode="_(* #,##0_);_(* \(#,##0\);_(* &quot;-&quot;??_);_(@_)"/>
    <numFmt numFmtId="168" formatCode=".\ ###\ ;############################################################################################"/>
    <numFmt numFmtId="169" formatCode="_(* #,##0.000_);_(* \(#,##0.000\);_(* &quot;-&quot;??_);_(@_)"/>
    <numFmt numFmtId="170" formatCode="0.000"/>
    <numFmt numFmtId="171" formatCode="_-* #,##0.000\ _₫_-;\-* #,##0.000\ _₫_-;_-* &quot;-&quot;??\ _₫_-;_-@_-"/>
    <numFmt numFmtId="172" formatCode="#,##0.00_ ;\-#,##0.00\ "/>
    <numFmt numFmtId="173" formatCode="\ &quot;Km&quot;0\+000.00"/>
    <numFmt numFmtId="174" formatCode="&quot;% hoàn thành đến nay: &quot;0.00%"/>
    <numFmt numFmtId="175" formatCode="&quot;Km&quot;##\+000.00"/>
    <numFmt numFmtId="176" formatCode="_-* #,##0\ _ _®_-;\-* #,##0\ _ _®_-;_-* &quot;-&quot;??\ _ _®_-;_-@_-"/>
    <numFmt numFmtId="177" formatCode="0.00\ &quot;(m3)&quot;"/>
    <numFmt numFmtId="178" formatCode="&quot;Km&quot;00\+000.00"/>
    <numFmt numFmtId="179" formatCode="&quot;Km&quot;#&quot;+&quot;000.00"/>
    <numFmt numFmtId="180" formatCode="&quot;Khối lượng quyết toán: &quot;#,##0.00&quot;&quot;"/>
    <numFmt numFmtId="181" formatCode="_-* #,##0_-;\-* #,##0_-;_-* &quot;-&quot;??_-;_-@_-"/>
    <numFmt numFmtId="182" formatCode="#,##0.000_ ;\-#,##0.000\ "/>
    <numFmt numFmtId="183" formatCode="0.000000"/>
    <numFmt numFmtId="184" formatCode="#,##0.0000_ ;\-#,##0.0000\ "/>
    <numFmt numFmtId="185" formatCode="#,##0.00000_ ;\-#,##0.00000\ "/>
    <numFmt numFmtId="186" formatCode="0.00000"/>
  </numFmts>
  <fonts count="71">
    <font>
      <sz val="10"/>
      <name val="Arial"/>
      <family val="2"/>
    </font>
    <font>
      <sz val="11"/>
      <color theme="1"/>
      <name val="Arial"/>
      <family val="2"/>
      <charset val="163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2"/>
      <name val="¹UAAA¼"/>
      <family val="3"/>
      <charset val="128"/>
    </font>
    <font>
      <sz val="12"/>
      <name val=".VnTime"/>
      <family val="2"/>
    </font>
    <font>
      <b/>
      <sz val="11"/>
      <name val="Times New Roman"/>
      <family val="1"/>
    </font>
    <font>
      <sz val="11"/>
      <name val="Times New Roman"/>
      <family val="1"/>
    </font>
    <font>
      <b/>
      <sz val="11"/>
      <color rgb="FFFF0000"/>
      <name val="Times New Roman"/>
      <family val="1"/>
    </font>
    <font>
      <sz val="11"/>
      <name val="Times New Roman"/>
      <family val="1"/>
      <charset val="163"/>
    </font>
    <font>
      <sz val="11"/>
      <color theme="1"/>
      <name val="Times New Roman"/>
      <family val="1"/>
    </font>
    <font>
      <b/>
      <sz val="13"/>
      <name val="Times New Roman"/>
      <family val="1"/>
    </font>
    <font>
      <b/>
      <sz val="10"/>
      <name val="Times New Roman"/>
      <family val="1"/>
      <charset val="163"/>
    </font>
    <font>
      <sz val="12"/>
      <name val=".VnArial"/>
      <family val="2"/>
    </font>
    <font>
      <sz val="10"/>
      <name val="AngsanaUPC"/>
      <family val="1"/>
    </font>
    <font>
      <sz val="12"/>
      <name val="|??¢¥¢¬¨Ï"/>
      <family val="1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2"/>
      <name val="바탕체"/>
      <family val="1"/>
      <charset val="129"/>
    </font>
    <font>
      <sz val="10"/>
      <name val="Times New Roman"/>
      <family val="1"/>
      <charset val="163"/>
    </font>
    <font>
      <b/>
      <sz val="10"/>
      <color rgb="FF7030A0"/>
      <name val="Times New Roman"/>
      <family val="1"/>
    </font>
    <font>
      <i/>
      <sz val="11"/>
      <color theme="1"/>
      <name val="Times New Roman"/>
      <family val="1"/>
    </font>
    <font>
      <b/>
      <i/>
      <sz val="13"/>
      <name val="Times New Roman"/>
      <family val="1"/>
    </font>
    <font>
      <sz val="10"/>
      <color rgb="FF0000FF"/>
      <name val="Times New Roman"/>
      <family val="1"/>
    </font>
    <font>
      <b/>
      <i/>
      <sz val="10"/>
      <name val="Times New Roman"/>
      <family val="1"/>
    </font>
    <font>
      <b/>
      <sz val="10"/>
      <color rgb="FF0000FF"/>
      <name val="Times New Roman"/>
      <family val="1"/>
    </font>
    <font>
      <b/>
      <sz val="10"/>
      <color theme="1"/>
      <name val="Times New Roman"/>
      <family val="1"/>
    </font>
    <font>
      <sz val="11"/>
      <color rgb="FF0000FF"/>
      <name val="Times New Roman"/>
      <family val="1"/>
    </font>
    <font>
      <b/>
      <sz val="11"/>
      <color theme="1"/>
      <name val="Times New Roman"/>
      <family val="1"/>
    </font>
    <font>
      <b/>
      <sz val="15"/>
      <name val="Times New Roman"/>
      <family val="1"/>
    </font>
    <font>
      <b/>
      <sz val="11"/>
      <color rgb="FF0000FF"/>
      <name val="Times New Roman"/>
      <family val="1"/>
    </font>
    <font>
      <b/>
      <sz val="28"/>
      <name val="Times New Roman"/>
      <family val="1"/>
    </font>
    <font>
      <b/>
      <sz val="20"/>
      <name val="Times New Roman"/>
      <family val="1"/>
    </font>
    <font>
      <b/>
      <i/>
      <sz val="12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8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3"/>
      <color theme="1"/>
      <name val="Times New Roman"/>
      <family val="1"/>
    </font>
    <font>
      <b/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65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  <font>
      <u/>
      <sz val="8.5"/>
      <color theme="10"/>
      <name val="Arial"/>
      <family val="2"/>
    </font>
    <font>
      <u/>
      <sz val="8.5"/>
      <color theme="11"/>
      <name val="Arial"/>
      <family val="2"/>
    </font>
    <font>
      <sz val="11"/>
      <name val=".VnTime"/>
      <family val="2"/>
    </font>
    <font>
      <i/>
      <sz val="11"/>
      <name val="Times New Roman"/>
      <family val="1"/>
      <charset val="163"/>
    </font>
    <font>
      <b/>
      <sz val="11"/>
      <name val="Times New Roman"/>
      <family val="1"/>
      <charset val="163"/>
    </font>
    <font>
      <u/>
      <sz val="10"/>
      <color theme="10"/>
      <name val="Arial"/>
      <family val="2"/>
    </font>
    <font>
      <b/>
      <sz val="12"/>
      <name val="Times New Roman"/>
      <family val="1"/>
      <charset val="163"/>
    </font>
    <font>
      <sz val="12"/>
      <name val="Times New Roman"/>
      <family val="1"/>
      <charset val="163"/>
    </font>
    <font>
      <b/>
      <sz val="16"/>
      <name val="Times New Roman"/>
      <family val="1"/>
      <charset val="163"/>
    </font>
    <font>
      <i/>
      <sz val="12"/>
      <name val="Times New Roman"/>
      <family val="1"/>
      <charset val="163"/>
    </font>
  </fonts>
  <fills count="44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bgColor rgb="FFFFFF00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gray0625">
        <bgColor theme="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tted">
        <color indexed="64"/>
      </bottom>
      <diagonal/>
    </border>
    <border>
      <left style="double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dotted">
        <color indexed="64"/>
      </top>
      <bottom style="dotted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auto="1"/>
      </right>
      <top style="double">
        <color indexed="64"/>
      </top>
      <bottom/>
      <diagonal/>
    </border>
    <border>
      <left style="thin">
        <color auto="1"/>
      </left>
      <right style="double">
        <color auto="1"/>
      </right>
      <top/>
      <bottom/>
      <diagonal/>
    </border>
  </borders>
  <cellStyleXfs count="67">
    <xf numFmtId="0" fontId="0" fillId="0" borderId="0"/>
    <xf numFmtId="43" fontId="4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/>
    <xf numFmtId="0" fontId="7" fillId="0" borderId="0"/>
    <xf numFmtId="0" fontId="8" fillId="0" borderId="0" applyNumberFormat="0" applyFill="0" applyBorder="0" applyAlignment="0" applyProtection="0"/>
    <xf numFmtId="0" fontId="16" fillId="0" borderId="0" applyFont="0" applyFill="0" applyBorder="0" applyAlignment="0" applyProtection="0"/>
    <xf numFmtId="168" fontId="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8" fillId="0" borderId="0"/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20" fillId="0" borderId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63" applyNumberFormat="0" applyFill="0" applyAlignment="0" applyProtection="0"/>
    <xf numFmtId="0" fontId="47" fillId="0" borderId="64" applyNumberFormat="0" applyFill="0" applyAlignment="0" applyProtection="0"/>
    <xf numFmtId="0" fontId="48" fillId="0" borderId="65" applyNumberFormat="0" applyFill="0" applyAlignment="0" applyProtection="0"/>
    <xf numFmtId="0" fontId="48" fillId="0" borderId="0" applyNumberFormat="0" applyFill="0" applyBorder="0" applyAlignment="0" applyProtection="0"/>
    <xf numFmtId="0" fontId="49" fillId="8" borderId="0" applyNumberFormat="0" applyBorder="0" applyAlignment="0" applyProtection="0"/>
    <xf numFmtId="0" fontId="50" fillId="9" borderId="0" applyNumberFormat="0" applyBorder="0" applyAlignment="0" applyProtection="0"/>
    <xf numFmtId="0" fontId="51" fillId="10" borderId="0" applyNumberFormat="0" applyBorder="0" applyAlignment="0" applyProtection="0"/>
    <xf numFmtId="0" fontId="52" fillId="11" borderId="66" applyNumberFormat="0" applyAlignment="0" applyProtection="0"/>
    <xf numFmtId="0" fontId="53" fillId="12" borderId="67" applyNumberFormat="0" applyAlignment="0" applyProtection="0"/>
    <xf numFmtId="0" fontId="54" fillId="12" borderId="66" applyNumberFormat="0" applyAlignment="0" applyProtection="0"/>
    <xf numFmtId="0" fontId="55" fillId="0" borderId="68" applyNumberFormat="0" applyFill="0" applyAlignment="0" applyProtection="0"/>
    <xf numFmtId="0" fontId="56" fillId="13" borderId="69" applyNumberFormat="0" applyAlignment="0" applyProtection="0"/>
    <xf numFmtId="0" fontId="57" fillId="0" borderId="0" applyNumberFormat="0" applyFill="0" applyBorder="0" applyAlignment="0" applyProtection="0"/>
    <xf numFmtId="0" fontId="4" fillId="14" borderId="70" applyNumberFormat="0" applyFont="0" applyAlignment="0" applyProtection="0"/>
    <xf numFmtId="0" fontId="58" fillId="0" borderId="0" applyNumberFormat="0" applyFill="0" applyBorder="0" applyAlignment="0" applyProtection="0"/>
    <xf numFmtId="0" fontId="59" fillId="0" borderId="71" applyNumberFormat="0" applyFill="0" applyAlignment="0" applyProtection="0"/>
    <xf numFmtId="0" fontId="60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60" fillId="18" borderId="0" applyNumberFormat="0" applyBorder="0" applyAlignment="0" applyProtection="0"/>
    <xf numFmtId="0" fontId="60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60" fillId="2" borderId="0" applyNumberFormat="0" applyBorder="0" applyAlignment="0" applyProtection="0"/>
    <xf numFmtId="0" fontId="6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60" fillId="25" borderId="0" applyNumberFormat="0" applyBorder="0" applyAlignment="0" applyProtection="0"/>
    <xf numFmtId="0" fontId="6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60" fillId="29" borderId="0" applyNumberFormat="0" applyBorder="0" applyAlignment="0" applyProtection="0"/>
    <xf numFmtId="0" fontId="6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60" fillId="33" borderId="0" applyNumberFormat="0" applyBorder="0" applyAlignment="0" applyProtection="0"/>
    <xf numFmtId="0" fontId="6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0" fillId="37" borderId="0" applyNumberFormat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</cellStyleXfs>
  <cellXfs count="726">
    <xf numFmtId="0" fontId="0" fillId="0" borderId="0" xfId="0"/>
    <xf numFmtId="2" fontId="3" fillId="3" borderId="3" xfId="0" applyNumberFormat="1" applyFont="1" applyFill="1" applyBorder="1" applyAlignment="1">
      <alignment horizontal="center" vertical="center"/>
    </xf>
    <xf numFmtId="2" fontId="3" fillId="3" borderId="3" xfId="0" applyNumberFormat="1" applyFont="1" applyFill="1" applyBorder="1" applyAlignment="1">
      <alignment vertical="center"/>
    </xf>
    <xf numFmtId="38" fontId="3" fillId="0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 vertical="center" wrapText="1"/>
    </xf>
    <xf numFmtId="170" fontId="3" fillId="0" borderId="0" xfId="0" applyNumberFormat="1" applyFont="1" applyFill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14" fontId="10" fillId="0" borderId="0" xfId="0" applyNumberFormat="1" applyFont="1" applyFill="1" applyAlignment="1">
      <alignment horizontal="center" vertical="center"/>
    </xf>
    <xf numFmtId="171" fontId="15" fillId="0" borderId="0" xfId="0" applyNumberFormat="1" applyFont="1" applyFill="1" applyAlignment="1">
      <alignment horizontal="center" vertical="center"/>
    </xf>
    <xf numFmtId="0" fontId="10" fillId="0" borderId="0" xfId="0" applyFont="1" applyFill="1" applyBorder="1" applyAlignment="1">
      <alignment vertical="center"/>
    </xf>
    <xf numFmtId="0" fontId="10" fillId="0" borderId="0" xfId="0" applyNumberFormat="1" applyFont="1" applyFill="1" applyBorder="1" applyAlignment="1">
      <alignment horizontal="centerContinuous"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1" fontId="3" fillId="0" borderId="10" xfId="0" applyNumberFormat="1" applyFont="1" applyFill="1" applyBorder="1" applyAlignment="1">
      <alignment horizontal="centerContinuous" vertical="center"/>
    </xf>
    <xf numFmtId="171" fontId="15" fillId="0" borderId="10" xfId="0" applyNumberFormat="1" applyFont="1" applyFill="1" applyBorder="1" applyAlignment="1">
      <alignment horizontal="centerContinuous" vertical="center"/>
    </xf>
    <xf numFmtId="43" fontId="3" fillId="0" borderId="0" xfId="0" applyNumberFormat="1" applyFont="1" applyFill="1" applyAlignment="1">
      <alignment horizontal="center" vertical="center"/>
    </xf>
    <xf numFmtId="0" fontId="2" fillId="0" borderId="12" xfId="0" applyFont="1" applyBorder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right" vertical="center" wrapText="1"/>
    </xf>
    <xf numFmtId="14" fontId="3" fillId="0" borderId="10" xfId="0" applyNumberFormat="1" applyFont="1" applyFill="1" applyBorder="1" applyAlignment="1">
      <alignment horizontal="centerContinuous" vertical="center"/>
    </xf>
    <xf numFmtId="0" fontId="3" fillId="0" borderId="0" xfId="0" applyNumberFormat="1" applyFont="1" applyFill="1" applyBorder="1" applyAlignment="1">
      <alignment horizontal="centerContinuous" vertical="center"/>
    </xf>
    <xf numFmtId="170" fontId="10" fillId="0" borderId="0" xfId="0" applyNumberFormat="1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14" fontId="2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center" vertical="center"/>
    </xf>
    <xf numFmtId="171" fontId="15" fillId="0" borderId="0" xfId="0" applyNumberFormat="1" applyFont="1" applyFill="1" applyBorder="1" applyAlignment="1">
      <alignment horizontal="center" vertical="center" wrapText="1"/>
    </xf>
    <xf numFmtId="172" fontId="22" fillId="3" borderId="3" xfId="0" applyNumberFormat="1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Continuous" vertical="center"/>
    </xf>
    <xf numFmtId="0" fontId="3" fillId="3" borderId="3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14" fillId="3" borderId="6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vertical="center" wrapText="1"/>
    </xf>
    <xf numFmtId="169" fontId="14" fillId="3" borderId="1" xfId="0" applyNumberFormat="1" applyFont="1" applyFill="1" applyBorder="1" applyAlignment="1">
      <alignment vertical="center" wrapText="1"/>
    </xf>
    <xf numFmtId="169" fontId="14" fillId="3" borderId="5" xfId="0" applyNumberFormat="1" applyFont="1" applyFill="1" applyBorder="1" applyAlignment="1">
      <alignment vertical="center" wrapText="1"/>
    </xf>
    <xf numFmtId="0" fontId="11" fillId="0" borderId="0" xfId="0" applyFont="1" applyFill="1"/>
    <xf numFmtId="43" fontId="11" fillId="0" borderId="0" xfId="0" applyNumberFormat="1" applyFont="1" applyFill="1"/>
    <xf numFmtId="0" fontId="11" fillId="4" borderId="0" xfId="0" applyFont="1" applyFill="1"/>
    <xf numFmtId="0" fontId="13" fillId="5" borderId="0" xfId="0" applyFont="1" applyFill="1" applyAlignment="1">
      <alignment horizontal="center"/>
    </xf>
    <xf numFmtId="0" fontId="10" fillId="5" borderId="0" xfId="0" applyFont="1" applyFill="1"/>
    <xf numFmtId="0" fontId="10" fillId="5" borderId="0" xfId="0" applyFont="1" applyFill="1" applyAlignment="1">
      <alignment horizontal="center" vertical="center"/>
    </xf>
    <xf numFmtId="167" fontId="10" fillId="5" borderId="0" xfId="0" applyNumberFormat="1" applyFont="1" applyFill="1"/>
    <xf numFmtId="176" fontId="10" fillId="5" borderId="0" xfId="0" applyNumberFormat="1" applyFont="1" applyFill="1"/>
    <xf numFmtId="0" fontId="13" fillId="0" borderId="0" xfId="0" applyFont="1" applyFill="1"/>
    <xf numFmtId="0" fontId="25" fillId="3" borderId="6" xfId="0" applyFont="1" applyFill="1" applyBorder="1" applyAlignment="1">
      <alignment horizontal="center" vertical="center" wrapText="1"/>
    </xf>
    <xf numFmtId="167" fontId="10" fillId="3" borderId="14" xfId="0" applyNumberFormat="1" applyFont="1" applyFill="1" applyBorder="1" applyAlignment="1">
      <alignment horizontal="right" vertical="center" wrapText="1"/>
    </xf>
    <xf numFmtId="176" fontId="10" fillId="3" borderId="14" xfId="0" applyNumberFormat="1" applyFont="1" applyFill="1" applyBorder="1" applyAlignment="1">
      <alignment horizontal="right" vertical="center" wrapText="1"/>
    </xf>
    <xf numFmtId="39" fontId="10" fillId="3" borderId="14" xfId="0" applyNumberFormat="1" applyFont="1" applyFill="1" applyBorder="1" applyAlignment="1">
      <alignment horizontal="right" vertical="center" wrapText="1"/>
    </xf>
    <xf numFmtId="14" fontId="10" fillId="3" borderId="14" xfId="0" applyNumberFormat="1" applyFont="1" applyFill="1" applyBorder="1" applyAlignment="1">
      <alignment horizontal="right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26" fillId="3" borderId="14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left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left" vertical="center" wrapText="1"/>
    </xf>
    <xf numFmtId="0" fontId="3" fillId="3" borderId="14" xfId="0" applyFont="1" applyFill="1" applyBorder="1" applyAlignment="1">
      <alignment horizontal="center" vertical="center" wrapText="1"/>
    </xf>
    <xf numFmtId="0" fontId="27" fillId="3" borderId="6" xfId="0" applyFont="1" applyFill="1" applyBorder="1" applyAlignment="1">
      <alignment horizontal="center" vertical="center" wrapText="1"/>
    </xf>
    <xf numFmtId="1" fontId="2" fillId="3" borderId="11" xfId="0" applyNumberFormat="1" applyFont="1" applyFill="1" applyBorder="1" applyAlignment="1">
      <alignment horizontal="center" vertical="center" wrapText="1"/>
    </xf>
    <xf numFmtId="167" fontId="3" fillId="3" borderId="15" xfId="0" applyNumberFormat="1" applyFont="1" applyFill="1" applyBorder="1" applyAlignment="1">
      <alignment horizontal="right" vertical="center" wrapText="1"/>
    </xf>
    <xf numFmtId="176" fontId="3" fillId="3" borderId="15" xfId="0" applyNumberFormat="1" applyFont="1" applyFill="1" applyBorder="1" applyAlignment="1">
      <alignment horizontal="right" vertical="center" wrapText="1"/>
    </xf>
    <xf numFmtId="173" fontId="2" fillId="3" borderId="11" xfId="0" applyNumberFormat="1" applyFont="1" applyFill="1" applyBorder="1" applyAlignment="1">
      <alignment horizontal="center" vertical="center" wrapText="1"/>
    </xf>
    <xf numFmtId="175" fontId="2" fillId="3" borderId="11" xfId="0" applyNumberFormat="1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left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14" fillId="3" borderId="16" xfId="0" applyFont="1" applyFill="1" applyBorder="1" applyAlignment="1">
      <alignment vertical="center" wrapText="1"/>
    </xf>
    <xf numFmtId="0" fontId="14" fillId="3" borderId="2" xfId="0" applyFont="1" applyFill="1" applyBorder="1" applyAlignment="1">
      <alignment vertical="center" wrapText="1"/>
    </xf>
    <xf numFmtId="169" fontId="14" fillId="3" borderId="2" xfId="0" applyNumberFormat="1" applyFont="1" applyFill="1" applyBorder="1" applyAlignment="1">
      <alignment vertical="center" wrapText="1"/>
    </xf>
    <xf numFmtId="169" fontId="14" fillId="3" borderId="17" xfId="0" applyNumberFormat="1" applyFont="1" applyFill="1" applyBorder="1" applyAlignment="1">
      <alignment vertical="center" wrapText="1"/>
    </xf>
    <xf numFmtId="166" fontId="3" fillId="3" borderId="3" xfId="0" applyNumberFormat="1" applyFont="1" applyFill="1" applyBorder="1" applyAlignment="1">
      <alignment horizontal="center" vertical="center" wrapText="1"/>
    </xf>
    <xf numFmtId="172" fontId="23" fillId="3" borderId="24" xfId="0" applyNumberFormat="1" applyFont="1" applyFill="1" applyBorder="1" applyAlignment="1">
      <alignment horizontal="center" vertical="center" wrapText="1"/>
    </xf>
    <xf numFmtId="2" fontId="3" fillId="3" borderId="25" xfId="0" applyNumberFormat="1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 wrapText="1"/>
    </xf>
    <xf numFmtId="2" fontId="3" fillId="3" borderId="27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2" fontId="3" fillId="0" borderId="11" xfId="0" applyNumberFormat="1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1" xfId="0" applyNumberFormat="1" applyFont="1" applyFill="1" applyBorder="1" applyAlignment="1">
      <alignment horizontal="center" vertical="center"/>
    </xf>
    <xf numFmtId="0" fontId="29" fillId="0" borderId="11" xfId="0" applyNumberFormat="1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14" fontId="3" fillId="0" borderId="11" xfId="0" applyNumberFormat="1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28" fillId="0" borderId="12" xfId="0" applyFont="1" applyBorder="1" applyAlignment="1">
      <alignment horizontal="left" vertical="center"/>
    </xf>
    <xf numFmtId="39" fontId="13" fillId="3" borderId="14" xfId="0" applyNumberFormat="1" applyFont="1" applyFill="1" applyBorder="1" applyAlignment="1">
      <alignment horizontal="right" vertical="center" wrapText="1"/>
    </xf>
    <xf numFmtId="0" fontId="10" fillId="4" borderId="14" xfId="0" applyFont="1" applyFill="1" applyBorder="1" applyAlignment="1">
      <alignment horizontal="center" vertical="center"/>
    </xf>
    <xf numFmtId="179" fontId="10" fillId="0" borderId="0" xfId="0" applyNumberFormat="1" applyFont="1" applyFill="1" applyBorder="1" applyAlignment="1">
      <alignment vertical="center"/>
    </xf>
    <xf numFmtId="178" fontId="13" fillId="0" borderId="0" xfId="0" applyNumberFormat="1" applyFont="1" applyFill="1" applyBorder="1" applyAlignment="1">
      <alignment horizontal="center" vertical="center"/>
    </xf>
    <xf numFmtId="43" fontId="13" fillId="0" borderId="0" xfId="0" applyNumberFormat="1" applyFont="1" applyFill="1" applyBorder="1" applyAlignment="1">
      <alignment horizontal="center" vertical="center"/>
    </xf>
    <xf numFmtId="179" fontId="30" fillId="0" borderId="0" xfId="0" applyNumberFormat="1" applyFont="1" applyFill="1" applyBorder="1" applyAlignment="1">
      <alignment vertical="center"/>
    </xf>
    <xf numFmtId="178" fontId="30" fillId="0" borderId="0" xfId="0" applyNumberFormat="1" applyFont="1" applyFill="1" applyBorder="1" applyAlignment="1">
      <alignment horizontal="center" vertical="center"/>
    </xf>
    <xf numFmtId="43" fontId="30" fillId="0" borderId="0" xfId="0" applyNumberFormat="1" applyFont="1" applyFill="1" applyBorder="1" applyAlignment="1">
      <alignment horizontal="center" vertical="center"/>
    </xf>
    <xf numFmtId="0" fontId="13" fillId="0" borderId="28" xfId="0" applyFont="1" applyBorder="1" applyAlignment="1">
      <alignment horizontal="center"/>
    </xf>
    <xf numFmtId="0" fontId="30" fillId="0" borderId="0" xfId="0" applyNumberFormat="1" applyFont="1" applyFill="1" applyBorder="1" applyAlignment="1">
      <alignment vertical="center"/>
    </xf>
    <xf numFmtId="14" fontId="30" fillId="0" borderId="0" xfId="0" applyNumberFormat="1" applyFont="1" applyFill="1" applyBorder="1" applyAlignment="1">
      <alignment horizontal="center" vertical="center"/>
    </xf>
    <xf numFmtId="14" fontId="30" fillId="0" borderId="0" xfId="0" applyNumberFormat="1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/>
    </xf>
    <xf numFmtId="0" fontId="15" fillId="0" borderId="0" xfId="0" applyFont="1" applyFill="1" applyBorder="1" applyAlignment="1">
      <alignment vertical="center"/>
    </xf>
    <xf numFmtId="177" fontId="28" fillId="0" borderId="10" xfId="0" applyNumberFormat="1" applyFont="1" applyFill="1" applyBorder="1" applyAlignment="1">
      <alignment horizontal="left" vertical="center" wrapText="1"/>
    </xf>
    <xf numFmtId="172" fontId="22" fillId="3" borderId="12" xfId="0" applyNumberFormat="1" applyFont="1" applyFill="1" applyBorder="1" applyAlignment="1">
      <alignment horizontal="center" vertical="center" wrapText="1"/>
    </xf>
    <xf numFmtId="14" fontId="3" fillId="0" borderId="0" xfId="0" applyNumberFormat="1" applyFont="1" applyFill="1" applyAlignment="1">
      <alignment vertical="top"/>
    </xf>
    <xf numFmtId="0" fontId="3" fillId="0" borderId="0" xfId="0" applyFont="1" applyFill="1" applyAlignment="1">
      <alignment horizontal="center" vertical="top"/>
    </xf>
    <xf numFmtId="0" fontId="3" fillId="0" borderId="0" xfId="0" applyFont="1" applyFill="1" applyAlignment="1">
      <alignment vertical="top"/>
    </xf>
    <xf numFmtId="0" fontId="3" fillId="0" borderId="0" xfId="0" applyFont="1" applyFill="1"/>
    <xf numFmtId="0" fontId="10" fillId="0" borderId="0" xfId="0" applyFont="1" applyFill="1" applyAlignment="1">
      <alignment vertical="center"/>
    </xf>
    <xf numFmtId="174" fontId="28" fillId="0" borderId="10" xfId="0" applyNumberFormat="1" applyFont="1" applyFill="1" applyBorder="1" applyAlignment="1">
      <alignment vertical="center" wrapText="1"/>
    </xf>
    <xf numFmtId="174" fontId="28" fillId="0" borderId="13" xfId="0" applyNumberFormat="1" applyFont="1" applyFill="1" applyBorder="1" applyAlignment="1">
      <alignment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/>
    </xf>
    <xf numFmtId="43" fontId="9" fillId="0" borderId="0" xfId="0" applyNumberFormat="1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10" fillId="0" borderId="0" xfId="0" applyFont="1" applyFill="1"/>
    <xf numFmtId="0" fontId="9" fillId="0" borderId="0" xfId="0" applyFont="1" applyFill="1"/>
    <xf numFmtId="43" fontId="9" fillId="0" borderId="0" xfId="0" applyNumberFormat="1" applyFont="1" applyFill="1"/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178" fontId="10" fillId="0" borderId="10" xfId="0" applyNumberFormat="1" applyFont="1" applyFill="1" applyBorder="1" applyAlignment="1">
      <alignment horizontal="left"/>
    </xf>
    <xf numFmtId="178" fontId="9" fillId="0" borderId="10" xfId="0" applyNumberFormat="1" applyFont="1" applyFill="1" applyBorder="1" applyAlignment="1">
      <alignment wrapText="1"/>
    </xf>
    <xf numFmtId="0" fontId="9" fillId="0" borderId="10" xfId="0" applyFont="1" applyFill="1" applyBorder="1" applyAlignment="1">
      <alignment horizontal="centerContinuous" vertical="center"/>
    </xf>
    <xf numFmtId="0" fontId="9" fillId="0" borderId="13" xfId="0" applyFont="1" applyFill="1" applyBorder="1" applyAlignment="1">
      <alignment horizontal="centerContinuous" vertical="center"/>
    </xf>
    <xf numFmtId="180" fontId="33" fillId="0" borderId="10" xfId="0" applyNumberFormat="1" applyFont="1" applyFill="1" applyBorder="1" applyAlignment="1">
      <alignment vertical="center" wrapText="1"/>
    </xf>
    <xf numFmtId="174" fontId="9" fillId="0" borderId="10" xfId="0" applyNumberFormat="1" applyFont="1" applyFill="1" applyBorder="1" applyAlignment="1">
      <alignment vertical="center" wrapText="1"/>
    </xf>
    <xf numFmtId="174" fontId="9" fillId="0" borderId="13" xfId="0" applyNumberFormat="1" applyFont="1" applyFill="1" applyBorder="1" applyAlignment="1">
      <alignment vertical="center" wrapText="1"/>
    </xf>
    <xf numFmtId="0" fontId="10" fillId="0" borderId="0" xfId="0" applyFont="1" applyFill="1" applyAlignment="1">
      <alignment horizontal="center" vertical="center"/>
    </xf>
    <xf numFmtId="43" fontId="10" fillId="0" borderId="0" xfId="0" applyNumberFormat="1" applyFont="1" applyFill="1" applyAlignment="1">
      <alignment horizontal="center" vertical="center"/>
    </xf>
    <xf numFmtId="43" fontId="10" fillId="0" borderId="0" xfId="0" applyNumberFormat="1" applyFont="1" applyFill="1"/>
    <xf numFmtId="0" fontId="5" fillId="0" borderId="49" xfId="0" applyFont="1" applyFill="1" applyBorder="1" applyAlignment="1"/>
    <xf numFmtId="0" fontId="5" fillId="0" borderId="51" xfId="0" applyFont="1" applyFill="1" applyBorder="1" applyAlignment="1"/>
    <xf numFmtId="0" fontId="5" fillId="0" borderId="0" xfId="0" applyFont="1" applyFill="1" applyAlignment="1"/>
    <xf numFmtId="0" fontId="5" fillId="0" borderId="52" xfId="0" applyFont="1" applyFill="1" applyBorder="1" applyAlignment="1">
      <alignment vertical="center"/>
    </xf>
    <xf numFmtId="0" fontId="5" fillId="0" borderId="53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vertical="center" wrapText="1"/>
    </xf>
    <xf numFmtId="0" fontId="5" fillId="0" borderId="53" xfId="0" applyFont="1" applyFill="1" applyBorder="1" applyAlignment="1">
      <alignment vertical="center" wrapText="1"/>
    </xf>
    <xf numFmtId="0" fontId="5" fillId="0" borderId="0" xfId="0" applyFont="1" applyFill="1" applyAlignment="1">
      <alignment vertical="center" wrapText="1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5" fillId="0" borderId="52" xfId="0" applyFont="1" applyFill="1" applyBorder="1"/>
    <xf numFmtId="0" fontId="5" fillId="0" borderId="53" xfId="0" applyFont="1" applyFill="1" applyBorder="1"/>
    <xf numFmtId="0" fontId="5" fillId="0" borderId="0" xfId="0" applyFont="1" applyFill="1"/>
    <xf numFmtId="0" fontId="6" fillId="0" borderId="0" xfId="0" applyFont="1" applyFill="1" applyAlignment="1">
      <alignment vertic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vertical="center"/>
    </xf>
    <xf numFmtId="0" fontId="34" fillId="0" borderId="52" xfId="0" applyFont="1" applyFill="1" applyBorder="1" applyAlignment="1">
      <alignment vertical="center"/>
    </xf>
    <xf numFmtId="0" fontId="34" fillId="0" borderId="53" xfId="0" applyFont="1" applyFill="1" applyBorder="1" applyAlignment="1">
      <alignment vertical="center"/>
    </xf>
    <xf numFmtId="0" fontId="34" fillId="0" borderId="0" xfId="0" applyFont="1" applyFill="1" applyAlignment="1">
      <alignment vertical="center"/>
    </xf>
    <xf numFmtId="0" fontId="2" fillId="0" borderId="52" xfId="0" applyFont="1" applyFill="1" applyBorder="1"/>
    <xf numFmtId="0" fontId="2" fillId="0" borderId="0" xfId="0" applyFont="1" applyFill="1" applyBorder="1" applyAlignment="1">
      <alignment vertical="center"/>
    </xf>
    <xf numFmtId="0" fontId="2" fillId="0" borderId="53" xfId="0" applyFont="1" applyFill="1" applyBorder="1"/>
    <xf numFmtId="0" fontId="2" fillId="0" borderId="0" xfId="0" applyFont="1" applyFill="1"/>
    <xf numFmtId="0" fontId="2" fillId="0" borderId="0" xfId="0" applyFont="1" applyFill="1" applyBorder="1" applyAlignment="1">
      <alignment horizontal="center" vertical="center"/>
    </xf>
    <xf numFmtId="0" fontId="2" fillId="0" borderId="52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  <xf numFmtId="0" fontId="9" fillId="0" borderId="52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9" fillId="0" borderId="53" xfId="0" applyFont="1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5" fillId="0" borderId="54" xfId="0" applyFont="1" applyFill="1" applyBorder="1"/>
    <xf numFmtId="0" fontId="5" fillId="0" borderId="56" xfId="0" applyFont="1" applyFill="1" applyBorder="1"/>
    <xf numFmtId="0" fontId="10" fillId="0" borderId="0" xfId="0" applyFont="1" applyFill="1" applyAlignment="1">
      <alignment horizontal="center" vertical="center"/>
    </xf>
    <xf numFmtId="43" fontId="10" fillId="0" borderId="0" xfId="0" applyNumberFormat="1" applyFont="1" applyFill="1"/>
    <xf numFmtId="0" fontId="10" fillId="0" borderId="0" xfId="0" applyFont="1" applyFill="1"/>
    <xf numFmtId="4" fontId="10" fillId="0" borderId="60" xfId="0" applyNumberFormat="1" applyFont="1" applyFill="1" applyBorder="1" applyAlignment="1">
      <alignment horizontal="right" vertical="center" wrapText="1"/>
    </xf>
    <xf numFmtId="0" fontId="38" fillId="0" borderId="58" xfId="0" applyFont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4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9" fillId="0" borderId="0" xfId="0" applyFont="1" applyFill="1" applyAlignment="1"/>
    <xf numFmtId="0" fontId="13" fillId="0" borderId="0" xfId="0" applyFont="1" applyFill="1" applyAlignment="1">
      <alignment vertical="center"/>
    </xf>
    <xf numFmtId="0" fontId="37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" fillId="3" borderId="11" xfId="0" applyFont="1" applyFill="1" applyBorder="1" applyAlignment="1">
      <alignment horizontal="center" vertical="center" wrapText="1"/>
    </xf>
    <xf numFmtId="0" fontId="29" fillId="0" borderId="26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 wrapText="1"/>
    </xf>
    <xf numFmtId="0" fontId="29" fillId="0" borderId="11" xfId="0" applyFont="1" applyFill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/>
    </xf>
    <xf numFmtId="0" fontId="29" fillId="6" borderId="26" xfId="0" applyFont="1" applyFill="1" applyBorder="1" applyAlignment="1">
      <alignment horizontal="center" vertical="center" wrapText="1"/>
    </xf>
    <xf numFmtId="0" fontId="29" fillId="6" borderId="11" xfId="0" applyFont="1" applyFill="1" applyBorder="1" applyAlignment="1">
      <alignment horizontal="center" vertical="center" wrapText="1"/>
    </xf>
    <xf numFmtId="0" fontId="38" fillId="6" borderId="11" xfId="0" applyFont="1" applyFill="1" applyBorder="1" applyAlignment="1">
      <alignment horizontal="right" vertical="center" wrapText="1"/>
    </xf>
    <xf numFmtId="0" fontId="38" fillId="6" borderId="11" xfId="0" applyFont="1" applyFill="1" applyBorder="1" applyAlignment="1">
      <alignment vertical="center"/>
    </xf>
    <xf numFmtId="0" fontId="39" fillId="6" borderId="11" xfId="0" applyFont="1" applyFill="1" applyBorder="1" applyAlignment="1">
      <alignment vertical="center"/>
    </xf>
    <xf numFmtId="0" fontId="38" fillId="0" borderId="0" xfId="0" applyFont="1" applyAlignment="1">
      <alignment horizontal="center" vertical="center"/>
    </xf>
    <xf numFmtId="0" fontId="2" fillId="6" borderId="2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right" vertical="center" wrapText="1"/>
    </xf>
    <xf numFmtId="0" fontId="3" fillId="0" borderId="59" xfId="0" applyFont="1" applyFill="1" applyBorder="1" applyAlignment="1">
      <alignment horizontal="center" vertical="center" wrapText="1"/>
    </xf>
    <xf numFmtId="0" fontId="3" fillId="0" borderId="60" xfId="0" applyFont="1" applyFill="1" applyBorder="1" applyAlignment="1">
      <alignment horizontal="left" vertical="center" wrapText="1"/>
    </xf>
    <xf numFmtId="0" fontId="3" fillId="0" borderId="60" xfId="0" applyFont="1" applyFill="1" applyBorder="1" applyAlignment="1">
      <alignment horizontal="center" vertical="center" wrapText="1"/>
    </xf>
    <xf numFmtId="0" fontId="3" fillId="0" borderId="60" xfId="0" applyFont="1" applyFill="1" applyBorder="1" applyAlignment="1">
      <alignment horizontal="right" vertical="center" wrapText="1"/>
    </xf>
    <xf numFmtId="0" fontId="39" fillId="0" borderId="60" xfId="0" applyFont="1" applyBorder="1" applyAlignment="1">
      <alignment vertical="center"/>
    </xf>
    <xf numFmtId="0" fontId="27" fillId="0" borderId="61" xfId="0" applyFont="1" applyFill="1" applyBorder="1" applyAlignment="1">
      <alignment horizontal="centerContinuous" vertical="center"/>
    </xf>
    <xf numFmtId="0" fontId="3" fillId="0" borderId="62" xfId="0" applyFont="1" applyFill="1" applyBorder="1" applyAlignment="1">
      <alignment horizontal="left" vertical="center" wrapText="1"/>
    </xf>
    <xf numFmtId="0" fontId="3" fillId="0" borderId="62" xfId="0" applyFont="1" applyFill="1" applyBorder="1" applyAlignment="1">
      <alignment horizontal="center" vertical="center"/>
    </xf>
    <xf numFmtId="43" fontId="3" fillId="0" borderId="62" xfId="0" applyNumberFormat="1" applyFont="1" applyFill="1" applyBorder="1" applyAlignment="1">
      <alignment horizontal="center" vertical="center"/>
    </xf>
    <xf numFmtId="0" fontId="38" fillId="0" borderId="62" xfId="0" applyFont="1" applyBorder="1" applyAlignment="1">
      <alignment vertical="center"/>
    </xf>
    <xf numFmtId="0" fontId="39" fillId="0" borderId="62" xfId="0" applyFont="1" applyBorder="1" applyAlignment="1">
      <alignment vertical="center"/>
    </xf>
    <xf numFmtId="0" fontId="38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44" fillId="0" borderId="0" xfId="0" applyFont="1" applyAlignment="1">
      <alignment vertical="center"/>
    </xf>
    <xf numFmtId="0" fontId="3" fillId="0" borderId="0" xfId="0" applyFont="1" applyFill="1" applyAlignment="1"/>
    <xf numFmtId="0" fontId="40" fillId="0" borderId="0" xfId="0" applyFont="1" applyAlignment="1">
      <alignment horizontal="center" vertical="center"/>
    </xf>
    <xf numFmtId="0" fontId="40" fillId="0" borderId="0" xfId="0" applyFont="1" applyFill="1" applyAlignment="1">
      <alignment vertical="center"/>
    </xf>
    <xf numFmtId="0" fontId="9" fillId="3" borderId="9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169" fontId="9" fillId="3" borderId="7" xfId="0" applyNumberFormat="1" applyFont="1" applyFill="1" applyBorder="1" applyAlignment="1">
      <alignment horizontal="center" vertical="center" wrapText="1"/>
    </xf>
    <xf numFmtId="169" fontId="9" fillId="3" borderId="8" xfId="0" applyNumberFormat="1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4" fontId="10" fillId="38" borderId="11" xfId="0" applyNumberFormat="1" applyFont="1" applyFill="1" applyBorder="1" applyAlignment="1">
      <alignment horizontal="right" vertical="center" wrapText="1"/>
    </xf>
    <xf numFmtId="4" fontId="10" fillId="0" borderId="4" xfId="0" applyNumberFormat="1" applyFont="1" applyFill="1" applyBorder="1" applyAlignment="1">
      <alignment horizontal="right" vertical="center" wrapText="1"/>
    </xf>
    <xf numFmtId="4" fontId="10" fillId="7" borderId="60" xfId="0" applyNumberFormat="1" applyFont="1" applyFill="1" applyBorder="1" applyAlignment="1">
      <alignment horizontal="right" vertical="center" wrapText="1"/>
    </xf>
    <xf numFmtId="38" fontId="12" fillId="38" borderId="11" xfId="0" applyNumberFormat="1" applyFont="1" applyFill="1" applyBorder="1" applyAlignment="1">
      <alignment horizontal="center" vertical="center"/>
    </xf>
    <xf numFmtId="38" fontId="9" fillId="38" borderId="11" xfId="0" applyNumberFormat="1" applyFont="1" applyFill="1" applyBorder="1" applyAlignment="1">
      <alignment wrapText="1"/>
    </xf>
    <xf numFmtId="38" fontId="63" fillId="38" borderId="11" xfId="0" applyNumberFormat="1" applyFont="1" applyFill="1" applyBorder="1" applyAlignment="1">
      <alignment horizontal="center" vertical="center"/>
    </xf>
    <xf numFmtId="38" fontId="9" fillId="0" borderId="4" xfId="0" applyNumberFormat="1" applyFont="1" applyFill="1" applyBorder="1" applyAlignment="1">
      <alignment horizontal="center" vertical="center"/>
    </xf>
    <xf numFmtId="38" fontId="9" fillId="0" borderId="4" xfId="0" applyNumberFormat="1" applyFont="1" applyFill="1" applyBorder="1" applyAlignment="1">
      <alignment wrapText="1"/>
    </xf>
    <xf numFmtId="38" fontId="63" fillId="0" borderId="4" xfId="0" applyNumberFormat="1" applyFont="1" applyFill="1" applyBorder="1" applyAlignment="1">
      <alignment horizontal="center" vertical="center"/>
    </xf>
    <xf numFmtId="38" fontId="9" fillId="0" borderId="60" xfId="0" applyNumberFormat="1" applyFont="1" applyFill="1" applyBorder="1" applyAlignment="1">
      <alignment horizontal="center" vertical="center"/>
    </xf>
    <xf numFmtId="38" fontId="9" fillId="0" borderId="60" xfId="0" applyNumberFormat="1" applyFont="1" applyFill="1" applyBorder="1" applyAlignment="1">
      <alignment wrapText="1"/>
    </xf>
    <xf numFmtId="38" fontId="63" fillId="0" borderId="60" xfId="0" applyNumberFormat="1" applyFont="1" applyFill="1" applyBorder="1" applyAlignment="1">
      <alignment horizontal="center" vertical="center"/>
    </xf>
    <xf numFmtId="38" fontId="12" fillId="0" borderId="60" xfId="0" applyNumberFormat="1" applyFont="1" applyFill="1" applyBorder="1" applyAlignment="1">
      <alignment horizontal="center" vertical="center"/>
    </xf>
    <xf numFmtId="38" fontId="12" fillId="0" borderId="60" xfId="0" applyNumberFormat="1" applyFont="1" applyFill="1" applyBorder="1" applyAlignment="1">
      <alignment wrapText="1"/>
    </xf>
    <xf numFmtId="38" fontId="9" fillId="0" borderId="60" xfId="0" applyNumberFormat="1" applyFont="1" applyFill="1" applyBorder="1" applyAlignment="1">
      <alignment vertical="center" wrapText="1"/>
    </xf>
    <xf numFmtId="38" fontId="3" fillId="0" borderId="0" xfId="0" applyNumberFormat="1" applyFont="1" applyFill="1" applyBorder="1" applyAlignment="1">
      <alignment horizontal="left" vertical="center"/>
    </xf>
    <xf numFmtId="38" fontId="65" fillId="0" borderId="60" xfId="0" applyNumberFormat="1" applyFont="1" applyFill="1" applyBorder="1" applyAlignment="1">
      <alignment wrapText="1"/>
    </xf>
    <xf numFmtId="0" fontId="38" fillId="0" borderId="58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38" fontId="12" fillId="4" borderId="60" xfId="0" applyNumberFormat="1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172" fontId="22" fillId="4" borderId="12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43" fontId="9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38" fontId="12" fillId="39" borderId="60" xfId="0" applyNumberFormat="1" applyFont="1" applyFill="1" applyBorder="1" applyAlignment="1">
      <alignment wrapText="1"/>
    </xf>
    <xf numFmtId="38" fontId="9" fillId="39" borderId="60" xfId="0" applyNumberFormat="1" applyFont="1" applyFill="1" applyBorder="1" applyAlignment="1">
      <alignment wrapText="1"/>
    </xf>
    <xf numFmtId="38" fontId="12" fillId="39" borderId="60" xfId="0" applyNumberFormat="1" applyFont="1" applyFill="1" applyBorder="1" applyAlignment="1">
      <alignment horizontal="center" vertical="center"/>
    </xf>
    <xf numFmtId="4" fontId="10" fillId="39" borderId="60" xfId="0" applyNumberFormat="1" applyFont="1" applyFill="1" applyBorder="1" applyAlignment="1">
      <alignment horizontal="right" vertical="center" wrapText="1"/>
    </xf>
    <xf numFmtId="0" fontId="38" fillId="39" borderId="58" xfId="0" applyFont="1" applyFill="1" applyBorder="1" applyAlignment="1">
      <alignment vertical="center"/>
    </xf>
    <xf numFmtId="0" fontId="39" fillId="39" borderId="60" xfId="0" applyFont="1" applyFill="1" applyBorder="1" applyAlignment="1">
      <alignment vertical="center"/>
    </xf>
    <xf numFmtId="172" fontId="23" fillId="39" borderId="24" xfId="0" applyNumberFormat="1" applyFont="1" applyFill="1" applyBorder="1" applyAlignment="1">
      <alignment horizontal="center" vertical="center" wrapText="1"/>
    </xf>
    <xf numFmtId="38" fontId="63" fillId="39" borderId="60" xfId="0" applyNumberFormat="1" applyFont="1" applyFill="1" applyBorder="1" applyAlignment="1">
      <alignment horizontal="center" vertical="center"/>
    </xf>
    <xf numFmtId="0" fontId="0" fillId="0" borderId="0" xfId="0" applyAlignment="1" applyProtection="1">
      <alignment vertical="center"/>
    </xf>
    <xf numFmtId="38" fontId="10" fillId="39" borderId="60" xfId="0" applyNumberFormat="1" applyFont="1" applyFill="1" applyBorder="1" applyAlignment="1">
      <alignment wrapText="1"/>
    </xf>
    <xf numFmtId="38" fontId="10" fillId="39" borderId="60" xfId="0" applyNumberFormat="1" applyFont="1" applyFill="1" applyBorder="1" applyAlignment="1">
      <alignment horizontal="center" vertical="center"/>
    </xf>
    <xf numFmtId="1" fontId="3" fillId="3" borderId="3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38" fontId="12" fillId="39" borderId="60" xfId="0" applyNumberFormat="1" applyFont="1" applyFill="1" applyBorder="1" applyAlignment="1">
      <alignment horizontal="left" vertical="center"/>
    </xf>
    <xf numFmtId="38" fontId="12" fillId="39" borderId="60" xfId="0" applyNumberFormat="1" applyFont="1" applyFill="1" applyBorder="1" applyAlignment="1"/>
    <xf numFmtId="2" fontId="3" fillId="3" borderId="11" xfId="0" applyNumberFormat="1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172" fontId="22" fillId="39" borderId="3" xfId="0" applyNumberFormat="1" applyFont="1" applyFill="1" applyBorder="1" applyAlignment="1">
      <alignment horizontal="center" vertical="center" wrapText="1"/>
    </xf>
    <xf numFmtId="2" fontId="3" fillId="4" borderId="27" xfId="0" applyNumberFormat="1" applyFont="1" applyFill="1" applyBorder="1" applyAlignment="1">
      <alignment horizontal="center" vertical="center" wrapText="1"/>
    </xf>
    <xf numFmtId="172" fontId="22" fillId="4" borderId="3" xfId="0" applyNumberFormat="1" applyFont="1" applyFill="1" applyBorder="1" applyAlignment="1">
      <alignment horizontal="center" vertical="center" wrapText="1"/>
    </xf>
    <xf numFmtId="170" fontId="3" fillId="0" borderId="11" xfId="0" applyNumberFormat="1" applyFont="1" applyFill="1" applyBorder="1" applyAlignment="1">
      <alignment horizontal="center" vertical="center"/>
    </xf>
    <xf numFmtId="182" fontId="22" fillId="39" borderId="3" xfId="0" applyNumberFormat="1" applyFont="1" applyFill="1" applyBorder="1" applyAlignment="1">
      <alignment horizontal="center" vertical="center" wrapText="1"/>
    </xf>
    <xf numFmtId="14" fontId="3" fillId="3" borderId="0" xfId="0" applyNumberFormat="1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3" fillId="3" borderId="0" xfId="0" applyFont="1" applyFill="1" applyAlignment="1">
      <alignment vertical="top"/>
    </xf>
    <xf numFmtId="0" fontId="3" fillId="3" borderId="0" xfId="0" applyFont="1" applyFill="1"/>
    <xf numFmtId="0" fontId="10" fillId="3" borderId="0" xfId="0" applyFont="1" applyFill="1" applyAlignment="1">
      <alignment vertical="center"/>
    </xf>
    <xf numFmtId="0" fontId="2" fillId="3" borderId="12" xfId="0" applyFont="1" applyFill="1" applyBorder="1" applyAlignment="1">
      <alignment horizontal="left" vertical="center"/>
    </xf>
    <xf numFmtId="14" fontId="3" fillId="3" borderId="10" xfId="0" applyNumberFormat="1" applyFont="1" applyFill="1" applyBorder="1" applyAlignment="1">
      <alignment horizontal="centerContinuous" vertical="center"/>
    </xf>
    <xf numFmtId="1" fontId="3" fillId="3" borderId="10" xfId="0" applyNumberFormat="1" applyFont="1" applyFill="1" applyBorder="1" applyAlignment="1">
      <alignment horizontal="centerContinuous" vertical="center"/>
    </xf>
    <xf numFmtId="171" fontId="15" fillId="3" borderId="10" xfId="0" applyNumberFormat="1" applyFont="1" applyFill="1" applyBorder="1" applyAlignment="1">
      <alignment horizontal="centerContinuous" vertical="center"/>
    </xf>
    <xf numFmtId="0" fontId="3" fillId="3" borderId="13" xfId="0" applyFont="1" applyFill="1" applyBorder="1" applyAlignment="1">
      <alignment horizontal="centerContinuous" vertical="center"/>
    </xf>
    <xf numFmtId="0" fontId="3" fillId="3" borderId="0" xfId="0" applyFont="1" applyFill="1" applyBorder="1" applyAlignment="1">
      <alignment horizontal="center" vertical="center"/>
    </xf>
    <xf numFmtId="2" fontId="3" fillId="3" borderId="0" xfId="0" applyNumberFormat="1" applyFont="1" applyFill="1" applyBorder="1" applyAlignment="1">
      <alignment horizontal="center" vertical="center"/>
    </xf>
    <xf numFmtId="0" fontId="28" fillId="3" borderId="12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38" fontId="3" fillId="3" borderId="0" xfId="0" applyNumberFormat="1" applyFont="1" applyFill="1" applyBorder="1" applyAlignment="1">
      <alignment horizontal="left" vertical="center"/>
    </xf>
    <xf numFmtId="177" fontId="28" fillId="3" borderId="10" xfId="0" applyNumberFormat="1" applyFont="1" applyFill="1" applyBorder="1" applyAlignment="1">
      <alignment horizontal="left" vertical="center" wrapText="1"/>
    </xf>
    <xf numFmtId="174" fontId="28" fillId="3" borderId="10" xfId="0" applyNumberFormat="1" applyFont="1" applyFill="1" applyBorder="1" applyAlignment="1">
      <alignment vertical="center" wrapText="1"/>
    </xf>
    <xf numFmtId="174" fontId="28" fillId="3" borderId="13" xfId="0" applyNumberFormat="1" applyFont="1" applyFill="1" applyBorder="1" applyAlignment="1">
      <alignment vertical="center" wrapText="1"/>
    </xf>
    <xf numFmtId="170" fontId="10" fillId="3" borderId="0" xfId="0" applyNumberFormat="1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3" fillId="3" borderId="0" xfId="0" applyNumberFormat="1" applyFont="1" applyFill="1" applyBorder="1" applyAlignment="1">
      <alignment horizontal="centerContinuous" vertical="center"/>
    </xf>
    <xf numFmtId="0" fontId="10" fillId="3" borderId="0" xfId="0" applyNumberFormat="1" applyFont="1" applyFill="1" applyBorder="1" applyAlignment="1">
      <alignment horizontal="centerContinuous" vertical="center"/>
    </xf>
    <xf numFmtId="0" fontId="10" fillId="3" borderId="0" xfId="0" applyNumberFormat="1" applyFont="1" applyFill="1" applyAlignment="1">
      <alignment horizontal="center" vertical="center"/>
    </xf>
    <xf numFmtId="0" fontId="3" fillId="3" borderId="0" xfId="0" applyNumberFormat="1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  <xf numFmtId="43" fontId="9" fillId="3" borderId="0" xfId="0" applyNumberFormat="1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1" xfId="0" applyNumberFormat="1" applyFont="1" applyFill="1" applyBorder="1" applyAlignment="1">
      <alignment horizontal="center" vertical="center"/>
    </xf>
    <xf numFmtId="0" fontId="29" fillId="3" borderId="11" xfId="0" applyNumberFormat="1" applyFont="1" applyFill="1" applyBorder="1" applyAlignment="1">
      <alignment horizontal="center" vertical="center"/>
    </xf>
    <xf numFmtId="14" fontId="3" fillId="3" borderId="11" xfId="0" applyNumberFormat="1" applyFont="1" applyFill="1" applyBorder="1" applyAlignment="1">
      <alignment horizontal="center" vertical="center"/>
    </xf>
    <xf numFmtId="38" fontId="3" fillId="3" borderId="11" xfId="0" applyNumberFormat="1" applyFont="1" applyFill="1" applyBorder="1" applyAlignment="1">
      <alignment horizontal="center" vertical="center"/>
    </xf>
    <xf numFmtId="43" fontId="3" fillId="3" borderId="0" xfId="0" applyNumberFormat="1" applyFont="1" applyFill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43" fontId="9" fillId="3" borderId="0" xfId="0" applyNumberFormat="1" applyFont="1" applyFill="1" applyBorder="1"/>
    <xf numFmtId="0" fontId="9" fillId="3" borderId="0" xfId="0" applyFont="1" applyFill="1" applyBorder="1"/>
    <xf numFmtId="0" fontId="10" fillId="3" borderId="0" xfId="0" applyFont="1" applyFill="1" applyBorder="1"/>
    <xf numFmtId="0" fontId="10" fillId="3" borderId="0" xfId="0" applyFont="1" applyFill="1"/>
    <xf numFmtId="0" fontId="9" fillId="3" borderId="0" xfId="0" applyFont="1" applyFill="1"/>
    <xf numFmtId="43" fontId="9" fillId="3" borderId="0" xfId="0" applyNumberFormat="1" applyFont="1" applyFill="1"/>
    <xf numFmtId="0" fontId="9" fillId="3" borderId="12" xfId="0" applyFont="1" applyFill="1" applyBorder="1" applyAlignment="1">
      <alignment horizontal="left"/>
    </xf>
    <xf numFmtId="0" fontId="9" fillId="3" borderId="10" xfId="0" applyFont="1" applyFill="1" applyBorder="1" applyAlignment="1">
      <alignment horizontal="left"/>
    </xf>
    <xf numFmtId="178" fontId="10" fillId="3" borderId="10" xfId="0" applyNumberFormat="1" applyFont="1" applyFill="1" applyBorder="1" applyAlignment="1">
      <alignment horizontal="left"/>
    </xf>
    <xf numFmtId="178" fontId="9" fillId="3" borderId="10" xfId="0" applyNumberFormat="1" applyFont="1" applyFill="1" applyBorder="1" applyAlignment="1">
      <alignment wrapText="1"/>
    </xf>
    <xf numFmtId="0" fontId="9" fillId="3" borderId="10" xfId="0" applyFont="1" applyFill="1" applyBorder="1" applyAlignment="1">
      <alignment horizontal="centerContinuous" vertical="center"/>
    </xf>
    <xf numFmtId="0" fontId="9" fillId="3" borderId="13" xfId="0" applyFont="1" applyFill="1" applyBorder="1" applyAlignment="1">
      <alignment horizontal="centerContinuous" vertical="center"/>
    </xf>
    <xf numFmtId="180" fontId="33" fillId="3" borderId="10" xfId="0" applyNumberFormat="1" applyFont="1" applyFill="1" applyBorder="1" applyAlignment="1">
      <alignment vertical="center" wrapText="1"/>
    </xf>
    <xf numFmtId="174" fontId="9" fillId="3" borderId="10" xfId="0" applyNumberFormat="1" applyFont="1" applyFill="1" applyBorder="1" applyAlignment="1">
      <alignment vertical="center" wrapText="1"/>
    </xf>
    <xf numFmtId="174" fontId="9" fillId="3" borderId="13" xfId="0" applyNumberFormat="1" applyFont="1" applyFill="1" applyBorder="1" applyAlignment="1">
      <alignment vertical="center" wrapText="1"/>
    </xf>
    <xf numFmtId="0" fontId="10" fillId="3" borderId="0" xfId="0" applyFont="1" applyFill="1" applyAlignment="1">
      <alignment horizontal="center" vertical="center"/>
    </xf>
    <xf numFmtId="43" fontId="10" fillId="3" borderId="0" xfId="0" applyNumberFormat="1" applyFont="1" applyFill="1" applyAlignment="1">
      <alignment horizontal="center" vertical="center"/>
    </xf>
    <xf numFmtId="43" fontId="10" fillId="3" borderId="0" xfId="0" applyNumberFormat="1" applyFont="1" applyFill="1"/>
    <xf numFmtId="14" fontId="2" fillId="3" borderId="0" xfId="0" applyNumberFormat="1" applyFont="1" applyFill="1" applyBorder="1" applyAlignment="1">
      <alignment horizontal="center" vertical="center"/>
    </xf>
    <xf numFmtId="171" fontId="15" fillId="3" borderId="0" xfId="0" applyNumberFormat="1" applyFont="1" applyFill="1" applyBorder="1" applyAlignment="1">
      <alignment horizontal="center" vertical="center" wrapText="1"/>
    </xf>
    <xf numFmtId="2" fontId="3" fillId="3" borderId="0" xfId="0" applyNumberFormat="1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right" vertical="center" wrapText="1"/>
    </xf>
    <xf numFmtId="170" fontId="3" fillId="3" borderId="0" xfId="0" applyNumberFormat="1" applyFont="1" applyFill="1" applyAlignment="1">
      <alignment horizontal="center" vertical="center"/>
    </xf>
    <xf numFmtId="0" fontId="0" fillId="3" borderId="0" xfId="0" applyFill="1"/>
    <xf numFmtId="179" fontId="10" fillId="3" borderId="0" xfId="0" applyNumberFormat="1" applyFont="1" applyFill="1" applyBorder="1" applyAlignment="1">
      <alignment vertical="center"/>
    </xf>
    <xf numFmtId="178" fontId="13" fillId="3" borderId="0" xfId="0" applyNumberFormat="1" applyFont="1" applyFill="1" applyBorder="1" applyAlignment="1">
      <alignment horizontal="center" vertical="center"/>
    </xf>
    <xf numFmtId="43" fontId="13" fillId="3" borderId="0" xfId="0" applyNumberFormat="1" applyFont="1" applyFill="1" applyBorder="1" applyAlignment="1">
      <alignment horizontal="center" vertical="center"/>
    </xf>
    <xf numFmtId="179" fontId="30" fillId="3" borderId="0" xfId="0" applyNumberFormat="1" applyFont="1" applyFill="1" applyBorder="1" applyAlignment="1">
      <alignment vertical="center"/>
    </xf>
    <xf numFmtId="178" fontId="30" fillId="3" borderId="0" xfId="0" applyNumberFormat="1" applyFont="1" applyFill="1" applyBorder="1" applyAlignment="1">
      <alignment horizontal="center" vertical="center"/>
    </xf>
    <xf numFmtId="43" fontId="30" fillId="3" borderId="0" xfId="0" applyNumberFormat="1" applyFont="1" applyFill="1" applyBorder="1" applyAlignment="1">
      <alignment horizontal="center" vertical="center"/>
    </xf>
    <xf numFmtId="0" fontId="13" fillId="3" borderId="28" xfId="0" applyFont="1" applyFill="1" applyBorder="1" applyAlignment="1">
      <alignment horizontal="center"/>
    </xf>
    <xf numFmtId="0" fontId="30" fillId="3" borderId="0" xfId="0" applyNumberFormat="1" applyFont="1" applyFill="1" applyBorder="1" applyAlignment="1">
      <alignment vertical="center"/>
    </xf>
    <xf numFmtId="14" fontId="30" fillId="3" borderId="0" xfId="0" applyNumberFormat="1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/>
    </xf>
    <xf numFmtId="0" fontId="15" fillId="3" borderId="0" xfId="0" applyFont="1" applyFill="1" applyBorder="1" applyAlignment="1">
      <alignment vertical="center"/>
    </xf>
    <xf numFmtId="43" fontId="3" fillId="3" borderId="0" xfId="0" applyNumberFormat="1" applyFont="1" applyFill="1" applyAlignment="1">
      <alignment horizontal="center" vertical="center"/>
    </xf>
    <xf numFmtId="14" fontId="10" fillId="3" borderId="0" xfId="0" applyNumberFormat="1" applyFont="1" applyFill="1" applyAlignment="1">
      <alignment horizontal="center" vertical="center"/>
    </xf>
    <xf numFmtId="1" fontId="3" fillId="3" borderId="0" xfId="0" applyNumberFormat="1" applyFont="1" applyFill="1" applyAlignment="1">
      <alignment horizontal="center" vertical="center"/>
    </xf>
    <xf numFmtId="171" fontId="15" fillId="3" borderId="0" xfId="0" applyNumberFormat="1" applyFont="1" applyFill="1" applyAlignment="1">
      <alignment horizontal="center" vertical="center"/>
    </xf>
    <xf numFmtId="166" fontId="3" fillId="3" borderId="3" xfId="0" quotePrefix="1" applyNumberFormat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170" fontId="3" fillId="3" borderId="3" xfId="0" applyNumberFormat="1" applyFont="1" applyFill="1" applyBorder="1" applyAlignment="1">
      <alignment vertical="center"/>
    </xf>
    <xf numFmtId="170" fontId="3" fillId="3" borderId="3" xfId="0" applyNumberFormat="1" applyFont="1" applyFill="1" applyBorder="1" applyAlignment="1">
      <alignment horizontal="center" vertical="center"/>
    </xf>
    <xf numFmtId="182" fontId="23" fillId="3" borderId="24" xfId="0" applyNumberFormat="1" applyFont="1" applyFill="1" applyBorder="1" applyAlignment="1">
      <alignment horizontal="center" vertical="center" wrapText="1"/>
    </xf>
    <xf numFmtId="170" fontId="22" fillId="41" borderId="3" xfId="0" applyNumberFormat="1" applyFont="1" applyFill="1" applyBorder="1" applyAlignment="1">
      <alignment horizontal="center" vertical="center" wrapText="1"/>
    </xf>
    <xf numFmtId="172" fontId="22" fillId="41" borderId="3" xfId="0" applyNumberFormat="1" applyFont="1" applyFill="1" applyBorder="1" applyAlignment="1">
      <alignment horizontal="center" vertical="center" wrapText="1"/>
    </xf>
    <xf numFmtId="172" fontId="23" fillId="41" borderId="24" xfId="0" applyNumberFormat="1" applyFont="1" applyFill="1" applyBorder="1" applyAlignment="1">
      <alignment horizontal="center" vertical="center" wrapText="1"/>
    </xf>
    <xf numFmtId="2" fontId="3" fillId="41" borderId="3" xfId="0" applyNumberFormat="1" applyFont="1" applyFill="1" applyBorder="1" applyAlignment="1">
      <alignment vertical="center"/>
    </xf>
    <xf numFmtId="0" fontId="3" fillId="41" borderId="3" xfId="0" applyFont="1" applyFill="1" applyBorder="1" applyAlignment="1">
      <alignment vertical="center"/>
    </xf>
    <xf numFmtId="2" fontId="3" fillId="41" borderId="3" xfId="0" applyNumberFormat="1" applyFont="1" applyFill="1" applyBorder="1" applyAlignment="1">
      <alignment horizontal="center" vertical="center"/>
    </xf>
    <xf numFmtId="2" fontId="3" fillId="42" borderId="3" xfId="0" applyNumberFormat="1" applyFont="1" applyFill="1" applyBorder="1" applyAlignment="1">
      <alignment vertical="center"/>
    </xf>
    <xf numFmtId="2" fontId="3" fillId="42" borderId="3" xfId="0" applyNumberFormat="1" applyFont="1" applyFill="1" applyBorder="1" applyAlignment="1">
      <alignment horizontal="center" vertical="center"/>
    </xf>
    <xf numFmtId="172" fontId="22" fillId="42" borderId="3" xfId="0" applyNumberFormat="1" applyFont="1" applyFill="1" applyBorder="1" applyAlignment="1">
      <alignment horizontal="center" vertical="center" wrapText="1"/>
    </xf>
    <xf numFmtId="172" fontId="22" fillId="42" borderId="12" xfId="0" applyNumberFormat="1" applyFont="1" applyFill="1" applyBorder="1" applyAlignment="1">
      <alignment horizontal="center" vertical="center" wrapText="1"/>
    </xf>
    <xf numFmtId="2" fontId="3" fillId="4" borderId="75" xfId="0" applyNumberFormat="1" applyFont="1" applyFill="1" applyBorder="1" applyAlignment="1">
      <alignment horizontal="center" vertical="center" wrapText="1"/>
    </xf>
    <xf numFmtId="183" fontId="3" fillId="0" borderId="0" xfId="0" applyNumberFormat="1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64" fillId="3" borderId="0" xfId="0" applyFont="1" applyFill="1"/>
    <xf numFmtId="167" fontId="64" fillId="3" borderId="0" xfId="0" applyNumberFormat="1" applyFont="1" applyFill="1"/>
    <xf numFmtId="0" fontId="12" fillId="3" borderId="0" xfId="0" applyFont="1" applyFill="1"/>
    <xf numFmtId="169" fontId="12" fillId="3" borderId="0" xfId="0" applyNumberFormat="1" applyFont="1" applyFill="1"/>
    <xf numFmtId="43" fontId="12" fillId="3" borderId="0" xfId="0" applyNumberFormat="1" applyFont="1" applyFill="1"/>
    <xf numFmtId="2" fontId="12" fillId="3" borderId="0" xfId="0" applyNumberFormat="1" applyFont="1" applyFill="1"/>
    <xf numFmtId="170" fontId="22" fillId="3" borderId="12" xfId="0" applyNumberFormat="1" applyFont="1" applyFill="1" applyBorder="1" applyAlignment="1">
      <alignment horizontal="center" vertical="center" wrapText="1"/>
    </xf>
    <xf numFmtId="2" fontId="3" fillId="41" borderId="27" xfId="0" applyNumberFormat="1" applyFont="1" applyFill="1" applyBorder="1" applyAlignment="1">
      <alignment horizontal="center" vertical="center" wrapText="1"/>
    </xf>
    <xf numFmtId="0" fontId="3" fillId="41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2" fontId="3" fillId="4" borderId="57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3" fillId="41" borderId="1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2" fontId="3" fillId="41" borderId="44" xfId="0" applyNumberFormat="1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166" fontId="3" fillId="4" borderId="3" xfId="0" applyNumberFormat="1" applyFont="1" applyFill="1" applyBorder="1" applyAlignment="1">
      <alignment horizontal="center" vertical="center" wrapText="1"/>
    </xf>
    <xf numFmtId="2" fontId="3" fillId="4" borderId="3" xfId="0" applyNumberFormat="1" applyFont="1" applyFill="1" applyBorder="1" applyAlignment="1">
      <alignment vertical="center"/>
    </xf>
    <xf numFmtId="2" fontId="3" fillId="4" borderId="3" xfId="0" applyNumberFormat="1" applyFont="1" applyFill="1" applyBorder="1" applyAlignment="1">
      <alignment horizontal="center" vertical="center"/>
    </xf>
    <xf numFmtId="43" fontId="9" fillId="4" borderId="0" xfId="0" applyNumberFormat="1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 vertical="center"/>
    </xf>
    <xf numFmtId="14" fontId="3" fillId="4" borderId="11" xfId="0" applyNumberFormat="1" applyFont="1" applyFill="1" applyBorder="1" applyAlignment="1">
      <alignment horizontal="center" vertical="center"/>
    </xf>
    <xf numFmtId="38" fontId="3" fillId="4" borderId="11" xfId="0" applyNumberFormat="1" applyFont="1" applyFill="1" applyBorder="1" applyAlignment="1">
      <alignment horizontal="center" vertical="center"/>
    </xf>
    <xf numFmtId="2" fontId="22" fillId="3" borderId="12" xfId="0" applyNumberFormat="1" applyFont="1" applyFill="1" applyBorder="1" applyAlignment="1">
      <alignment horizontal="center" vertical="center" wrapText="1"/>
    </xf>
    <xf numFmtId="184" fontId="22" fillId="39" borderId="3" xfId="0" applyNumberFormat="1" applyFont="1" applyFill="1" applyBorder="1" applyAlignment="1">
      <alignment horizontal="center" vertical="center" wrapText="1"/>
    </xf>
    <xf numFmtId="0" fontId="3" fillId="43" borderId="26" xfId="0" applyFont="1" applyFill="1" applyBorder="1" applyAlignment="1">
      <alignment horizontal="center" vertical="center" wrapText="1"/>
    </xf>
    <xf numFmtId="166" fontId="3" fillId="43" borderId="3" xfId="0" applyNumberFormat="1" applyFont="1" applyFill="1" applyBorder="1" applyAlignment="1">
      <alignment horizontal="center" vertical="center" wrapText="1"/>
    </xf>
    <xf numFmtId="2" fontId="3" fillId="43" borderId="3" xfId="0" applyNumberFormat="1" applyFont="1" applyFill="1" applyBorder="1" applyAlignment="1">
      <alignment vertical="center"/>
    </xf>
    <xf numFmtId="2" fontId="3" fillId="43" borderId="3" xfId="0" applyNumberFormat="1" applyFont="1" applyFill="1" applyBorder="1" applyAlignment="1">
      <alignment horizontal="center" vertical="center"/>
    </xf>
    <xf numFmtId="172" fontId="22" fillId="43" borderId="3" xfId="0" applyNumberFormat="1" applyFont="1" applyFill="1" applyBorder="1" applyAlignment="1">
      <alignment horizontal="center" vertical="center" wrapText="1"/>
    </xf>
    <xf numFmtId="172" fontId="22" fillId="43" borderId="12" xfId="0" applyNumberFormat="1" applyFont="1" applyFill="1" applyBorder="1" applyAlignment="1">
      <alignment horizontal="center" vertical="center" wrapText="1"/>
    </xf>
    <xf numFmtId="0" fontId="3" fillId="43" borderId="0" xfId="0" applyFont="1" applyFill="1" applyAlignment="1">
      <alignment horizontal="center" vertical="center"/>
    </xf>
    <xf numFmtId="43" fontId="9" fillId="43" borderId="0" xfId="0" applyNumberFormat="1" applyFont="1" applyFill="1" applyBorder="1" applyAlignment="1">
      <alignment horizontal="center"/>
    </xf>
    <xf numFmtId="0" fontId="3" fillId="43" borderId="11" xfId="0" applyFont="1" applyFill="1" applyBorder="1" applyAlignment="1">
      <alignment horizontal="center" vertical="center"/>
    </xf>
    <xf numFmtId="14" fontId="3" fillId="43" borderId="11" xfId="0" applyNumberFormat="1" applyFont="1" applyFill="1" applyBorder="1" applyAlignment="1">
      <alignment horizontal="center" vertical="center"/>
    </xf>
    <xf numFmtId="38" fontId="3" fillId="43" borderId="11" xfId="0" applyNumberFormat="1" applyFont="1" applyFill="1" applyBorder="1" applyAlignment="1">
      <alignment horizontal="center" vertical="center"/>
    </xf>
    <xf numFmtId="182" fontId="22" fillId="43" borderId="3" xfId="0" applyNumberFormat="1" applyFont="1" applyFill="1" applyBorder="1" applyAlignment="1">
      <alignment horizontal="center" vertical="center" wrapText="1"/>
    </xf>
    <xf numFmtId="184" fontId="22" fillId="43" borderId="3" xfId="0" applyNumberFormat="1" applyFont="1" applyFill="1" applyBorder="1" applyAlignment="1">
      <alignment horizontal="center" vertical="center" wrapText="1"/>
    </xf>
    <xf numFmtId="43" fontId="3" fillId="43" borderId="0" xfId="0" applyNumberFormat="1" applyFont="1" applyFill="1" applyAlignment="1">
      <alignment horizontal="center" vertical="center"/>
    </xf>
    <xf numFmtId="183" fontId="3" fillId="43" borderId="0" xfId="0" applyNumberFormat="1" applyFont="1" applyFill="1" applyAlignment="1">
      <alignment horizontal="center" vertical="center"/>
    </xf>
    <xf numFmtId="182" fontId="22" fillId="43" borderId="12" xfId="0" applyNumberFormat="1" applyFont="1" applyFill="1" applyBorder="1" applyAlignment="1">
      <alignment horizontal="center" vertical="center" wrapText="1"/>
    </xf>
    <xf numFmtId="184" fontId="22" fillId="43" borderId="12" xfId="0" applyNumberFormat="1" applyFont="1" applyFill="1" applyBorder="1" applyAlignment="1">
      <alignment horizontal="center" vertical="center" wrapText="1"/>
    </xf>
    <xf numFmtId="183" fontId="3" fillId="43" borderId="26" xfId="0" applyNumberFormat="1" applyFont="1" applyFill="1" applyBorder="1" applyAlignment="1">
      <alignment horizontal="center" vertical="center" wrapText="1"/>
    </xf>
    <xf numFmtId="183" fontId="3" fillId="43" borderId="3" xfId="0" applyNumberFormat="1" applyFont="1" applyFill="1" applyBorder="1" applyAlignment="1">
      <alignment horizontal="center" vertical="center" wrapText="1"/>
    </xf>
    <xf numFmtId="183" fontId="3" fillId="43" borderId="3" xfId="0" applyNumberFormat="1" applyFont="1" applyFill="1" applyBorder="1" applyAlignment="1">
      <alignment vertical="center"/>
    </xf>
    <xf numFmtId="183" fontId="3" fillId="43" borderId="3" xfId="0" applyNumberFormat="1" applyFont="1" applyFill="1" applyBorder="1" applyAlignment="1">
      <alignment horizontal="center" vertical="center"/>
    </xf>
    <xf numFmtId="183" fontId="22" fillId="43" borderId="3" xfId="0" applyNumberFormat="1" applyFont="1" applyFill="1" applyBorder="1" applyAlignment="1">
      <alignment horizontal="center" vertical="center" wrapText="1"/>
    </xf>
    <xf numFmtId="183" fontId="22" fillId="43" borderId="12" xfId="0" applyNumberFormat="1" applyFont="1" applyFill="1" applyBorder="1" applyAlignment="1">
      <alignment horizontal="center" vertical="center" wrapText="1"/>
    </xf>
    <xf numFmtId="183" fontId="9" fillId="43" borderId="0" xfId="0" applyNumberFormat="1" applyFont="1" applyFill="1" applyBorder="1" applyAlignment="1">
      <alignment horizontal="center"/>
    </xf>
    <xf numFmtId="183" fontId="3" fillId="43" borderId="11" xfId="0" applyNumberFormat="1" applyFont="1" applyFill="1" applyBorder="1" applyAlignment="1">
      <alignment horizontal="center" vertical="center"/>
    </xf>
    <xf numFmtId="170" fontId="3" fillId="43" borderId="3" xfId="0" applyNumberFormat="1" applyFont="1" applyFill="1" applyBorder="1" applyAlignment="1">
      <alignment vertical="center"/>
    </xf>
    <xf numFmtId="170" fontId="3" fillId="43" borderId="3" xfId="0" applyNumberFormat="1" applyFont="1" applyFill="1" applyBorder="1" applyAlignment="1">
      <alignment horizontal="center" vertical="center"/>
    </xf>
    <xf numFmtId="170" fontId="22" fillId="43" borderId="3" xfId="0" applyNumberFormat="1" applyFont="1" applyFill="1" applyBorder="1" applyAlignment="1">
      <alignment horizontal="center" vertical="center" wrapText="1"/>
    </xf>
    <xf numFmtId="170" fontId="22" fillId="43" borderId="12" xfId="0" applyNumberFormat="1" applyFont="1" applyFill="1" applyBorder="1" applyAlignment="1">
      <alignment horizontal="center" vertical="center" wrapText="1"/>
    </xf>
    <xf numFmtId="186" fontId="22" fillId="43" borderId="3" xfId="0" applyNumberFormat="1" applyFont="1" applyFill="1" applyBorder="1" applyAlignment="1">
      <alignment horizontal="center" vertical="center" wrapText="1"/>
    </xf>
    <xf numFmtId="185" fontId="22" fillId="43" borderId="12" xfId="0" applyNumberFormat="1" applyFont="1" applyFill="1" applyBorder="1" applyAlignment="1">
      <alignment horizontal="center" vertical="center" wrapText="1"/>
    </xf>
    <xf numFmtId="184" fontId="23" fillId="3" borderId="24" xfId="0" applyNumberFormat="1" applyFont="1" applyFill="1" applyBorder="1" applyAlignment="1">
      <alignment horizontal="center" vertical="center" wrapText="1"/>
    </xf>
    <xf numFmtId="0" fontId="65" fillId="40" borderId="26" xfId="0" applyFont="1" applyFill="1" applyBorder="1" applyAlignment="1">
      <alignment horizontal="center" vertical="center" wrapText="1"/>
    </xf>
    <xf numFmtId="0" fontId="65" fillId="40" borderId="11" xfId="0" applyFont="1" applyFill="1" applyBorder="1" applyAlignment="1">
      <alignment horizontal="left" vertical="center" wrapText="1"/>
    </xf>
    <xf numFmtId="0" fontId="12" fillId="40" borderId="11" xfId="0" applyFont="1" applyFill="1" applyBorder="1" applyAlignment="1">
      <alignment horizontal="center" vertical="center" wrapText="1"/>
    </xf>
    <xf numFmtId="0" fontId="70" fillId="40" borderId="11" xfId="0" applyFont="1" applyFill="1" applyBorder="1" applyAlignment="1">
      <alignment horizontal="center" vertical="center" wrapText="1"/>
    </xf>
    <xf numFmtId="0" fontId="64" fillId="40" borderId="27" xfId="0" applyFont="1" applyFill="1" applyBorder="1" applyAlignment="1">
      <alignment horizontal="center" vertical="center" wrapText="1"/>
    </xf>
    <xf numFmtId="4" fontId="12" fillId="3" borderId="11" xfId="0" applyNumberFormat="1" applyFont="1" applyFill="1" applyBorder="1" applyAlignment="1">
      <alignment horizontal="right" vertical="center" wrapText="1"/>
    </xf>
    <xf numFmtId="38" fontId="12" fillId="3" borderId="11" xfId="0" applyNumberFormat="1" applyFont="1" applyFill="1" applyBorder="1" applyAlignment="1">
      <alignment wrapText="1"/>
    </xf>
    <xf numFmtId="167" fontId="68" fillId="3" borderId="11" xfId="0" applyNumberFormat="1" applyFont="1" applyFill="1" applyBorder="1" applyAlignment="1">
      <alignment vertical="center" wrapText="1"/>
    </xf>
    <xf numFmtId="167" fontId="12" fillId="3" borderId="27" xfId="0" applyNumberFormat="1" applyFont="1" applyFill="1" applyBorder="1" applyAlignment="1">
      <alignment vertical="center" wrapText="1"/>
    </xf>
    <xf numFmtId="38" fontId="12" fillId="3" borderId="11" xfId="0" applyNumberFormat="1" applyFont="1" applyFill="1" applyBorder="1" applyAlignment="1">
      <alignment vertical="center" wrapText="1"/>
    </xf>
    <xf numFmtId="38" fontId="65" fillId="3" borderId="11" xfId="0" applyNumberFormat="1" applyFont="1" applyFill="1" applyBorder="1" applyAlignment="1">
      <alignment vertical="center" wrapText="1"/>
    </xf>
    <xf numFmtId="4" fontId="12" fillId="40" borderId="11" xfId="0" applyNumberFormat="1" applyFont="1" applyFill="1" applyBorder="1" applyAlignment="1">
      <alignment horizontal="right" vertical="center" wrapText="1"/>
    </xf>
    <xf numFmtId="167" fontId="68" fillId="40" borderId="11" xfId="0" applyNumberFormat="1" applyFont="1" applyFill="1" applyBorder="1" applyAlignment="1">
      <alignment horizontal="center" vertical="center" wrapText="1"/>
    </xf>
    <xf numFmtId="167" fontId="12" fillId="40" borderId="27" xfId="0" applyNumberFormat="1" applyFont="1" applyFill="1" applyBorder="1" applyAlignment="1">
      <alignment horizontal="center" vertical="center" wrapText="1"/>
    </xf>
    <xf numFmtId="181" fontId="12" fillId="3" borderId="0" xfId="0" applyNumberFormat="1" applyFont="1" applyFill="1"/>
    <xf numFmtId="167" fontId="12" fillId="3" borderId="0" xfId="0" applyNumberFormat="1" applyFont="1" applyFill="1"/>
    <xf numFmtId="0" fontId="65" fillId="3" borderId="0" xfId="0" applyFont="1" applyFill="1"/>
    <xf numFmtId="181" fontId="65" fillId="3" borderId="0" xfId="0" applyNumberFormat="1" applyFont="1" applyFill="1"/>
    <xf numFmtId="167" fontId="65" fillId="3" borderId="0" xfId="0" applyNumberFormat="1" applyFont="1" applyFill="1"/>
    <xf numFmtId="181" fontId="12" fillId="3" borderId="0" xfId="0" applyNumberFormat="1" applyFont="1" applyFill="1" applyAlignment="1">
      <alignment horizontal="center" vertical="center"/>
    </xf>
    <xf numFmtId="0" fontId="12" fillId="3" borderId="0" xfId="0" applyFont="1" applyFill="1" applyAlignment="1"/>
    <xf numFmtId="0" fontId="64" fillId="3" borderId="0" xfId="0" applyFont="1" applyFill="1" applyAlignment="1">
      <alignment horizontal="left"/>
    </xf>
    <xf numFmtId="0" fontId="70" fillId="3" borderId="0" xfId="0" applyFont="1" applyFill="1" applyAlignment="1"/>
    <xf numFmtId="0" fontId="64" fillId="3" borderId="0" xfId="0" applyFont="1" applyFill="1" applyAlignment="1"/>
    <xf numFmtId="167" fontId="12" fillId="3" borderId="0" xfId="0" applyNumberFormat="1" applyFont="1" applyFill="1" applyAlignment="1"/>
    <xf numFmtId="0" fontId="67" fillId="3" borderId="0" xfId="0" applyFont="1" applyFill="1"/>
    <xf numFmtId="167" fontId="67" fillId="3" borderId="0" xfId="0" applyNumberFormat="1" applyFont="1" applyFill="1"/>
    <xf numFmtId="167" fontId="67" fillId="3" borderId="0" xfId="0" applyNumberFormat="1" applyFont="1" applyFill="1" applyAlignment="1">
      <alignment horizontal="center" vertical="center"/>
    </xf>
    <xf numFmtId="165" fontId="68" fillId="3" borderId="26" xfId="0" applyNumberFormat="1" applyFont="1" applyFill="1" applyBorder="1" applyAlignment="1">
      <alignment horizontal="center" vertical="center" wrapText="1"/>
    </xf>
    <xf numFmtId="165" fontId="68" fillId="3" borderId="11" xfId="0" applyNumberFormat="1" applyFont="1" applyFill="1" applyBorder="1" applyAlignment="1">
      <alignment horizontal="center" vertical="center" wrapText="1"/>
    </xf>
    <xf numFmtId="165" fontId="68" fillId="3" borderId="27" xfId="0" applyNumberFormat="1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/>
    </xf>
    <xf numFmtId="38" fontId="12" fillId="3" borderId="26" xfId="0" applyNumberFormat="1" applyFont="1" applyFill="1" applyBorder="1" applyAlignment="1">
      <alignment horizontal="center" vertical="center"/>
    </xf>
    <xf numFmtId="38" fontId="65" fillId="3" borderId="11" xfId="0" applyNumberFormat="1" applyFont="1" applyFill="1" applyBorder="1" applyAlignment="1">
      <alignment wrapText="1"/>
    </xf>
    <xf numFmtId="38" fontId="12" fillId="3" borderId="11" xfId="0" applyNumberFormat="1" applyFont="1" applyFill="1" applyBorder="1" applyAlignment="1">
      <alignment horizontal="center" vertical="center"/>
    </xf>
    <xf numFmtId="167" fontId="68" fillId="3" borderId="11" xfId="0" applyNumberFormat="1" applyFont="1" applyFill="1" applyBorder="1" applyAlignment="1">
      <alignment horizontal="center" vertical="center" wrapText="1"/>
    </xf>
    <xf numFmtId="167" fontId="12" fillId="3" borderId="27" xfId="0" applyNumberFormat="1" applyFont="1" applyFill="1" applyBorder="1" applyAlignment="1">
      <alignment horizontal="center" vertical="center" wrapText="1"/>
    </xf>
    <xf numFmtId="38" fontId="65" fillId="3" borderId="26" xfId="0" applyNumberFormat="1" applyFont="1" applyFill="1" applyBorder="1" applyAlignment="1">
      <alignment horizontal="center" vertical="center"/>
    </xf>
    <xf numFmtId="2" fontId="68" fillId="3" borderId="11" xfId="0" applyNumberFormat="1" applyFont="1" applyFill="1" applyBorder="1" applyAlignment="1">
      <alignment horizontal="center" vertical="center" wrapText="1"/>
    </xf>
    <xf numFmtId="2" fontId="22" fillId="3" borderId="27" xfId="0" applyNumberFormat="1" applyFont="1" applyFill="1" applyBorder="1" applyAlignment="1">
      <alignment horizontal="center" vertical="center" wrapText="1"/>
    </xf>
    <xf numFmtId="181" fontId="64" fillId="3" borderId="0" xfId="0" applyNumberFormat="1" applyFont="1" applyFill="1" applyAlignment="1"/>
    <xf numFmtId="167" fontId="5" fillId="3" borderId="11" xfId="0" applyNumberFormat="1" applyFont="1" applyFill="1" applyBorder="1" applyAlignment="1">
      <alignment horizontal="center" vertical="center" wrapText="1"/>
    </xf>
    <xf numFmtId="38" fontId="12" fillId="3" borderId="11" xfId="0" applyNumberFormat="1" applyFont="1" applyFill="1" applyBorder="1" applyAlignment="1"/>
    <xf numFmtId="38" fontId="12" fillId="3" borderId="11" xfId="0" applyNumberFormat="1" applyFont="1" applyFill="1" applyBorder="1" applyAlignment="1">
      <alignment horizontal="left" vertical="center"/>
    </xf>
    <xf numFmtId="167" fontId="68" fillId="3" borderId="27" xfId="0" applyNumberFormat="1" applyFont="1" applyFill="1" applyBorder="1" applyAlignment="1">
      <alignment horizontal="center" vertical="center" wrapText="1"/>
    </xf>
    <xf numFmtId="0" fontId="68" fillId="3" borderId="0" xfId="0" applyFont="1" applyFill="1"/>
    <xf numFmtId="0" fontId="65" fillId="3" borderId="0" xfId="0" applyFont="1" applyFill="1" applyBorder="1" applyAlignment="1">
      <alignment vertical="center"/>
    </xf>
    <xf numFmtId="0" fontId="12" fillId="3" borderId="11" xfId="0" applyFont="1" applyFill="1" applyBorder="1" applyAlignment="1">
      <alignment vertical="center"/>
    </xf>
    <xf numFmtId="2" fontId="12" fillId="3" borderId="11" xfId="0" applyNumberFormat="1" applyFont="1" applyFill="1" applyBorder="1" applyAlignment="1">
      <alignment vertical="center"/>
    </xf>
    <xf numFmtId="2" fontId="15" fillId="3" borderId="27" xfId="0" applyNumberFormat="1" applyFont="1" applyFill="1" applyBorder="1" applyAlignment="1">
      <alignment horizontal="center" vertical="center" wrapText="1"/>
    </xf>
    <xf numFmtId="167" fontId="65" fillId="3" borderId="27" xfId="0" applyNumberFormat="1" applyFont="1" applyFill="1" applyBorder="1" applyAlignment="1">
      <alignment horizontal="center" vertical="center" wrapText="1"/>
    </xf>
    <xf numFmtId="2" fontId="67" fillId="3" borderId="11" xfId="0" applyNumberFormat="1" applyFont="1" applyFill="1" applyBorder="1" applyAlignment="1">
      <alignment horizontal="center" vertical="center" wrapText="1"/>
    </xf>
    <xf numFmtId="167" fontId="67" fillId="3" borderId="11" xfId="0" applyNumberFormat="1" applyFont="1" applyFill="1" applyBorder="1" applyAlignment="1">
      <alignment horizontal="center" vertical="center" wrapText="1"/>
    </xf>
    <xf numFmtId="0" fontId="65" fillId="3" borderId="0" xfId="0" applyFont="1" applyFill="1" applyAlignment="1">
      <alignment horizontal="center" vertical="center" wrapText="1"/>
    </xf>
    <xf numFmtId="0" fontId="65" fillId="3" borderId="0" xfId="0" applyFont="1" applyFill="1" applyAlignment="1">
      <alignment horizontal="center"/>
    </xf>
    <xf numFmtId="0" fontId="12" fillId="3" borderId="0" xfId="0" applyFont="1" applyFill="1" applyAlignment="1">
      <alignment horizontal="center"/>
    </xf>
    <xf numFmtId="0" fontId="65" fillId="3" borderId="0" xfId="0" applyFont="1" applyFill="1" applyAlignment="1">
      <alignment vertical="center" wrapText="1"/>
    </xf>
    <xf numFmtId="0" fontId="67" fillId="3" borderId="0" xfId="0" applyFont="1" applyFill="1" applyAlignment="1">
      <alignment vertical="center" wrapText="1"/>
    </xf>
    <xf numFmtId="4" fontId="12" fillId="3" borderId="11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2" fontId="3" fillId="41" borderId="44" xfId="0" applyNumberFormat="1" applyFont="1" applyFill="1" applyBorder="1" applyAlignment="1">
      <alignment horizontal="center" vertical="center" wrapText="1"/>
    </xf>
    <xf numFmtId="2" fontId="3" fillId="3" borderId="57" xfId="0" applyNumberFormat="1" applyFont="1" applyFill="1" applyBorder="1" applyAlignment="1">
      <alignment horizontal="center" vertical="center" wrapText="1"/>
    </xf>
    <xf numFmtId="167" fontId="9" fillId="3" borderId="11" xfId="0" applyNumberFormat="1" applyFont="1" applyFill="1" applyBorder="1" applyAlignment="1">
      <alignment horizontal="center" vertical="center" wrapText="1"/>
    </xf>
    <xf numFmtId="175" fontId="2" fillId="3" borderId="12" xfId="0" applyNumberFormat="1" applyFont="1" applyFill="1" applyBorder="1" applyAlignment="1">
      <alignment horizontal="center" vertical="center" wrapText="1"/>
    </xf>
    <xf numFmtId="175" fontId="2" fillId="3" borderId="13" xfId="0" applyNumberFormat="1" applyFont="1" applyFill="1" applyBorder="1" applyAlignment="1">
      <alignment horizontal="center" vertical="center" wrapText="1"/>
    </xf>
    <xf numFmtId="0" fontId="5" fillId="0" borderId="55" xfId="0" applyFont="1" applyFill="1" applyBorder="1" applyAlignment="1">
      <alignment horizontal="center"/>
    </xf>
    <xf numFmtId="0" fontId="36" fillId="0" borderId="5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50" xfId="0" applyFont="1" applyFill="1" applyBorder="1" applyAlignment="1">
      <alignment horizontal="center"/>
    </xf>
    <xf numFmtId="167" fontId="12" fillId="3" borderId="27" xfId="0" applyNumberFormat="1" applyFont="1" applyFill="1" applyBorder="1" applyAlignment="1">
      <alignment horizontal="center" vertical="center" wrapText="1"/>
    </xf>
    <xf numFmtId="0" fontId="67" fillId="3" borderId="41" xfId="0" applyFont="1" applyFill="1" applyBorder="1" applyAlignment="1">
      <alignment horizontal="center" vertical="center" wrapText="1"/>
    </xf>
    <xf numFmtId="0" fontId="67" fillId="3" borderId="27" xfId="0" applyFont="1" applyFill="1" applyBorder="1" applyAlignment="1">
      <alignment horizontal="center" vertical="center" wrapText="1"/>
    </xf>
    <xf numFmtId="167" fontId="67" fillId="3" borderId="27" xfId="0" applyNumberFormat="1" applyFont="1" applyFill="1" applyBorder="1" applyAlignment="1">
      <alignment horizontal="center" vertical="center" wrapText="1"/>
    </xf>
    <xf numFmtId="167" fontId="65" fillId="3" borderId="27" xfId="0" applyNumberFormat="1" applyFont="1" applyFill="1" applyBorder="1" applyAlignment="1">
      <alignment horizontal="center" vertical="center" wrapText="1"/>
    </xf>
    <xf numFmtId="0" fontId="67" fillId="3" borderId="0" xfId="0" applyFont="1" applyFill="1" applyAlignment="1">
      <alignment horizontal="center" vertical="center" wrapText="1"/>
    </xf>
    <xf numFmtId="0" fontId="67" fillId="3" borderId="0" xfId="0" applyFont="1" applyFill="1" applyAlignment="1">
      <alignment horizontal="center" vertical="center"/>
    </xf>
    <xf numFmtId="0" fontId="69" fillId="3" borderId="0" xfId="0" applyFont="1" applyFill="1" applyAlignment="1">
      <alignment horizontal="center" vertical="center"/>
    </xf>
    <xf numFmtId="0" fontId="65" fillId="3" borderId="0" xfId="0" applyFont="1" applyFill="1" applyAlignment="1">
      <alignment horizontal="center" vertical="center" wrapText="1"/>
    </xf>
    <xf numFmtId="0" fontId="67" fillId="3" borderId="38" xfId="0" applyFont="1" applyFill="1" applyBorder="1" applyAlignment="1">
      <alignment horizontal="center" vertical="center" wrapText="1"/>
    </xf>
    <xf numFmtId="0" fontId="67" fillId="3" borderId="26" xfId="0" applyFont="1" applyFill="1" applyBorder="1" applyAlignment="1">
      <alignment horizontal="center" vertical="center" wrapText="1"/>
    </xf>
    <xf numFmtId="0" fontId="67" fillId="3" borderId="39" xfId="0" applyFont="1" applyFill="1" applyBorder="1" applyAlignment="1">
      <alignment horizontal="center" vertical="center" wrapText="1"/>
    </xf>
    <xf numFmtId="0" fontId="67" fillId="3" borderId="11" xfId="0" applyFont="1" applyFill="1" applyBorder="1" applyAlignment="1">
      <alignment horizontal="center" vertical="center" wrapText="1"/>
    </xf>
    <xf numFmtId="167" fontId="68" fillId="3" borderId="11" xfId="0" applyNumberFormat="1" applyFont="1" applyFill="1" applyBorder="1" applyAlignment="1">
      <alignment horizontal="center" vertical="center" wrapText="1"/>
    </xf>
    <xf numFmtId="0" fontId="43" fillId="0" borderId="39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29" fillId="0" borderId="26" xfId="0" applyFont="1" applyBorder="1" applyAlignment="1">
      <alignment horizontal="center" vertical="center"/>
    </xf>
    <xf numFmtId="0" fontId="29" fillId="0" borderId="39" xfId="0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0" fontId="29" fillId="0" borderId="39" xfId="0" applyFont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29" fillId="0" borderId="39" xfId="0" applyFont="1" applyFill="1" applyBorder="1" applyAlignment="1">
      <alignment horizontal="center" vertical="center" wrapText="1"/>
    </xf>
    <xf numFmtId="0" fontId="29" fillId="0" borderId="11" xfId="0" applyFont="1" applyFill="1" applyBorder="1" applyAlignment="1">
      <alignment horizontal="center" vertical="center" wrapText="1"/>
    </xf>
    <xf numFmtId="0" fontId="29" fillId="0" borderId="48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2" fillId="0" borderId="55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/>
    </xf>
    <xf numFmtId="43" fontId="13" fillId="0" borderId="14" xfId="0" applyNumberFormat="1" applyFont="1" applyFill="1" applyBorder="1" applyAlignment="1">
      <alignment horizontal="center" vertical="center"/>
    </xf>
    <xf numFmtId="43" fontId="13" fillId="0" borderId="14" xfId="0" applyNumberFormat="1" applyFont="1" applyFill="1" applyBorder="1" applyAlignment="1">
      <alignment vertical="center"/>
    </xf>
    <xf numFmtId="0" fontId="13" fillId="0" borderId="32" xfId="0" applyFont="1" applyBorder="1" applyAlignment="1">
      <alignment horizontal="center"/>
    </xf>
    <xf numFmtId="1" fontId="3" fillId="3" borderId="12" xfId="0" applyNumberFormat="1" applyFont="1" applyFill="1" applyBorder="1" applyAlignment="1">
      <alignment horizontal="center" vertical="center" wrapText="1"/>
    </xf>
    <xf numFmtId="1" fontId="3" fillId="3" borderId="10" xfId="0" applyNumberFormat="1" applyFont="1" applyFill="1" applyBorder="1" applyAlignment="1">
      <alignment horizontal="center" vertical="center" wrapText="1"/>
    </xf>
    <xf numFmtId="1" fontId="3" fillId="3" borderId="13" xfId="0" applyNumberFormat="1" applyFont="1" applyFill="1" applyBorder="1" applyAlignment="1">
      <alignment horizontal="center" vertical="center" wrapText="1"/>
    </xf>
    <xf numFmtId="14" fontId="2" fillId="3" borderId="23" xfId="0" applyNumberFormat="1" applyFont="1" applyFill="1" applyBorder="1" applyAlignment="1">
      <alignment horizontal="center" vertical="center"/>
    </xf>
    <xf numFmtId="14" fontId="2" fillId="3" borderId="24" xfId="0" applyNumberFormat="1" applyFont="1" applyFill="1" applyBorder="1" applyAlignment="1">
      <alignment horizontal="center" vertical="center"/>
    </xf>
    <xf numFmtId="0" fontId="9" fillId="0" borderId="38" xfId="0" applyFont="1" applyFill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vertical="center" wrapText="1"/>
    </xf>
    <xf numFmtId="0" fontId="15" fillId="0" borderId="38" xfId="0" applyFont="1" applyFill="1" applyBorder="1" applyAlignment="1">
      <alignment horizontal="center" wrapText="1"/>
    </xf>
    <xf numFmtId="0" fontId="15" fillId="0" borderId="39" xfId="0" applyFont="1" applyFill="1" applyBorder="1" applyAlignment="1">
      <alignment horizontal="center" wrapText="1"/>
    </xf>
    <xf numFmtId="0" fontId="15" fillId="0" borderId="39" xfId="0" applyFont="1" applyFill="1" applyBorder="1" applyAlignment="1">
      <alignment horizontal="center" vertical="center" wrapText="1"/>
    </xf>
    <xf numFmtId="0" fontId="15" fillId="0" borderId="40" xfId="0" applyFont="1" applyFill="1" applyBorder="1" applyAlignment="1">
      <alignment horizontal="center" vertical="center" wrapText="1"/>
    </xf>
    <xf numFmtId="0" fontId="15" fillId="0" borderId="41" xfId="0" applyFont="1" applyFill="1" applyBorder="1" applyAlignment="1">
      <alignment horizontal="center" vertical="center" wrapText="1"/>
    </xf>
    <xf numFmtId="0" fontId="15" fillId="0" borderId="26" xfId="0" applyFont="1" applyFill="1" applyBorder="1" applyAlignment="1">
      <alignment horizontal="center" wrapText="1"/>
    </xf>
    <xf numFmtId="0" fontId="15" fillId="0" borderId="11" xfId="0" applyFont="1" applyFill="1" applyBorder="1" applyAlignment="1">
      <alignment horizontal="center" wrapText="1"/>
    </xf>
    <xf numFmtId="0" fontId="15" fillId="0" borderId="11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15" fillId="0" borderId="23" xfId="0" applyFont="1" applyFill="1" applyBorder="1" applyAlignment="1">
      <alignment horizontal="center" wrapText="1"/>
    </xf>
    <xf numFmtId="0" fontId="15" fillId="0" borderId="24" xfId="0" applyFont="1" applyFill="1" applyBorder="1" applyAlignment="1">
      <alignment horizontal="center" wrapText="1"/>
    </xf>
    <xf numFmtId="0" fontId="15" fillId="0" borderId="11" xfId="0" applyFont="1" applyFill="1" applyBorder="1" applyAlignment="1">
      <alignment horizontal="center"/>
    </xf>
    <xf numFmtId="0" fontId="15" fillId="0" borderId="12" xfId="0" applyFont="1" applyFill="1" applyBorder="1" applyAlignment="1">
      <alignment horizontal="center"/>
    </xf>
    <xf numFmtId="0" fontId="15" fillId="0" borderId="27" xfId="0" applyFont="1" applyFill="1" applyBorder="1" applyAlignment="1">
      <alignment horizontal="center"/>
    </xf>
    <xf numFmtId="0" fontId="15" fillId="0" borderId="24" xfId="0" applyFont="1" applyFill="1" applyBorder="1" applyAlignment="1">
      <alignment horizontal="center"/>
    </xf>
    <xf numFmtId="0" fontId="15" fillId="0" borderId="36" xfId="0" applyFont="1" applyFill="1" applyBorder="1" applyAlignment="1">
      <alignment horizontal="center"/>
    </xf>
    <xf numFmtId="0" fontId="15" fillId="0" borderId="25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/>
    </xf>
    <xf numFmtId="0" fontId="32" fillId="3" borderId="0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/>
    </xf>
    <xf numFmtId="0" fontId="9" fillId="0" borderId="12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9" fillId="0" borderId="13" xfId="0" applyFont="1" applyFill="1" applyBorder="1" applyAlignment="1">
      <alignment horizontal="left"/>
    </xf>
    <xf numFmtId="2" fontId="3" fillId="4" borderId="57" xfId="0" applyNumberFormat="1" applyFont="1" applyFill="1" applyBorder="1" applyAlignment="1">
      <alignment horizontal="center" vertical="center" wrapText="1"/>
    </xf>
    <xf numFmtId="2" fontId="3" fillId="4" borderId="75" xfId="0" applyNumberFormat="1" applyFont="1" applyFill="1" applyBorder="1" applyAlignment="1">
      <alignment horizontal="center" vertical="center" wrapText="1"/>
    </xf>
    <xf numFmtId="2" fontId="3" fillId="4" borderId="44" xfId="0" applyNumberFormat="1" applyFont="1" applyFill="1" applyBorder="1" applyAlignment="1">
      <alignment horizontal="center" vertical="center" wrapText="1"/>
    </xf>
    <xf numFmtId="1" fontId="2" fillId="3" borderId="72" xfId="0" applyNumberFormat="1" applyFont="1" applyFill="1" applyBorder="1" applyAlignment="1">
      <alignment horizontal="center" vertical="center" wrapText="1"/>
    </xf>
    <xf numFmtId="1" fontId="2" fillId="3" borderId="73" xfId="0" applyNumberFormat="1" applyFont="1" applyFill="1" applyBorder="1" applyAlignment="1">
      <alignment horizontal="center" vertical="center" wrapText="1"/>
    </xf>
    <xf numFmtId="1" fontId="2" fillId="3" borderId="74" xfId="0" applyNumberFormat="1" applyFont="1" applyFill="1" applyBorder="1" applyAlignment="1">
      <alignment horizontal="center" vertical="center" wrapText="1"/>
    </xf>
    <xf numFmtId="1" fontId="2" fillId="3" borderId="5" xfId="0" applyNumberFormat="1" applyFont="1" applyFill="1" applyBorder="1" applyAlignment="1">
      <alignment horizontal="center" vertical="center" wrapText="1"/>
    </xf>
    <xf numFmtId="1" fontId="2" fillId="3" borderId="0" xfId="0" applyNumberFormat="1" applyFont="1" applyFill="1" applyBorder="1" applyAlignment="1">
      <alignment horizontal="center" vertical="center" wrapText="1"/>
    </xf>
    <xf numFmtId="1" fontId="2" fillId="3" borderId="6" xfId="0" applyNumberFormat="1" applyFont="1" applyFill="1" applyBorder="1" applyAlignment="1">
      <alignment horizontal="center" vertical="center" wrapText="1"/>
    </xf>
    <xf numFmtId="1" fontId="2" fillId="3" borderId="17" xfId="0" applyNumberFormat="1" applyFont="1" applyFill="1" applyBorder="1" applyAlignment="1">
      <alignment horizontal="center" vertical="center" wrapText="1"/>
    </xf>
    <xf numFmtId="1" fontId="2" fillId="3" borderId="37" xfId="0" applyNumberFormat="1" applyFont="1" applyFill="1" applyBorder="1" applyAlignment="1">
      <alignment horizontal="center" vertical="center" wrapText="1"/>
    </xf>
    <xf numFmtId="1" fontId="2" fillId="3" borderId="16" xfId="0" applyNumberFormat="1" applyFont="1" applyFill="1" applyBorder="1" applyAlignment="1">
      <alignment horizontal="center" vertical="center" wrapText="1"/>
    </xf>
    <xf numFmtId="43" fontId="13" fillId="0" borderId="45" xfId="0" applyNumberFormat="1" applyFont="1" applyFill="1" applyBorder="1" applyAlignment="1">
      <alignment vertical="center"/>
    </xf>
    <xf numFmtId="0" fontId="13" fillId="0" borderId="45" xfId="0" applyFont="1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31" fillId="0" borderId="33" xfId="0" applyFont="1" applyBorder="1" applyAlignment="1">
      <alignment horizontal="center" vertical="center"/>
    </xf>
    <xf numFmtId="0" fontId="31" fillId="0" borderId="47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43" fontId="31" fillId="0" borderId="24" xfId="0" applyNumberFormat="1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/>
    </xf>
    <xf numFmtId="43" fontId="13" fillId="0" borderId="29" xfId="0" applyNumberFormat="1" applyFont="1" applyFill="1" applyBorder="1" applyAlignment="1">
      <alignment horizontal="center" vertical="center"/>
    </xf>
    <xf numFmtId="43" fontId="13" fillId="0" borderId="29" xfId="0" applyNumberFormat="1" applyFont="1" applyFill="1" applyBorder="1" applyAlignment="1">
      <alignment vertical="center"/>
    </xf>
    <xf numFmtId="0" fontId="13" fillId="0" borderId="30" xfId="0" applyFont="1" applyBorder="1" applyAlignment="1">
      <alignment horizontal="center"/>
    </xf>
    <xf numFmtId="0" fontId="32" fillId="3" borderId="37" xfId="0" applyFont="1" applyFill="1" applyBorder="1" applyAlignment="1">
      <alignment horizontal="center" vertical="center" wrapText="1"/>
    </xf>
    <xf numFmtId="38" fontId="2" fillId="3" borderId="18" xfId="0" applyNumberFormat="1" applyFont="1" applyFill="1" applyBorder="1" applyAlignment="1">
      <alignment horizontal="center" vertical="center" wrapText="1"/>
    </xf>
    <xf numFmtId="0" fontId="2" fillId="3" borderId="26" xfId="0" applyFont="1" applyFill="1" applyBorder="1" applyAlignment="1">
      <alignment horizontal="center" vertical="center" wrapText="1"/>
    </xf>
    <xf numFmtId="14" fontId="9" fillId="3" borderId="19" xfId="0" applyNumberFormat="1" applyFont="1" applyFill="1" applyBorder="1" applyAlignment="1">
      <alignment horizontal="center" vertical="center" wrapText="1"/>
    </xf>
    <xf numFmtId="14" fontId="9" fillId="3" borderId="3" xfId="0" applyNumberFormat="1" applyFont="1" applyFill="1" applyBorder="1" applyAlignment="1">
      <alignment horizontal="center" vertical="center" wrapText="1"/>
    </xf>
    <xf numFmtId="40" fontId="2" fillId="3" borderId="20" xfId="0" applyNumberFormat="1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180" fontId="2" fillId="0" borderId="12" xfId="0" applyNumberFormat="1" applyFont="1" applyFill="1" applyBorder="1" applyAlignment="1">
      <alignment horizontal="left" vertical="center"/>
    </xf>
    <xf numFmtId="180" fontId="2" fillId="0" borderId="10" xfId="0" applyNumberFormat="1" applyFont="1" applyFill="1" applyBorder="1" applyAlignment="1">
      <alignment horizontal="left" vertical="center"/>
    </xf>
    <xf numFmtId="171" fontId="15" fillId="3" borderId="22" xfId="0" applyNumberFormat="1" applyFont="1" applyFill="1" applyBorder="1" applyAlignment="1">
      <alignment horizontal="center" vertical="center" wrapText="1"/>
    </xf>
    <xf numFmtId="171" fontId="15" fillId="3" borderId="1" xfId="0" applyNumberFormat="1" applyFont="1" applyFill="1" applyBorder="1" applyAlignment="1">
      <alignment horizontal="center" vertical="center" wrapText="1"/>
    </xf>
    <xf numFmtId="171" fontId="15" fillId="3" borderId="42" xfId="0" applyNumberFormat="1" applyFont="1" applyFill="1" applyBorder="1" applyAlignment="1">
      <alignment horizontal="center" vertical="center" wrapText="1"/>
    </xf>
    <xf numFmtId="180" fontId="33" fillId="0" borderId="12" xfId="0" applyNumberFormat="1" applyFont="1" applyFill="1" applyBorder="1" applyAlignment="1">
      <alignment horizontal="left" vertical="center" wrapText="1"/>
    </xf>
    <xf numFmtId="180" fontId="33" fillId="0" borderId="10" xfId="0" applyNumberFormat="1" applyFont="1" applyFill="1" applyBorder="1" applyAlignment="1">
      <alignment horizontal="left" vertical="center" wrapText="1"/>
    </xf>
    <xf numFmtId="0" fontId="9" fillId="0" borderId="22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178" fontId="9" fillId="0" borderId="22" xfId="0" applyNumberFormat="1" applyFont="1" applyFill="1" applyBorder="1" applyAlignment="1">
      <alignment horizontal="center" vertical="center" wrapText="1"/>
    </xf>
    <xf numFmtId="178" fontId="9" fillId="0" borderId="2" xfId="0" applyNumberFormat="1" applyFont="1" applyFill="1" applyBorder="1" applyAlignment="1">
      <alignment horizontal="center" vertical="center" wrapText="1"/>
    </xf>
    <xf numFmtId="0" fontId="9" fillId="0" borderId="43" xfId="0" applyFont="1" applyFill="1" applyBorder="1" applyAlignment="1">
      <alignment horizontal="center" vertical="center" wrapText="1"/>
    </xf>
    <xf numFmtId="0" fontId="9" fillId="0" borderId="44" xfId="0" applyFont="1" applyFill="1" applyBorder="1" applyAlignment="1">
      <alignment horizontal="center" vertical="center" wrapText="1"/>
    </xf>
    <xf numFmtId="0" fontId="15" fillId="0" borderId="18" xfId="0" applyFont="1" applyFill="1" applyBorder="1" applyAlignment="1">
      <alignment horizontal="center" wrapText="1"/>
    </xf>
    <xf numFmtId="0" fontId="15" fillId="0" borderId="19" xfId="0" applyFont="1" applyFill="1" applyBorder="1" applyAlignment="1">
      <alignment horizontal="center" wrapText="1"/>
    </xf>
    <xf numFmtId="0" fontId="15" fillId="0" borderId="19" xfId="0" applyFont="1" applyFill="1" applyBorder="1" applyAlignment="1">
      <alignment horizontal="center" vertical="center" wrapText="1"/>
    </xf>
    <xf numFmtId="0" fontId="15" fillId="0" borderId="35" xfId="0" applyFont="1" applyFill="1" applyBorder="1" applyAlignment="1">
      <alignment horizontal="center" vertical="center" wrapText="1"/>
    </xf>
    <xf numFmtId="0" fontId="15" fillId="0" borderId="20" xfId="0" applyFont="1" applyFill="1" applyBorder="1" applyAlignment="1">
      <alignment horizontal="center" vertical="center" wrapText="1"/>
    </xf>
    <xf numFmtId="43" fontId="13" fillId="0" borderId="45" xfId="0" applyNumberFormat="1" applyFont="1" applyFill="1" applyBorder="1" applyAlignment="1">
      <alignment horizontal="center" vertical="center"/>
    </xf>
    <xf numFmtId="0" fontId="31" fillId="3" borderId="33" xfId="0" applyFont="1" applyFill="1" applyBorder="1" applyAlignment="1">
      <alignment horizontal="center" vertical="center"/>
    </xf>
    <xf numFmtId="0" fontId="31" fillId="3" borderId="47" xfId="0" applyFont="1" applyFill="1" applyBorder="1" applyAlignment="1">
      <alignment horizontal="center" vertical="center"/>
    </xf>
    <xf numFmtId="0" fontId="31" fillId="3" borderId="34" xfId="0" applyFont="1" applyFill="1" applyBorder="1" applyAlignment="1">
      <alignment horizontal="center" vertical="center"/>
    </xf>
    <xf numFmtId="43" fontId="31" fillId="3" borderId="24" xfId="0" applyNumberFormat="1" applyFont="1" applyFill="1" applyBorder="1" applyAlignment="1">
      <alignment horizontal="center" vertical="center"/>
    </xf>
    <xf numFmtId="0" fontId="31" fillId="3" borderId="24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wrapText="1"/>
    </xf>
    <xf numFmtId="0" fontId="15" fillId="3" borderId="19" xfId="0" applyFont="1" applyFill="1" applyBorder="1" applyAlignment="1">
      <alignment horizontal="center" wrapText="1"/>
    </xf>
    <xf numFmtId="0" fontId="15" fillId="3" borderId="19" xfId="0" applyFont="1" applyFill="1" applyBorder="1" applyAlignment="1">
      <alignment horizontal="center" vertical="center" wrapText="1"/>
    </xf>
    <xf numFmtId="0" fontId="15" fillId="3" borderId="35" xfId="0" applyFont="1" applyFill="1" applyBorder="1" applyAlignment="1">
      <alignment horizontal="center" vertical="center" wrapText="1"/>
    </xf>
    <xf numFmtId="0" fontId="15" fillId="3" borderId="20" xfId="0" applyFont="1" applyFill="1" applyBorder="1" applyAlignment="1">
      <alignment horizontal="center" vertical="center" wrapText="1"/>
    </xf>
    <xf numFmtId="0" fontId="15" fillId="3" borderId="26" xfId="0" applyFont="1" applyFill="1" applyBorder="1" applyAlignment="1">
      <alignment horizontal="center" wrapText="1"/>
    </xf>
    <xf numFmtId="0" fontId="15" fillId="3" borderId="11" xfId="0" applyFont="1" applyFill="1" applyBorder="1" applyAlignment="1">
      <alignment horizontal="center" wrapText="1"/>
    </xf>
    <xf numFmtId="0" fontId="15" fillId="3" borderId="11" xfId="0" applyFont="1" applyFill="1" applyBorder="1" applyAlignment="1">
      <alignment horizontal="center" vertical="center" wrapText="1"/>
    </xf>
    <xf numFmtId="0" fontId="15" fillId="3" borderId="12" xfId="0" applyFont="1" applyFill="1" applyBorder="1" applyAlignment="1">
      <alignment horizontal="center" vertical="center" wrapText="1"/>
    </xf>
    <xf numFmtId="0" fontId="15" fillId="3" borderId="27" xfId="0" applyFont="1" applyFill="1" applyBorder="1" applyAlignment="1">
      <alignment horizontal="center" vertical="center" wrapText="1"/>
    </xf>
    <xf numFmtId="0" fontId="13" fillId="3" borderId="14" xfId="0" applyFont="1" applyFill="1" applyBorder="1" applyAlignment="1">
      <alignment horizontal="center"/>
    </xf>
    <xf numFmtId="43" fontId="13" fillId="3" borderId="14" xfId="0" applyNumberFormat="1" applyFont="1" applyFill="1" applyBorder="1" applyAlignment="1">
      <alignment horizontal="center" vertical="center"/>
    </xf>
    <xf numFmtId="43" fontId="13" fillId="3" borderId="14" xfId="0" applyNumberFormat="1" applyFont="1" applyFill="1" applyBorder="1" applyAlignment="1">
      <alignment vertical="center"/>
    </xf>
    <xf numFmtId="0" fontId="13" fillId="3" borderId="32" xfId="0" applyFont="1" applyFill="1" applyBorder="1" applyAlignment="1">
      <alignment horizontal="center"/>
    </xf>
    <xf numFmtId="0" fontId="13" fillId="3" borderId="45" xfId="0" applyFont="1" applyFill="1" applyBorder="1" applyAlignment="1">
      <alignment horizontal="center"/>
    </xf>
    <xf numFmtId="43" fontId="13" fillId="3" borderId="45" xfId="0" applyNumberFormat="1" applyFont="1" applyFill="1" applyBorder="1" applyAlignment="1">
      <alignment horizontal="center" vertical="center"/>
    </xf>
    <xf numFmtId="43" fontId="13" fillId="3" borderId="45" xfId="0" applyNumberFormat="1" applyFont="1" applyFill="1" applyBorder="1" applyAlignment="1">
      <alignment vertical="center"/>
    </xf>
    <xf numFmtId="0" fontId="13" fillId="3" borderId="46" xfId="0" applyFont="1" applyFill="1" applyBorder="1" applyAlignment="1">
      <alignment horizontal="center"/>
    </xf>
    <xf numFmtId="0" fontId="13" fillId="3" borderId="29" xfId="0" applyFont="1" applyFill="1" applyBorder="1" applyAlignment="1">
      <alignment horizontal="center"/>
    </xf>
    <xf numFmtId="43" fontId="13" fillId="3" borderId="29" xfId="0" applyNumberFormat="1" applyFont="1" applyFill="1" applyBorder="1" applyAlignment="1">
      <alignment horizontal="center" vertical="center"/>
    </xf>
    <xf numFmtId="43" fontId="13" fillId="3" borderId="29" xfId="0" applyNumberFormat="1" applyFont="1" applyFill="1" applyBorder="1" applyAlignment="1">
      <alignment vertical="center"/>
    </xf>
    <xf numFmtId="0" fontId="13" fillId="3" borderId="30" xfId="0" applyFont="1" applyFill="1" applyBorder="1" applyAlignment="1">
      <alignment horizontal="center"/>
    </xf>
    <xf numFmtId="0" fontId="9" fillId="3" borderId="12" xfId="0" applyFont="1" applyFill="1" applyBorder="1" applyAlignment="1">
      <alignment horizontal="left"/>
    </xf>
    <xf numFmtId="0" fontId="9" fillId="3" borderId="10" xfId="0" applyFont="1" applyFill="1" applyBorder="1" applyAlignment="1">
      <alignment horizontal="left"/>
    </xf>
    <xf numFmtId="0" fontId="9" fillId="3" borderId="13" xfId="0" applyFont="1" applyFill="1" applyBorder="1" applyAlignment="1">
      <alignment horizontal="left"/>
    </xf>
    <xf numFmtId="180" fontId="33" fillId="3" borderId="12" xfId="0" applyNumberFormat="1" applyFont="1" applyFill="1" applyBorder="1" applyAlignment="1">
      <alignment horizontal="left" vertical="center" wrapText="1"/>
    </xf>
    <xf numFmtId="180" fontId="33" fillId="3" borderId="10" xfId="0" applyNumberFormat="1" applyFont="1" applyFill="1" applyBorder="1" applyAlignment="1">
      <alignment horizontal="left" vertical="center" wrapText="1"/>
    </xf>
    <xf numFmtId="0" fontId="9" fillId="3" borderId="38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178" fontId="9" fillId="3" borderId="22" xfId="0" applyNumberFormat="1" applyFont="1" applyFill="1" applyBorder="1" applyAlignment="1">
      <alignment horizontal="center" vertical="center" wrapText="1"/>
    </xf>
    <xf numFmtId="178" fontId="9" fillId="3" borderId="2" xfId="0" applyNumberFormat="1" applyFont="1" applyFill="1" applyBorder="1" applyAlignment="1">
      <alignment horizontal="center" vertical="center" wrapText="1"/>
    </xf>
    <xf numFmtId="0" fontId="9" fillId="3" borderId="43" xfId="0" applyFont="1" applyFill="1" applyBorder="1" applyAlignment="1">
      <alignment horizontal="center" vertical="center" wrapText="1"/>
    </xf>
    <xf numFmtId="0" fontId="9" fillId="3" borderId="44" xfId="0" applyFont="1" applyFill="1" applyBorder="1" applyAlignment="1">
      <alignment horizontal="center" vertical="center" wrapText="1"/>
    </xf>
    <xf numFmtId="0" fontId="15" fillId="3" borderId="38" xfId="0" applyFont="1" applyFill="1" applyBorder="1" applyAlignment="1">
      <alignment horizontal="center" wrapText="1"/>
    </xf>
    <xf numFmtId="0" fontId="15" fillId="3" borderId="39" xfId="0" applyFont="1" applyFill="1" applyBorder="1" applyAlignment="1">
      <alignment horizontal="center" wrapText="1"/>
    </xf>
    <xf numFmtId="0" fontId="15" fillId="3" borderId="39" xfId="0" applyFont="1" applyFill="1" applyBorder="1" applyAlignment="1">
      <alignment horizontal="center" vertical="center" wrapText="1"/>
    </xf>
    <xf numFmtId="0" fontId="15" fillId="3" borderId="40" xfId="0" applyFont="1" applyFill="1" applyBorder="1" applyAlignment="1">
      <alignment horizontal="center" vertical="center" wrapText="1"/>
    </xf>
    <xf numFmtId="0" fontId="15" fillId="3" borderId="41" xfId="0" applyFont="1" applyFill="1" applyBorder="1" applyAlignment="1">
      <alignment horizontal="center" vertical="center" wrapText="1"/>
    </xf>
    <xf numFmtId="180" fontId="2" fillId="3" borderId="12" xfId="0" applyNumberFormat="1" applyFont="1" applyFill="1" applyBorder="1" applyAlignment="1">
      <alignment horizontal="left" vertical="center"/>
    </xf>
    <xf numFmtId="180" fontId="2" fillId="3" borderId="10" xfId="0" applyNumberFormat="1" applyFont="1" applyFill="1" applyBorder="1" applyAlignment="1">
      <alignment horizontal="left" vertical="center"/>
    </xf>
    <xf numFmtId="2" fontId="3" fillId="41" borderId="57" xfId="0" applyNumberFormat="1" applyFont="1" applyFill="1" applyBorder="1" applyAlignment="1">
      <alignment horizontal="center" vertical="center" wrapText="1"/>
    </xf>
    <xf numFmtId="2" fontId="3" fillId="41" borderId="75" xfId="0" applyNumberFormat="1" applyFont="1" applyFill="1" applyBorder="1" applyAlignment="1">
      <alignment horizontal="center" vertical="center" wrapText="1"/>
    </xf>
    <xf numFmtId="2" fontId="3" fillId="41" borderId="44" xfId="0" applyNumberFormat="1" applyFont="1" applyFill="1" applyBorder="1" applyAlignment="1">
      <alignment horizontal="center" vertical="center" wrapText="1"/>
    </xf>
    <xf numFmtId="2" fontId="3" fillId="3" borderId="57" xfId="0" applyNumberFormat="1" applyFont="1" applyFill="1" applyBorder="1" applyAlignment="1">
      <alignment horizontal="center" vertical="center" wrapText="1"/>
    </xf>
    <xf numFmtId="2" fontId="3" fillId="3" borderId="75" xfId="0" applyNumberFormat="1" applyFont="1" applyFill="1" applyBorder="1" applyAlignment="1">
      <alignment horizontal="center" vertical="center" wrapText="1"/>
    </xf>
    <xf numFmtId="2" fontId="3" fillId="3" borderId="44" xfId="0" applyNumberFormat="1" applyFont="1" applyFill="1" applyBorder="1" applyAlignment="1">
      <alignment horizontal="center" vertical="center" wrapText="1"/>
    </xf>
    <xf numFmtId="1" fontId="3" fillId="43" borderId="12" xfId="0" applyNumberFormat="1" applyFont="1" applyFill="1" applyBorder="1" applyAlignment="1">
      <alignment horizontal="center" vertical="center" wrapText="1"/>
    </xf>
    <xf numFmtId="1" fontId="3" fillId="43" borderId="10" xfId="0" applyNumberFormat="1" applyFont="1" applyFill="1" applyBorder="1" applyAlignment="1">
      <alignment horizontal="center" vertical="center" wrapText="1"/>
    </xf>
    <xf numFmtId="1" fontId="3" fillId="43" borderId="13" xfId="0" applyNumberFormat="1" applyFont="1" applyFill="1" applyBorder="1" applyAlignment="1">
      <alignment horizontal="center" vertical="center" wrapText="1"/>
    </xf>
    <xf numFmtId="1" fontId="3" fillId="3" borderId="12" xfId="0" applyNumberFormat="1" applyFont="1" applyFill="1" applyBorder="1" applyAlignment="1">
      <alignment horizontal="left" vertical="center" wrapText="1"/>
    </xf>
    <xf numFmtId="1" fontId="3" fillId="3" borderId="10" xfId="0" applyNumberFormat="1" applyFont="1" applyFill="1" applyBorder="1" applyAlignment="1">
      <alignment horizontal="left" vertical="center" wrapText="1"/>
    </xf>
    <xf numFmtId="1" fontId="3" fillId="3" borderId="13" xfId="0" applyNumberFormat="1" applyFont="1" applyFill="1" applyBorder="1" applyAlignment="1">
      <alignment horizontal="left" vertical="center" wrapText="1"/>
    </xf>
    <xf numFmtId="2" fontId="3" fillId="42" borderId="57" xfId="0" applyNumberFormat="1" applyFont="1" applyFill="1" applyBorder="1" applyAlignment="1">
      <alignment horizontal="center" vertical="center" wrapText="1"/>
    </xf>
    <xf numFmtId="2" fontId="3" fillId="42" borderId="75" xfId="0" applyNumberFormat="1" applyFont="1" applyFill="1" applyBorder="1" applyAlignment="1">
      <alignment horizontal="center" vertical="center" wrapText="1"/>
    </xf>
    <xf numFmtId="183" fontId="3" fillId="43" borderId="12" xfId="0" applyNumberFormat="1" applyFont="1" applyFill="1" applyBorder="1" applyAlignment="1">
      <alignment horizontal="center" vertical="center" wrapText="1"/>
    </xf>
    <xf numFmtId="183" fontId="3" fillId="43" borderId="10" xfId="0" applyNumberFormat="1" applyFont="1" applyFill="1" applyBorder="1" applyAlignment="1">
      <alignment horizontal="center" vertical="center" wrapText="1"/>
    </xf>
    <xf numFmtId="183" fontId="3" fillId="43" borderId="13" xfId="0" applyNumberFormat="1" applyFont="1" applyFill="1" applyBorder="1" applyAlignment="1">
      <alignment horizontal="center" vertical="center" wrapText="1"/>
    </xf>
    <xf numFmtId="1" fontId="3" fillId="4" borderId="12" xfId="0" applyNumberFormat="1" applyFont="1" applyFill="1" applyBorder="1" applyAlignment="1">
      <alignment horizontal="center" vertical="center" wrapText="1"/>
    </xf>
    <xf numFmtId="1" fontId="3" fillId="4" borderId="10" xfId="0" applyNumberFormat="1" applyFont="1" applyFill="1" applyBorder="1" applyAlignment="1">
      <alignment horizontal="center" vertical="center" wrapText="1"/>
    </xf>
    <xf numFmtId="1" fontId="3" fillId="4" borderId="13" xfId="0" applyNumberFormat="1" applyFont="1" applyFill="1" applyBorder="1" applyAlignment="1">
      <alignment horizontal="center" vertical="center" wrapText="1"/>
    </xf>
    <xf numFmtId="171" fontId="15" fillId="39" borderId="22" xfId="0" applyNumberFormat="1" applyFont="1" applyFill="1" applyBorder="1" applyAlignment="1">
      <alignment horizontal="center" vertical="center" wrapText="1"/>
    </xf>
    <xf numFmtId="171" fontId="15" fillId="39" borderId="1" xfId="0" applyNumberFormat="1" applyFont="1" applyFill="1" applyBorder="1" applyAlignment="1">
      <alignment horizontal="center" vertical="center" wrapText="1"/>
    </xf>
    <xf numFmtId="171" fontId="15" fillId="39" borderId="42" xfId="0" applyNumberFormat="1" applyFont="1" applyFill="1" applyBorder="1" applyAlignment="1">
      <alignment horizontal="center" vertical="center" wrapText="1"/>
    </xf>
    <xf numFmtId="0" fontId="12" fillId="4" borderId="11" xfId="0" applyFont="1" applyFill="1" applyBorder="1" applyAlignment="1">
      <alignment vertical="center"/>
    </xf>
    <xf numFmtId="4" fontId="12" fillId="4" borderId="11" xfId="0" applyNumberFormat="1" applyFont="1" applyFill="1" applyBorder="1" applyAlignment="1">
      <alignment horizontal="right" vertical="center" wrapText="1"/>
    </xf>
    <xf numFmtId="2" fontId="12" fillId="4" borderId="11" xfId="0" applyNumberFormat="1" applyFont="1" applyFill="1" applyBorder="1" applyAlignment="1">
      <alignment vertical="center"/>
    </xf>
  </cellXfs>
  <cellStyles count="67">
    <cellStyle name="          _x000d__x000a_shell=progman.exe_x000d__x000a_m" xfId="6" xr:uid="{00000000-0005-0000-0000-000000000000}"/>
    <cellStyle name="???? [0.00]_      " xfId="7" xr:uid="{00000000-0005-0000-0000-000001000000}"/>
    <cellStyle name="????_      " xfId="8" xr:uid="{00000000-0005-0000-0000-000002000000}"/>
    <cellStyle name="??_      " xfId="9" xr:uid="{00000000-0005-0000-0000-000003000000}"/>
    <cellStyle name="??A? [0]_ÿÿÿÿÿÿ_1_¢¬???¢â? " xfId="10" xr:uid="{00000000-0005-0000-0000-000004000000}"/>
    <cellStyle name="??A?_ÿÿÿÿÿÿ_1_¢¬???¢â? " xfId="11" xr:uid="{00000000-0005-0000-0000-000005000000}"/>
    <cellStyle name="?¡±¢¥?_?¨ù??¢´¢¥_¢¬???¢â? " xfId="12" xr:uid="{00000000-0005-0000-0000-000006000000}"/>
    <cellStyle name="20% - Accent1" xfId="40" builtinId="30" hidden="1"/>
    <cellStyle name="20% - Accent2" xfId="44" builtinId="34" hidden="1"/>
    <cellStyle name="20% - Accent3" xfId="48" builtinId="38" hidden="1"/>
    <cellStyle name="20% - Accent4" xfId="52" builtinId="42" hidden="1"/>
    <cellStyle name="20% - Accent5" xfId="56" builtinId="46" hidden="1"/>
    <cellStyle name="20% - Accent6" xfId="60" builtinId="50" hidden="1"/>
    <cellStyle name="40% - Accent1" xfId="41" builtinId="31" hidden="1"/>
    <cellStyle name="40% - Accent2" xfId="45" builtinId="35" hidden="1"/>
    <cellStyle name="40% - Accent3" xfId="49" builtinId="39" hidden="1"/>
    <cellStyle name="40% - Accent4" xfId="53" builtinId="43" hidden="1"/>
    <cellStyle name="40% - Accent5" xfId="57" builtinId="47" hidden="1"/>
    <cellStyle name="40% - Accent6" xfId="61" builtinId="51" hidden="1"/>
    <cellStyle name="60% - Accent1" xfId="42" builtinId="32" hidden="1"/>
    <cellStyle name="60% - Accent2" xfId="46" builtinId="36" hidden="1"/>
    <cellStyle name="60% - Accent3" xfId="50" builtinId="40" hidden="1"/>
    <cellStyle name="60% - Accent4" xfId="54" builtinId="44" hidden="1"/>
    <cellStyle name="60% - Accent5" xfId="58" builtinId="48" hidden="1"/>
    <cellStyle name="60% - Accent6" xfId="62" builtinId="52" hidden="1"/>
    <cellStyle name="Accent1" xfId="39" builtinId="29" hidden="1"/>
    <cellStyle name="Accent2" xfId="43" builtinId="33" hidden="1"/>
    <cellStyle name="Accent3" xfId="47" builtinId="37" hidden="1"/>
    <cellStyle name="Accent4" xfId="51" builtinId="41" hidden="1"/>
    <cellStyle name="Accent5" xfId="55" builtinId="45" hidden="1"/>
    <cellStyle name="Accent6" xfId="59" builtinId="49" hidden="1"/>
    <cellStyle name="AeE­ [0]_INQUIRY ¿?¾÷AßAø " xfId="13" xr:uid="{00000000-0005-0000-0000-00001F000000}"/>
    <cellStyle name="AeE­_INQUIRY ¿?¾÷AßAø " xfId="14" xr:uid="{00000000-0005-0000-0000-000020000000}"/>
    <cellStyle name="AÞ¸¶ [0]_INQUIRY ¿?¾÷AßAø " xfId="2" xr:uid="{00000000-0005-0000-0000-000021000000}"/>
    <cellStyle name="AÞ¸¶_INQUIRY ¿?¾÷AßAø " xfId="3" xr:uid="{00000000-0005-0000-0000-000022000000}"/>
    <cellStyle name="Bad" xfId="28" builtinId="27" hidden="1"/>
    <cellStyle name="C?AØ_¿?¾÷CoE² " xfId="4" xr:uid="{00000000-0005-0000-0000-000024000000}"/>
    <cellStyle name="C￥AØ_¿μ¾÷CoE² " xfId="5" xr:uid="{00000000-0005-0000-0000-000025000000}"/>
    <cellStyle name="Ç¥ÁØ_ÿÿÿÿÿÿ_4_ÃÑÇÕ°è " xfId="15" xr:uid="{00000000-0005-0000-0000-000026000000}"/>
    <cellStyle name="Calculation" xfId="32" builtinId="22" hidden="1"/>
    <cellStyle name="Comma" xfId="1" builtinId="3" hidden="1"/>
    <cellStyle name="Comma [0]" xfId="19" builtinId="6" hidden="1"/>
    <cellStyle name="Currency" xfId="20" builtinId="4" hidden="1"/>
    <cellStyle name="Currency [0]" xfId="21" builtinId="7" hidden="1"/>
    <cellStyle name="Check Cell" xfId="34" builtinId="23" hidden="1"/>
    <cellStyle name="Explanatory Text" xfId="37" builtinId="53" hidden="1"/>
    <cellStyle name="Followed Hyperlink" xfId="64" builtinId="9" hidden="1"/>
    <cellStyle name="Good" xfId="27" builtinId="26" hidden="1"/>
    <cellStyle name="Heading 1" xfId="23" builtinId="16" hidden="1"/>
    <cellStyle name="Heading 2" xfId="24" builtinId="17" hidden="1"/>
    <cellStyle name="Heading 3" xfId="25" builtinId="18" hidden="1"/>
    <cellStyle name="Heading 4" xfId="26" builtinId="19" hidden="1"/>
    <cellStyle name="Hyperlink" xfId="63" builtinId="8" hidden="1"/>
    <cellStyle name="Hyperlink" xfId="65" builtinId="8" hidden="1"/>
    <cellStyle name="Hyperlink" xfId="66" builtinId="8" hidden="1"/>
    <cellStyle name="Input" xfId="30" builtinId="20" hidden="1"/>
    <cellStyle name="Linked Cell" xfId="33" builtinId="24" hidden="1"/>
    <cellStyle name="Neutral" xfId="29" builtinId="28" hidden="1"/>
    <cellStyle name="Normal" xfId="0" builtinId="0"/>
    <cellStyle name="Note" xfId="36" builtinId="10" hidden="1"/>
    <cellStyle name="Output" xfId="31" builtinId="21" hidden="1"/>
    <cellStyle name="Percent" xfId="18" builtinId="5" hidden="1"/>
    <cellStyle name="Title" xfId="22" builtinId="15" hidden="1"/>
    <cellStyle name="Total" xfId="38" builtinId="25" hidden="1"/>
    <cellStyle name="Warning Text" xfId="35" builtinId="11" hidden="1"/>
    <cellStyle name="콤마 [0]_ 비목별 월별기술 " xfId="16" xr:uid="{00000000-0005-0000-0000-000041000000}"/>
    <cellStyle name="콤마_ 비목별 월별기술 " xfId="17" xr:uid="{00000000-0005-0000-0000-000042000000}"/>
  </cellStyles>
  <dxfs count="0"/>
  <tableStyles count="0" defaultTableStyle="TableStyleMedium9" defaultPivotStyle="PivotStyleLight16"/>
  <colors>
    <mruColors>
      <color rgb="FF0000FF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externalLink" Target="externalLinks/externalLink2.xml"/><Relationship Id="rId89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externalLink" Target="externalLinks/externalLink8.xml"/><Relationship Id="rId95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externalLink" Target="externalLinks/externalLink3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externalLink" Target="externalLinks/externalLink1.xml"/><Relationship Id="rId88" Type="http://schemas.openxmlformats.org/officeDocument/2006/relationships/externalLink" Target="externalLinks/externalLink6.xml"/><Relationship Id="rId9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externalLink" Target="externalLinks/externalLink4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&#7847;n%20c&#7847;u(&#273;a%20ktra)/Khoi%20luong%20KC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&#7847;n%20c&#7847;u(&#273;a%20ktra)/KL%20MO%20CAU%20KM101+813.4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cuments/MEGAsync/C25/BOT-BGLS/HSCL/Cau/V1/phanthe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cuments/MEGAsync/C25/BOT-BGLS/HSCL/Cau/V1/in/thongtin/KL%20MO%20CAU%20KM101+813.4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cuments/MEGAsync/C25/BOT-BGLS/HSTT/IPC7/IPC7%20ng&#224;y%2028-6-2019%20+%20ph&#226;n%20khai_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cuments/MEGAsync/C25/BOT-BGLS/thiet%20ke/CAU/KHOI%20LUONG%20TU%20NON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KHOI%20LUONG%20TU%20NON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MEGAsync/C25/BOT-BGLS/phankhai/QUY&#7870;T%20TO&#193;N%20XL18-CT-COMA25/Ph&#7847;n%20c&#7847;u(&#273;ang%20ktra)/Khoi%20luong%20KC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MEGAsync/C25/BOT-BGLS/phankhai/QUY&#7870;T%20TO&#193;N%20XL18-CT-COMA25/KL%20MO%20CAU%20KM101+813.4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ong dan"/>
      <sheetName val="00000000"/>
      <sheetName val="Ban qua do"/>
      <sheetName val="Goi cau"/>
      <sheetName val="Toa do, cao do ban mat cau"/>
      <sheetName val="Ban mat cau"/>
      <sheetName val="Go lan can"/>
      <sheetName val="Dai Phan cach"/>
      <sheetName val="Tam chong loa"/>
      <sheetName val="Thoat nuoc"/>
      <sheetName val="Khe co gian"/>
      <sheetName val="THKL"/>
      <sheetName val="un"/>
      <sheetName val="Sheet1"/>
    </sheetNames>
    <sheetDataSet>
      <sheetData sheetId="0" refreshError="1"/>
      <sheetData sheetId="1" refreshError="1"/>
      <sheetData sheetId="2">
        <row r="5">
          <cell r="G5">
            <v>1990.1333999999999</v>
          </cell>
        </row>
        <row r="6">
          <cell r="G6">
            <v>554.06020999999998</v>
          </cell>
        </row>
        <row r="7">
          <cell r="G7">
            <v>571.58080000000007</v>
          </cell>
        </row>
        <row r="8">
          <cell r="G8">
            <v>625.55185000000006</v>
          </cell>
        </row>
        <row r="9">
          <cell r="G9">
            <v>282.45027999999996</v>
          </cell>
        </row>
        <row r="10">
          <cell r="G10">
            <v>54.999168000000004</v>
          </cell>
        </row>
        <row r="11">
          <cell r="G11">
            <v>11.628800000000002</v>
          </cell>
        </row>
        <row r="12">
          <cell r="G12">
            <v>1972.5215999999998</v>
          </cell>
        </row>
        <row r="13">
          <cell r="G13">
            <v>551.69708000000003</v>
          </cell>
        </row>
        <row r="14">
          <cell r="G14">
            <v>581.78760000000011</v>
          </cell>
        </row>
        <row r="15">
          <cell r="G15">
            <v>622.88380000000006</v>
          </cell>
        </row>
        <row r="16">
          <cell r="G16">
            <v>279.95071999999999</v>
          </cell>
        </row>
        <row r="17">
          <cell r="G17">
            <v>54.999168000000004</v>
          </cell>
        </row>
        <row r="18">
          <cell r="G18">
            <v>11.628800000000002</v>
          </cell>
        </row>
        <row r="19">
          <cell r="G19">
            <v>1954.9097999999999</v>
          </cell>
        </row>
        <row r="20">
          <cell r="G20">
            <v>547.45845000000008</v>
          </cell>
        </row>
        <row r="21">
          <cell r="G21">
            <v>571.58080000000007</v>
          </cell>
        </row>
        <row r="22">
          <cell r="G22">
            <v>618.09825000000012</v>
          </cell>
        </row>
        <row r="23">
          <cell r="G23">
            <v>277.45115999999996</v>
          </cell>
        </row>
        <row r="24">
          <cell r="G24">
            <v>54.999168000000004</v>
          </cell>
        </row>
        <row r="25">
          <cell r="G25">
            <v>11.123200000000001</v>
          </cell>
        </row>
        <row r="26">
          <cell r="G26">
            <v>1954.9097999999999</v>
          </cell>
        </row>
        <row r="27">
          <cell r="G27">
            <v>545.32038</v>
          </cell>
        </row>
        <row r="28">
          <cell r="G28">
            <v>571.58080000000007</v>
          </cell>
        </row>
        <row r="29">
          <cell r="G29">
            <v>615.68429999999989</v>
          </cell>
        </row>
        <row r="30">
          <cell r="G30">
            <v>277.45115999999996</v>
          </cell>
        </row>
        <row r="31">
          <cell r="G31">
            <v>54.999168000000004</v>
          </cell>
        </row>
        <row r="32">
          <cell r="G32">
            <v>11.123200000000001</v>
          </cell>
        </row>
        <row r="38">
          <cell r="G38">
            <v>45.504000000000005</v>
          </cell>
        </row>
        <row r="39">
          <cell r="G39">
            <v>8314.5843120000009</v>
          </cell>
        </row>
        <row r="40">
          <cell r="G40">
            <v>7872.4745999999996</v>
          </cell>
        </row>
        <row r="42">
          <cell r="G42">
            <v>114.92176111116</v>
          </cell>
        </row>
      </sheetData>
      <sheetData sheetId="3">
        <row r="4">
          <cell r="D4">
            <v>96</v>
          </cell>
        </row>
      </sheetData>
      <sheetData sheetId="4" refreshError="1"/>
      <sheetData sheetId="5">
        <row r="25">
          <cell r="G25">
            <v>20369.536680000001</v>
          </cell>
        </row>
        <row r="26">
          <cell r="G26">
            <v>94.503</v>
          </cell>
        </row>
        <row r="30">
          <cell r="G30">
            <v>414</v>
          </cell>
        </row>
      </sheetData>
      <sheetData sheetId="6">
        <row r="41">
          <cell r="I41">
            <v>3.6036403200000002</v>
          </cell>
        </row>
        <row r="42">
          <cell r="I42">
            <v>35.910000000000004</v>
          </cell>
        </row>
      </sheetData>
      <sheetData sheetId="7">
        <row r="41">
          <cell r="I41">
            <v>3.681277086438</v>
          </cell>
        </row>
      </sheetData>
      <sheetData sheetId="8" refreshError="1"/>
      <sheetData sheetId="9">
        <row r="4">
          <cell r="E4">
            <v>4</v>
          </cell>
        </row>
        <row r="6">
          <cell r="E6">
            <v>12</v>
          </cell>
          <cell r="G6">
            <v>16.440000000000001</v>
          </cell>
        </row>
        <row r="8">
          <cell r="G8">
            <v>22.52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L MO M1R"/>
      <sheetName val="THKL MO M1L"/>
      <sheetName val="THKL MO M1"/>
      <sheetName val="THKL MO M2L"/>
      <sheetName val="THKL MO M2R"/>
      <sheetName val="THKL MO M2"/>
      <sheetName val="Noi suy cao do goi"/>
      <sheetName val="CAO DO GOI"/>
      <sheetName val="TLR THEP"/>
    </sheetNames>
    <sheetDataSet>
      <sheetData sheetId="0" refreshError="1">
        <row r="83">
          <cell r="I83">
            <v>119.80500000000001</v>
          </cell>
        </row>
        <row r="84">
          <cell r="I84">
            <v>114.34914499999999</v>
          </cell>
        </row>
        <row r="85">
          <cell r="I85">
            <v>6.1973899999999995</v>
          </cell>
        </row>
        <row r="86">
          <cell r="I86">
            <v>18.802800000000001</v>
          </cell>
        </row>
      </sheetData>
      <sheetData sheetId="1" refreshError="1">
        <row r="83">
          <cell r="I83">
            <v>120.27000000000001</v>
          </cell>
        </row>
        <row r="84">
          <cell r="I84">
            <v>110.09880000000001</v>
          </cell>
        </row>
        <row r="85">
          <cell r="I85">
            <v>6.2037200000000006</v>
          </cell>
        </row>
        <row r="86">
          <cell r="I86">
            <v>17.888479999999998</v>
          </cell>
        </row>
      </sheetData>
      <sheetData sheetId="2" refreshError="1">
        <row r="29">
          <cell r="K29">
            <v>513.61533499999996</v>
          </cell>
        </row>
        <row r="34">
          <cell r="I34">
            <v>10.10295</v>
          </cell>
          <cell r="J34">
            <v>10.10295</v>
          </cell>
        </row>
        <row r="35">
          <cell r="K35">
            <v>16.765000000000001</v>
          </cell>
        </row>
        <row r="44">
          <cell r="I44">
            <v>7</v>
          </cell>
          <cell r="J44">
            <v>7</v>
          </cell>
        </row>
        <row r="46">
          <cell r="K46">
            <v>8.5329999999999995</v>
          </cell>
        </row>
        <row r="47">
          <cell r="K47">
            <v>7.5529999999999999</v>
          </cell>
        </row>
      </sheetData>
      <sheetData sheetId="3" refreshError="1">
        <row r="83">
          <cell r="I83">
            <v>186.66</v>
          </cell>
        </row>
        <row r="84">
          <cell r="I84">
            <v>170.06566500000002</v>
          </cell>
        </row>
        <row r="85">
          <cell r="I85">
            <v>2.8607400000000003</v>
          </cell>
        </row>
        <row r="86">
          <cell r="I86">
            <v>36.992760000000004</v>
          </cell>
        </row>
      </sheetData>
      <sheetData sheetId="4" refreshError="1">
        <row r="83">
          <cell r="I83">
            <v>185.88</v>
          </cell>
        </row>
        <row r="84">
          <cell r="I84">
            <v>174.61268999999999</v>
          </cell>
        </row>
        <row r="85">
          <cell r="I85">
            <v>3.4689200000000002</v>
          </cell>
        </row>
        <row r="86">
          <cell r="I86">
            <v>38.84948</v>
          </cell>
        </row>
      </sheetData>
      <sheetData sheetId="5" refreshError="1">
        <row r="29">
          <cell r="K29">
            <v>799.39025500000014</v>
          </cell>
        </row>
        <row r="34">
          <cell r="I34">
            <v>16.734629999999996</v>
          </cell>
          <cell r="J34">
            <v>16.734629999999996</v>
          </cell>
        </row>
        <row r="35">
          <cell r="K35">
            <v>19.404</v>
          </cell>
        </row>
        <row r="44">
          <cell r="I44">
            <v>7</v>
          </cell>
          <cell r="J44">
            <v>7</v>
          </cell>
        </row>
        <row r="46">
          <cell r="K46">
            <v>10.225</v>
          </cell>
        </row>
        <row r="47">
          <cell r="K47">
            <v>9.2609999999999992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L"/>
      <sheetName val="A1R"/>
      <sheetName val="A2L"/>
      <sheetName val="A2R"/>
      <sheetName val="Sosanh"/>
    </sheetNames>
    <sheetDataSet>
      <sheetData sheetId="0">
        <row r="197">
          <cell r="O197">
            <v>0</v>
          </cell>
        </row>
        <row r="198">
          <cell r="O198">
            <v>1955.1710000000003</v>
          </cell>
        </row>
        <row r="199">
          <cell r="O199">
            <v>6854.2098900000001</v>
          </cell>
        </row>
        <row r="201">
          <cell r="O201">
            <v>84.528999999999996</v>
          </cell>
        </row>
        <row r="202">
          <cell r="O202">
            <v>857.39948000000004</v>
          </cell>
        </row>
        <row r="203">
          <cell r="O203">
            <v>210.7105</v>
          </cell>
        </row>
        <row r="205">
          <cell r="O205">
            <v>105.66125</v>
          </cell>
        </row>
        <row r="206">
          <cell r="O206">
            <v>998.53632000000005</v>
          </cell>
        </row>
        <row r="207">
          <cell r="O207">
            <v>285.59300000000002</v>
          </cell>
        </row>
        <row r="209">
          <cell r="O209">
            <v>84.528999999999996</v>
          </cell>
        </row>
        <row r="210">
          <cell r="O210">
            <v>908.51618000000008</v>
          </cell>
        </row>
        <row r="211">
          <cell r="O211">
            <v>306.05574999999999</v>
          </cell>
        </row>
        <row r="213">
          <cell r="O213">
            <v>8.307640000000001</v>
          </cell>
        </row>
        <row r="214">
          <cell r="O214">
            <v>237.65850000000003</v>
          </cell>
        </row>
        <row r="215">
          <cell r="O215">
            <v>417.73215000000005</v>
          </cell>
        </row>
        <row r="217">
          <cell r="O217">
            <v>102.31658999999999</v>
          </cell>
        </row>
        <row r="218">
          <cell r="O218">
            <v>2326.2204900000002</v>
          </cell>
        </row>
        <row r="219">
          <cell r="O219">
            <v>381.93362999999999</v>
          </cell>
        </row>
      </sheetData>
      <sheetData sheetId="1">
        <row r="197">
          <cell r="O197">
            <v>0</v>
          </cell>
        </row>
        <row r="198">
          <cell r="O198">
            <v>2030.11672</v>
          </cell>
        </row>
        <row r="199">
          <cell r="O199">
            <v>7054.1117899999999</v>
          </cell>
        </row>
        <row r="201">
          <cell r="O201">
            <v>84.528999999999996</v>
          </cell>
        </row>
        <row r="202">
          <cell r="O202">
            <v>867.18214000000012</v>
          </cell>
        </row>
        <row r="203">
          <cell r="O203">
            <v>210.21</v>
          </cell>
        </row>
        <row r="205">
          <cell r="O205">
            <v>105.66125</v>
          </cell>
        </row>
        <row r="206">
          <cell r="O206">
            <v>990.26900000000012</v>
          </cell>
        </row>
        <row r="207">
          <cell r="O207">
            <v>241.31799999999998</v>
          </cell>
        </row>
        <row r="209">
          <cell r="O209">
            <v>84.528999999999996</v>
          </cell>
        </row>
        <row r="210">
          <cell r="O210">
            <v>917.01974000000007</v>
          </cell>
        </row>
        <row r="211">
          <cell r="O211">
            <v>307.30700000000002</v>
          </cell>
        </row>
        <row r="213">
          <cell r="O213">
            <v>8.307640000000001</v>
          </cell>
        </row>
        <row r="214">
          <cell r="O214">
            <v>240.64153999999999</v>
          </cell>
        </row>
        <row r="215">
          <cell r="O215">
            <v>369.33764999999994</v>
          </cell>
        </row>
        <row r="217">
          <cell r="O217">
            <v>102.63742999999999</v>
          </cell>
        </row>
        <row r="218">
          <cell r="O218">
            <v>2498.36049</v>
          </cell>
        </row>
        <row r="219">
          <cell r="O219">
            <v>547.67613000000006</v>
          </cell>
        </row>
      </sheetData>
      <sheetData sheetId="2">
        <row r="207">
          <cell r="O207">
            <v>0</v>
          </cell>
        </row>
        <row r="208">
          <cell r="O208">
            <v>2868.0998</v>
          </cell>
        </row>
        <row r="209">
          <cell r="O209">
            <v>11564.198599999998</v>
          </cell>
        </row>
        <row r="211">
          <cell r="O211">
            <v>103.039</v>
          </cell>
        </row>
        <row r="212">
          <cell r="O212">
            <v>942.92815999999993</v>
          </cell>
        </row>
        <row r="213">
          <cell r="O213">
            <v>264.91465000000005</v>
          </cell>
        </row>
        <row r="215">
          <cell r="O215">
            <v>128.79875000000001</v>
          </cell>
        </row>
        <row r="216">
          <cell r="O216">
            <v>1018.80544</v>
          </cell>
        </row>
        <row r="217">
          <cell r="O217">
            <v>285.29270000000002</v>
          </cell>
        </row>
        <row r="219">
          <cell r="O219">
            <v>103.039</v>
          </cell>
        </row>
        <row r="220">
          <cell r="O220">
            <v>999.83701999999994</v>
          </cell>
        </row>
        <row r="221">
          <cell r="O221">
            <v>281.54665</v>
          </cell>
        </row>
        <row r="223">
          <cell r="O223">
            <v>103.039</v>
          </cell>
        </row>
        <row r="224">
          <cell r="O224">
            <v>1001.49008</v>
          </cell>
        </row>
        <row r="225">
          <cell r="O225">
            <v>336.98665</v>
          </cell>
        </row>
        <row r="227">
          <cell r="O227">
            <v>99.490890000000007</v>
          </cell>
        </row>
        <row r="228">
          <cell r="O228">
            <v>1565.3886200000004</v>
          </cell>
        </row>
        <row r="229">
          <cell r="O229">
            <v>439.41700000000003</v>
          </cell>
        </row>
        <row r="231">
          <cell r="O231">
            <v>24.70468</v>
          </cell>
        </row>
        <row r="232">
          <cell r="O232">
            <v>650.00450000000001</v>
          </cell>
        </row>
        <row r="233">
          <cell r="O233">
            <v>333.33144000000004</v>
          </cell>
        </row>
      </sheetData>
      <sheetData sheetId="3">
        <row r="207">
          <cell r="O207">
            <v>0</v>
          </cell>
        </row>
        <row r="208">
          <cell r="O208">
            <v>2977.1871999999998</v>
          </cell>
        </row>
        <row r="209">
          <cell r="O209">
            <v>12797.693599999999</v>
          </cell>
        </row>
        <row r="211">
          <cell r="O211">
            <v>103.039</v>
          </cell>
        </row>
        <row r="212">
          <cell r="O212">
            <v>914.2748600000001</v>
          </cell>
        </row>
        <row r="213">
          <cell r="O213">
            <v>261.96170000000001</v>
          </cell>
        </row>
        <row r="215">
          <cell r="O215">
            <v>128.79875000000001</v>
          </cell>
        </row>
        <row r="216">
          <cell r="O216">
            <v>987.94804000000011</v>
          </cell>
        </row>
        <row r="217">
          <cell r="O217">
            <v>282.11260000000004</v>
          </cell>
        </row>
        <row r="219">
          <cell r="O219">
            <v>103.039</v>
          </cell>
        </row>
        <row r="220">
          <cell r="O220">
            <v>1005.8520800000001</v>
          </cell>
        </row>
        <row r="221">
          <cell r="O221">
            <v>358.38880000000006</v>
          </cell>
        </row>
        <row r="223">
          <cell r="O223">
            <v>103.039</v>
          </cell>
        </row>
        <row r="224">
          <cell r="O224">
            <v>971.50168000000008</v>
          </cell>
        </row>
        <row r="225">
          <cell r="O225">
            <v>330.53020000000004</v>
          </cell>
        </row>
        <row r="227">
          <cell r="O227">
            <v>99.490890000000007</v>
          </cell>
        </row>
        <row r="228">
          <cell r="O228">
            <v>1617.7266200000004</v>
          </cell>
        </row>
        <row r="229">
          <cell r="O229">
            <v>435.61320000000001</v>
          </cell>
        </row>
        <row r="231">
          <cell r="O231">
            <v>24.70468</v>
          </cell>
        </row>
        <row r="232">
          <cell r="O232">
            <v>672.26980000000003</v>
          </cell>
        </row>
        <row r="233">
          <cell r="O233">
            <v>333.33144000000004</v>
          </cell>
        </row>
      </sheetData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L MO M1R"/>
      <sheetName val="THKL MO M1L"/>
      <sheetName val="THKL MO M1"/>
      <sheetName val="THKL MO M2L"/>
      <sheetName val="THKL MO M2R"/>
      <sheetName val="THKL MO M2"/>
      <sheetName val="Noi suy cao do goi"/>
      <sheetName val="CAO DO GOI"/>
      <sheetName val="TLR THEP"/>
    </sheetNames>
    <sheetDataSet>
      <sheetData sheetId="0">
        <row r="5">
          <cell r="I5">
            <v>2177.9604000000004</v>
          </cell>
        </row>
        <row r="6">
          <cell r="I6">
            <v>1376.43</v>
          </cell>
        </row>
        <row r="7">
          <cell r="I7">
            <v>1665.5219999999999</v>
          </cell>
        </row>
        <row r="8">
          <cell r="I8">
            <v>903.53880000000004</v>
          </cell>
        </row>
        <row r="9">
          <cell r="I9">
            <v>171.1456</v>
          </cell>
        </row>
        <row r="10">
          <cell r="I10">
            <v>150.73200000000003</v>
          </cell>
        </row>
        <row r="11">
          <cell r="I11">
            <v>200.77376000000001</v>
          </cell>
        </row>
        <row r="12">
          <cell r="I12">
            <v>199.53504000000001</v>
          </cell>
        </row>
        <row r="13">
          <cell r="I13">
            <v>460.72800000000001</v>
          </cell>
        </row>
        <row r="14">
          <cell r="I14">
            <v>986.86800000000005</v>
          </cell>
        </row>
        <row r="60">
          <cell r="I60">
            <v>20.379600000000003</v>
          </cell>
        </row>
        <row r="61">
          <cell r="I61">
            <v>25.974</v>
          </cell>
        </row>
      </sheetData>
      <sheetData sheetId="1">
        <row r="5">
          <cell r="I5">
            <v>2204.8487999999998</v>
          </cell>
        </row>
        <row r="6">
          <cell r="I6">
            <v>1382.665</v>
          </cell>
        </row>
        <row r="7">
          <cell r="I7">
            <v>1686.0840000000001</v>
          </cell>
        </row>
        <row r="8">
          <cell r="I8">
            <v>906.80939999999998</v>
          </cell>
        </row>
        <row r="9">
          <cell r="I9">
            <v>171.1456</v>
          </cell>
        </row>
        <row r="10">
          <cell r="I10">
            <v>150.73200000000003</v>
          </cell>
        </row>
        <row r="11">
          <cell r="I11">
            <v>201.40576000000001</v>
          </cell>
        </row>
        <row r="12">
          <cell r="I12">
            <v>200.60944000000001</v>
          </cell>
        </row>
        <row r="13">
          <cell r="I13">
            <v>466.416</v>
          </cell>
        </row>
        <row r="14">
          <cell r="I14">
            <v>986.86800000000005</v>
          </cell>
        </row>
        <row r="60">
          <cell r="I60">
            <v>20.379600000000003</v>
          </cell>
        </row>
        <row r="61">
          <cell r="I61">
            <v>25.974</v>
          </cell>
        </row>
      </sheetData>
      <sheetData sheetId="2"/>
      <sheetData sheetId="3">
        <row r="5">
          <cell r="I5">
            <v>2571.0607999999997</v>
          </cell>
        </row>
        <row r="6">
          <cell r="I6">
            <v>1620.5</v>
          </cell>
        </row>
        <row r="7">
          <cell r="I7">
            <v>2571.0607999999997</v>
          </cell>
        </row>
        <row r="8">
          <cell r="I8">
            <v>1041.0146</v>
          </cell>
        </row>
        <row r="9">
          <cell r="I9">
            <v>270.39804000000004</v>
          </cell>
        </row>
        <row r="10">
          <cell r="I10">
            <v>210.77199999999999</v>
          </cell>
        </row>
        <row r="11">
          <cell r="I11">
            <v>278.32332000000008</v>
          </cell>
        </row>
        <row r="12">
          <cell r="I12">
            <v>279.38350000000008</v>
          </cell>
        </row>
        <row r="13">
          <cell r="I13">
            <v>595.976</v>
          </cell>
        </row>
        <row r="14">
          <cell r="I14">
            <v>1689.81</v>
          </cell>
        </row>
        <row r="60">
          <cell r="I60">
            <v>20.379600000000003</v>
          </cell>
        </row>
        <row r="61">
          <cell r="I61">
            <v>25.974</v>
          </cell>
        </row>
      </sheetData>
      <sheetData sheetId="4">
        <row r="5">
          <cell r="I5">
            <v>2542.6477999999997</v>
          </cell>
        </row>
        <row r="6">
          <cell r="I6">
            <v>1620.5</v>
          </cell>
        </row>
        <row r="7">
          <cell r="I7">
            <v>2542.6477999999997</v>
          </cell>
        </row>
        <row r="8">
          <cell r="I8">
            <v>1041.0146</v>
          </cell>
        </row>
        <row r="9">
          <cell r="I9">
            <v>270.39804000000004</v>
          </cell>
        </row>
        <row r="10">
          <cell r="I10">
            <v>210.77199999999999</v>
          </cell>
        </row>
        <row r="11">
          <cell r="I11">
            <v>278.32332000000008</v>
          </cell>
        </row>
        <row r="12">
          <cell r="I12">
            <v>279.38350000000008</v>
          </cell>
        </row>
        <row r="13">
          <cell r="I13">
            <v>595.976</v>
          </cell>
        </row>
        <row r="14">
          <cell r="I14">
            <v>1689.81</v>
          </cell>
        </row>
        <row r="60">
          <cell r="I60">
            <v>20.379600000000003</v>
          </cell>
        </row>
        <row r="61">
          <cell r="I61">
            <v>25.974</v>
          </cell>
        </row>
      </sheetData>
      <sheetData sheetId="5"/>
      <sheetData sheetId="6"/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IA"/>
      <sheetName val="MUC LUC"/>
      <sheetName val="Book1-01"/>
      <sheetName val="Book1-01 (2)"/>
      <sheetName val="BooK2-02"/>
      <sheetName val="Book 3-03"/>
      <sheetName val="Book 3-03 (2)"/>
      <sheetName val="Book 4-04"/>
      <sheetName val="Book 5-1a"/>
      <sheetName val="THKL"/>
      <sheetName val="PKTT ĐỢT 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43">
          <cell r="K343">
            <v>13.4</v>
          </cell>
        </row>
      </sheetData>
      <sheetData sheetId="10" refreshError="1"/>
      <sheetData sheetId="11">
        <row r="384">
          <cell r="AA384">
            <v>2838.04</v>
          </cell>
        </row>
        <row r="385">
          <cell r="AA385">
            <v>255.36</v>
          </cell>
        </row>
        <row r="386">
          <cell r="AA386">
            <v>5975.28</v>
          </cell>
        </row>
        <row r="387">
          <cell r="AA387">
            <v>358.56</v>
          </cell>
        </row>
        <row r="392">
          <cell r="AA392">
            <v>98.8</v>
          </cell>
        </row>
        <row r="393">
          <cell r="AA393">
            <v>562.4</v>
          </cell>
        </row>
        <row r="394">
          <cell r="AA394">
            <v>2661.73</v>
          </cell>
        </row>
        <row r="396">
          <cell r="AA396">
            <v>271.3</v>
          </cell>
        </row>
        <row r="398">
          <cell r="AA398">
            <v>2233.0300000000002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0"/>
      <sheetName val="Data"/>
      <sheetName val="cong thuc tinh tu non"/>
      <sheetName val="KL duong dau cau"/>
      <sheetName val="KL tu non. long mo"/>
      <sheetName val="TONG KL "/>
      <sheetName val="cong sieu cao"/>
      <sheetName val="1 tam op"/>
      <sheetName val="Toa Do Tu Non"/>
      <sheetName val="tinh dap dat tuong ch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4">
          <cell r="I4">
            <v>206.45</v>
          </cell>
        </row>
        <row r="23">
          <cell r="G23">
            <v>146.07</v>
          </cell>
          <cell r="H23">
            <v>187.06</v>
          </cell>
        </row>
        <row r="24">
          <cell r="G24">
            <v>307.26</v>
          </cell>
          <cell r="H24">
            <v>372.93</v>
          </cell>
        </row>
        <row r="25">
          <cell r="G25">
            <v>18.75</v>
          </cell>
          <cell r="H25">
            <v>18.75</v>
          </cell>
        </row>
        <row r="26">
          <cell r="G26">
            <v>2</v>
          </cell>
          <cell r="H26">
            <v>2</v>
          </cell>
        </row>
        <row r="27">
          <cell r="G27">
            <v>39.799999999999997</v>
          </cell>
          <cell r="H27">
            <v>39.799999999999997</v>
          </cell>
        </row>
        <row r="29">
          <cell r="G29">
            <v>0.92</v>
          </cell>
          <cell r="H29">
            <v>0.89</v>
          </cell>
        </row>
        <row r="30">
          <cell r="G30">
            <v>2.65</v>
          </cell>
          <cell r="H30">
            <v>2.5</v>
          </cell>
        </row>
        <row r="33">
          <cell r="G33">
            <v>188.68</v>
          </cell>
          <cell r="H33">
            <v>97.41</v>
          </cell>
        </row>
        <row r="34">
          <cell r="G34">
            <v>8.1199999999999992</v>
          </cell>
          <cell r="H34">
            <v>6.32</v>
          </cell>
        </row>
        <row r="36">
          <cell r="G36">
            <v>140.07</v>
          </cell>
          <cell r="H36">
            <v>127.9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0"/>
      <sheetName val="Data"/>
      <sheetName val="cong thuc tinh tu non"/>
      <sheetName val="KL duong dau cau"/>
      <sheetName val="KL tu non. long mo"/>
      <sheetName val="TONG KL "/>
      <sheetName val="cong sieu cao"/>
      <sheetName val="1 tam op"/>
      <sheetName val="Toa Do Tu N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6">
          <cell r="I6">
            <v>151.49</v>
          </cell>
        </row>
        <row r="7">
          <cell r="I7">
            <v>5973.14</v>
          </cell>
        </row>
        <row r="8">
          <cell r="I8">
            <v>3467.33</v>
          </cell>
        </row>
        <row r="9">
          <cell r="I9">
            <v>639.30999999999995</v>
          </cell>
        </row>
        <row r="11">
          <cell r="I11">
            <v>41.33</v>
          </cell>
        </row>
        <row r="12">
          <cell r="I12">
            <v>6.15</v>
          </cell>
        </row>
        <row r="13">
          <cell r="I13">
            <v>21</v>
          </cell>
        </row>
        <row r="15">
          <cell r="I15">
            <v>5753</v>
          </cell>
        </row>
        <row r="16">
          <cell r="I16">
            <v>57.53</v>
          </cell>
        </row>
        <row r="17">
          <cell r="I17">
            <v>2784.46</v>
          </cell>
        </row>
        <row r="20">
          <cell r="I20">
            <v>143.96</v>
          </cell>
        </row>
        <row r="21">
          <cell r="I21">
            <v>102.42</v>
          </cell>
        </row>
        <row r="23">
          <cell r="I23">
            <v>333.13</v>
          </cell>
        </row>
        <row r="24">
          <cell r="I24">
            <v>680.19</v>
          </cell>
        </row>
        <row r="25">
          <cell r="I25">
            <v>37.5</v>
          </cell>
        </row>
        <row r="26">
          <cell r="I26">
            <v>4</v>
          </cell>
        </row>
        <row r="27">
          <cell r="I27">
            <v>79.599999999999994</v>
          </cell>
        </row>
        <row r="29">
          <cell r="I29">
            <v>1.81</v>
          </cell>
        </row>
        <row r="30">
          <cell r="I30">
            <v>5.15</v>
          </cell>
        </row>
        <row r="33">
          <cell r="I33">
            <v>286.08999999999997</v>
          </cell>
        </row>
        <row r="34">
          <cell r="I34">
            <v>14.44</v>
          </cell>
        </row>
        <row r="36">
          <cell r="I36">
            <v>267.97000000000003</v>
          </cell>
        </row>
        <row r="37">
          <cell r="I37">
            <v>114.05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ong dan"/>
      <sheetName val="00000000"/>
      <sheetName val="Ban qua do"/>
      <sheetName val="Goi cau"/>
      <sheetName val="Toa do, cao do ban mat cau"/>
      <sheetName val="Ban mat cau"/>
      <sheetName val="Go lan can"/>
      <sheetName val="Dai Phan cach"/>
      <sheetName val="Tam chong loa"/>
      <sheetName val="Thoat nuoc"/>
      <sheetName val="Khe co gian"/>
      <sheetName val="THKL"/>
      <sheetName val="un"/>
      <sheetName val="Sheet1"/>
    </sheetNames>
    <sheetDataSet>
      <sheetData sheetId="0"/>
      <sheetData sheetId="1"/>
      <sheetData sheetId="2"/>
      <sheetData sheetId="3"/>
      <sheetData sheetId="4"/>
      <sheetData sheetId="5">
        <row r="30">
          <cell r="G30">
            <v>414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L MO M1R"/>
      <sheetName val="THKL MO M1L"/>
      <sheetName val="THKL MO M1"/>
      <sheetName val="THKL MO M2L"/>
      <sheetName val="THKL MO M2R"/>
      <sheetName val="THKL MO M2"/>
      <sheetName val="Noi suy cao do goi"/>
      <sheetName val="CAO DO GOI"/>
      <sheetName val="TLR THEP"/>
    </sheetNames>
    <sheetDataSet>
      <sheetData sheetId="0"/>
      <sheetData sheetId="1"/>
      <sheetData sheetId="2">
        <row r="32">
          <cell r="K32">
            <v>0.48719999999999997</v>
          </cell>
        </row>
      </sheetData>
      <sheetData sheetId="3"/>
      <sheetData sheetId="4"/>
      <sheetData sheetId="5">
        <row r="32">
          <cell r="K32">
            <v>0.48719999999999997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N62"/>
  <sheetViews>
    <sheetView view="pageBreakPreview" zoomScaleSheetLayoutView="100" workbookViewId="0">
      <selection activeCell="F20" sqref="F20"/>
    </sheetView>
  </sheetViews>
  <sheetFormatPr defaultColWidth="9.5703125" defaultRowHeight="15"/>
  <cols>
    <col min="1" max="1" width="4.7109375" style="34" customWidth="1"/>
    <col min="2" max="2" width="6.140625" style="44" bestFit="1" customWidth="1"/>
    <col min="3" max="3" width="35.140625" style="45" customWidth="1"/>
    <col min="4" max="4" width="7.5703125" style="46" customWidth="1"/>
    <col min="5" max="5" width="8.28515625" style="47" customWidth="1"/>
    <col min="6" max="6" width="8.42578125" style="47" customWidth="1"/>
    <col min="7" max="7" width="8.28515625" style="47" customWidth="1"/>
    <col min="8" max="8" width="10.7109375" style="47" customWidth="1"/>
    <col min="9" max="9" width="12.7109375" style="48" customWidth="1"/>
    <col min="10" max="10" width="10.7109375" style="48" customWidth="1"/>
    <col min="11" max="11" width="12.7109375" style="48" customWidth="1"/>
    <col min="12" max="12" width="10.7109375" style="48" customWidth="1"/>
    <col min="13" max="13" width="12.7109375" style="48" customWidth="1"/>
    <col min="14" max="16384" width="9.5703125" style="49"/>
  </cols>
  <sheetData>
    <row r="1" spans="1:13" s="35" customFormat="1" ht="54" customHeight="1">
      <c r="A1" s="34"/>
      <c r="B1" s="219" t="s">
        <v>10</v>
      </c>
      <c r="C1" s="220" t="s">
        <v>11</v>
      </c>
      <c r="D1" s="220" t="s">
        <v>12</v>
      </c>
      <c r="E1" s="221" t="s">
        <v>59</v>
      </c>
      <c r="F1" s="222" t="s">
        <v>13</v>
      </c>
      <c r="G1" s="222" t="s">
        <v>60</v>
      </c>
      <c r="H1" s="521" t="s">
        <v>61</v>
      </c>
      <c r="I1" s="521"/>
      <c r="J1" s="521"/>
      <c r="K1" s="521"/>
      <c r="L1" s="521"/>
      <c r="M1" s="521"/>
    </row>
    <row r="2" spans="1:13" s="35" customFormat="1" ht="17.100000000000001" customHeight="1">
      <c r="A2" s="36"/>
      <c r="B2" s="37"/>
      <c r="C2" s="38"/>
      <c r="D2" s="38"/>
      <c r="E2" s="39"/>
      <c r="F2" s="40"/>
      <c r="G2" s="40"/>
      <c r="H2" s="522">
        <v>49763.69</v>
      </c>
      <c r="I2" s="523"/>
      <c r="J2" s="522">
        <v>50040.24</v>
      </c>
      <c r="K2" s="523"/>
      <c r="L2" s="522">
        <v>51610.75</v>
      </c>
      <c r="M2" s="523"/>
    </row>
    <row r="3" spans="1:13" s="35" customFormat="1" ht="17.100000000000001" customHeight="1">
      <c r="A3" s="36">
        <v>1</v>
      </c>
      <c r="B3" s="50">
        <f>A3+1</f>
        <v>2</v>
      </c>
      <c r="C3" s="50">
        <f t="shared" ref="C3:M3" si="0">B3+1</f>
        <v>3</v>
      </c>
      <c r="D3" s="50">
        <f t="shared" si="0"/>
        <v>4</v>
      </c>
      <c r="E3" s="50">
        <f t="shared" si="0"/>
        <v>5</v>
      </c>
      <c r="F3" s="50">
        <f t="shared" si="0"/>
        <v>6</v>
      </c>
      <c r="G3" s="50">
        <f t="shared" si="0"/>
        <v>7</v>
      </c>
      <c r="H3" s="64">
        <f t="shared" si="0"/>
        <v>8</v>
      </c>
      <c r="I3" s="64">
        <f t="shared" si="0"/>
        <v>9</v>
      </c>
      <c r="J3" s="64">
        <f t="shared" si="0"/>
        <v>10</v>
      </c>
      <c r="K3" s="64">
        <f t="shared" si="0"/>
        <v>11</v>
      </c>
      <c r="L3" s="64">
        <f t="shared" si="0"/>
        <v>12</v>
      </c>
      <c r="M3" s="64">
        <f t="shared" si="0"/>
        <v>13</v>
      </c>
    </row>
    <row r="4" spans="1:13" s="35" customFormat="1" ht="17.100000000000001" customHeight="1">
      <c r="A4" s="36">
        <f>A3+1</f>
        <v>2</v>
      </c>
      <c r="B4" s="37"/>
      <c r="C4" s="38"/>
      <c r="D4" s="38"/>
      <c r="E4" s="39"/>
      <c r="F4" s="40"/>
      <c r="G4" s="40"/>
      <c r="H4" s="65" t="s">
        <v>62</v>
      </c>
      <c r="I4" s="65" t="s">
        <v>63</v>
      </c>
      <c r="J4" s="65" t="s">
        <v>62</v>
      </c>
      <c r="K4" s="65" t="s">
        <v>63</v>
      </c>
      <c r="L4" s="65" t="s">
        <v>62</v>
      </c>
      <c r="M4" s="65" t="s">
        <v>63</v>
      </c>
    </row>
    <row r="5" spans="1:13" s="35" customFormat="1" ht="17.100000000000001" customHeight="1">
      <c r="A5" s="36">
        <f t="shared" ref="A5:A62" si="1">A4+1</f>
        <v>3</v>
      </c>
      <c r="B5" s="37"/>
      <c r="C5" s="38"/>
      <c r="D5" s="38"/>
      <c r="E5" s="39"/>
      <c r="F5" s="40"/>
      <c r="G5" s="40"/>
      <c r="H5" s="65" t="s">
        <v>64</v>
      </c>
      <c r="I5" s="68">
        <f>H2</f>
        <v>49763.69</v>
      </c>
      <c r="J5" s="65" t="s">
        <v>65</v>
      </c>
      <c r="K5" s="68">
        <f>J2</f>
        <v>50040.24</v>
      </c>
      <c r="L5" s="65" t="s">
        <v>65</v>
      </c>
      <c r="M5" s="68">
        <f>L2</f>
        <v>51610.75</v>
      </c>
    </row>
    <row r="6" spans="1:13" s="35" customFormat="1" ht="17.100000000000001" customHeight="1">
      <c r="A6" s="36">
        <f t="shared" si="1"/>
        <v>4</v>
      </c>
      <c r="B6" s="74"/>
      <c r="C6" s="75"/>
      <c r="D6" s="75"/>
      <c r="E6" s="76"/>
      <c r="F6" s="77"/>
      <c r="G6" s="76"/>
      <c r="H6" s="69" t="s">
        <v>66</v>
      </c>
      <c r="I6" s="69" t="s">
        <v>67</v>
      </c>
      <c r="J6" s="69" t="s">
        <v>66</v>
      </c>
      <c r="K6" s="69" t="s">
        <v>67</v>
      </c>
      <c r="L6" s="69" t="s">
        <v>66</v>
      </c>
      <c r="M6" s="69" t="s">
        <v>78</v>
      </c>
    </row>
    <row r="7" spans="1:13" s="41" customFormat="1" ht="15.95" customHeight="1">
      <c r="A7" s="36">
        <f t="shared" si="1"/>
        <v>5</v>
      </c>
      <c r="B7" s="70" t="s">
        <v>14</v>
      </c>
      <c r="C7" s="71" t="s">
        <v>15</v>
      </c>
      <c r="D7" s="72"/>
      <c r="E7" s="73"/>
      <c r="F7" s="73"/>
      <c r="G7" s="73"/>
      <c r="H7" s="66"/>
      <c r="I7" s="67"/>
      <c r="J7" s="67"/>
      <c r="K7" s="67"/>
      <c r="L7" s="67"/>
      <c r="M7" s="67"/>
    </row>
    <row r="8" spans="1:13" s="41" customFormat="1" ht="15.95" customHeight="1">
      <c r="A8" s="36">
        <f t="shared" si="1"/>
        <v>6</v>
      </c>
      <c r="B8" s="57" t="s">
        <v>16</v>
      </c>
      <c r="C8" s="58" t="s">
        <v>17</v>
      </c>
      <c r="D8" s="59"/>
      <c r="E8" s="60"/>
      <c r="F8" s="60"/>
      <c r="G8" s="60"/>
      <c r="H8" s="51"/>
      <c r="I8" s="52"/>
      <c r="J8" s="52"/>
      <c r="K8" s="52"/>
      <c r="L8" s="52"/>
      <c r="M8" s="52"/>
    </row>
    <row r="9" spans="1:13" s="41" customFormat="1" ht="15.95" customHeight="1">
      <c r="A9" s="36"/>
      <c r="B9" s="57"/>
      <c r="C9" s="62" t="s">
        <v>75</v>
      </c>
      <c r="D9" s="63" t="s">
        <v>7</v>
      </c>
      <c r="E9" s="55"/>
      <c r="F9" s="55">
        <f>H9+J9+L9</f>
        <v>1139.5899999999999</v>
      </c>
      <c r="G9" s="56">
        <f>F9-E9</f>
        <v>1139.5899999999999</v>
      </c>
      <c r="H9" s="51"/>
      <c r="I9" s="52"/>
      <c r="J9" s="53">
        <v>1139.5899999999999</v>
      </c>
      <c r="K9" s="54">
        <v>43112</v>
      </c>
      <c r="L9" s="52"/>
      <c r="M9" s="52"/>
    </row>
    <row r="10" spans="1:13" s="41" customFormat="1" ht="15.95" customHeight="1">
      <c r="A10" s="36">
        <f>A8+1</f>
        <v>7</v>
      </c>
      <c r="B10" s="61">
        <v>1</v>
      </c>
      <c r="C10" s="62" t="s">
        <v>18</v>
      </c>
      <c r="D10" s="63" t="s">
        <v>7</v>
      </c>
      <c r="E10" s="55">
        <v>2027.95</v>
      </c>
      <c r="F10" s="55">
        <f>H10+J10+L10</f>
        <v>2999.3100000000004</v>
      </c>
      <c r="G10" s="56">
        <f>IF(E10&gt;0,F10-E10,0)</f>
        <v>971.36000000000035</v>
      </c>
      <c r="H10" s="53">
        <v>187.6</v>
      </c>
      <c r="I10" s="54">
        <v>43047</v>
      </c>
      <c r="J10" s="53">
        <v>148.62</v>
      </c>
      <c r="K10" s="54">
        <v>43112</v>
      </c>
      <c r="L10" s="53">
        <v>2663.09</v>
      </c>
      <c r="M10" s="54">
        <v>43080</v>
      </c>
    </row>
    <row r="11" spans="1:13" s="41" customFormat="1" ht="15.95" customHeight="1">
      <c r="A11" s="36">
        <f t="shared" si="1"/>
        <v>8</v>
      </c>
      <c r="B11" s="61">
        <v>2</v>
      </c>
      <c r="C11" s="62" t="s">
        <v>19</v>
      </c>
      <c r="D11" s="63" t="s">
        <v>7</v>
      </c>
      <c r="E11" s="55">
        <v>2023.81</v>
      </c>
      <c r="F11" s="55">
        <f t="shared" ref="F11:F62" si="2">H11+J11+L11</f>
        <v>2272.1085699999999</v>
      </c>
      <c r="G11" s="56">
        <f t="shared" ref="G11:G62" si="3">IF(E11&gt;0,F11-E11,0)</f>
        <v>248.29856999999993</v>
      </c>
      <c r="H11" s="53">
        <f>SUM(H12:H13)</f>
        <v>556.95000000000005</v>
      </c>
      <c r="I11" s="54"/>
      <c r="J11" s="53">
        <f t="shared" ref="J11" si="4">SUM(J12:J13)</f>
        <v>1289.1285699999999</v>
      </c>
      <c r="K11" s="54"/>
      <c r="L11" s="53">
        <f t="shared" ref="L11" si="5">SUM(L12:L13)</f>
        <v>426.03</v>
      </c>
      <c r="M11" s="54"/>
    </row>
    <row r="12" spans="1:13" s="41" customFormat="1" ht="15.95" customHeight="1">
      <c r="A12" s="36">
        <f t="shared" si="1"/>
        <v>9</v>
      </c>
      <c r="B12" s="61"/>
      <c r="C12" s="62" t="s">
        <v>20</v>
      </c>
      <c r="D12" s="63" t="s">
        <v>7</v>
      </c>
      <c r="E12" s="55"/>
      <c r="F12" s="55">
        <f t="shared" si="2"/>
        <v>1132.54</v>
      </c>
      <c r="G12" s="56">
        <f t="shared" si="3"/>
        <v>0</v>
      </c>
      <c r="H12" s="53">
        <v>556.95000000000005</v>
      </c>
      <c r="I12" s="54">
        <v>43104</v>
      </c>
      <c r="J12" s="53">
        <v>149.56</v>
      </c>
      <c r="K12" s="54">
        <f>K36-3</f>
        <v>43225</v>
      </c>
      <c r="L12" s="53">
        <v>426.03</v>
      </c>
      <c r="M12" s="54">
        <f>M36-3</f>
        <v>43174</v>
      </c>
    </row>
    <row r="13" spans="1:13" s="41" customFormat="1" ht="15.95" customHeight="1">
      <c r="A13" s="36">
        <f t="shared" si="1"/>
        <v>10</v>
      </c>
      <c r="B13" s="61"/>
      <c r="C13" s="62" t="s">
        <v>76</v>
      </c>
      <c r="D13" s="63"/>
      <c r="E13" s="55"/>
      <c r="F13" s="55"/>
      <c r="G13" s="56"/>
      <c r="H13" s="53"/>
      <c r="I13" s="54"/>
      <c r="J13" s="53">
        <v>1139.5685699999999</v>
      </c>
      <c r="K13" s="54">
        <v>43124</v>
      </c>
      <c r="L13" s="53"/>
      <c r="M13" s="54"/>
    </row>
    <row r="14" spans="1:13" s="41" customFormat="1" ht="15.95" customHeight="1">
      <c r="A14" s="36">
        <f t="shared" si="1"/>
        <v>11</v>
      </c>
      <c r="B14" s="61">
        <v>3</v>
      </c>
      <c r="C14" s="62" t="s">
        <v>21</v>
      </c>
      <c r="D14" s="63" t="s">
        <v>7</v>
      </c>
      <c r="E14" s="55">
        <v>5757.34</v>
      </c>
      <c r="F14" s="55">
        <f t="shared" si="2"/>
        <v>5123.4106659999998</v>
      </c>
      <c r="G14" s="56">
        <f t="shared" si="3"/>
        <v>-633.92933400000038</v>
      </c>
      <c r="H14" s="53">
        <f>SUM(H15:H18)</f>
        <v>2196.87</v>
      </c>
      <c r="I14" s="54"/>
      <c r="J14" s="53">
        <f>SUM(J15:J18)</f>
        <v>1481.7698660000001</v>
      </c>
      <c r="K14" s="54"/>
      <c r="L14" s="53">
        <f>SUM(L15:L18)</f>
        <v>1444.7708</v>
      </c>
      <c r="M14" s="54"/>
    </row>
    <row r="15" spans="1:13" s="41" customFormat="1" ht="15.95" customHeight="1">
      <c r="A15" s="36">
        <f t="shared" si="1"/>
        <v>12</v>
      </c>
      <c r="B15" s="61"/>
      <c r="C15" s="62" t="s">
        <v>22</v>
      </c>
      <c r="D15" s="63"/>
      <c r="E15" s="55"/>
      <c r="F15" s="55">
        <f t="shared" si="2"/>
        <v>870.17120000000011</v>
      </c>
      <c r="G15" s="56">
        <f t="shared" si="3"/>
        <v>0</v>
      </c>
      <c r="H15" s="53">
        <v>343.48</v>
      </c>
      <c r="I15" s="54">
        <f t="shared" ref="I15:I16" si="6">I16-4</f>
        <v>43080</v>
      </c>
      <c r="J15" s="53">
        <v>231.67360000000002</v>
      </c>
      <c r="K15" s="54">
        <v>43183</v>
      </c>
      <c r="L15" s="53">
        <v>295.01760000000002</v>
      </c>
      <c r="M15" s="54">
        <v>43125</v>
      </c>
    </row>
    <row r="16" spans="1:13" s="41" customFormat="1" ht="15.95" customHeight="1">
      <c r="A16" s="36">
        <f t="shared" si="1"/>
        <v>13</v>
      </c>
      <c r="B16" s="61"/>
      <c r="C16" s="62" t="s">
        <v>23</v>
      </c>
      <c r="D16" s="63"/>
      <c r="E16" s="55"/>
      <c r="F16" s="55">
        <f t="shared" si="2"/>
        <v>1234.2179999999998</v>
      </c>
      <c r="G16" s="56">
        <f t="shared" si="3"/>
        <v>0</v>
      </c>
      <c r="H16" s="53">
        <v>506.31</v>
      </c>
      <c r="I16" s="54">
        <f t="shared" si="6"/>
        <v>43084</v>
      </c>
      <c r="J16" s="53">
        <v>341.5</v>
      </c>
      <c r="K16" s="54">
        <v>43187</v>
      </c>
      <c r="L16" s="53">
        <v>386.40800000000002</v>
      </c>
      <c r="M16" s="54">
        <v>43129</v>
      </c>
    </row>
    <row r="17" spans="1:14" s="41" customFormat="1" ht="15.95" customHeight="1">
      <c r="A17" s="36">
        <f t="shared" si="1"/>
        <v>14</v>
      </c>
      <c r="B17" s="61"/>
      <c r="C17" s="62" t="s">
        <v>24</v>
      </c>
      <c r="D17" s="63"/>
      <c r="E17" s="55"/>
      <c r="F17" s="55">
        <f t="shared" si="2"/>
        <v>1502.3707999999999</v>
      </c>
      <c r="G17" s="56">
        <f t="shared" si="3"/>
        <v>0</v>
      </c>
      <c r="H17" s="53">
        <v>654.54999999999995</v>
      </c>
      <c r="I17" s="54">
        <f>I18-4</f>
        <v>43088</v>
      </c>
      <c r="J17" s="53">
        <v>441.49119999999999</v>
      </c>
      <c r="K17" s="54">
        <v>43191</v>
      </c>
      <c r="L17" s="53">
        <v>406.32960000000003</v>
      </c>
      <c r="M17" s="54">
        <v>43132</v>
      </c>
    </row>
    <row r="18" spans="1:14" s="41" customFormat="1" ht="15.95" customHeight="1">
      <c r="A18" s="36">
        <f t="shared" si="1"/>
        <v>15</v>
      </c>
      <c r="B18" s="61"/>
      <c r="C18" s="62" t="s">
        <v>25</v>
      </c>
      <c r="D18" s="63"/>
      <c r="E18" s="55"/>
      <c r="F18" s="55">
        <f t="shared" si="2"/>
        <v>1516.6506659999998</v>
      </c>
      <c r="G18" s="56">
        <f t="shared" si="3"/>
        <v>0</v>
      </c>
      <c r="H18" s="53">
        <v>692.53</v>
      </c>
      <c r="I18" s="54">
        <v>43092</v>
      </c>
      <c r="J18" s="53">
        <v>467.10506599999997</v>
      </c>
      <c r="K18" s="54">
        <v>43196</v>
      </c>
      <c r="L18" s="53">
        <v>357.01559999999995</v>
      </c>
      <c r="M18" s="54">
        <v>43135</v>
      </c>
    </row>
    <row r="19" spans="1:14" s="41" customFormat="1" ht="15.95" customHeight="1">
      <c r="A19" s="36">
        <f t="shared" si="1"/>
        <v>16</v>
      </c>
      <c r="B19" s="61">
        <v>4</v>
      </c>
      <c r="C19" s="62" t="s">
        <v>26</v>
      </c>
      <c r="D19" s="63" t="s">
        <v>27</v>
      </c>
      <c r="E19" s="55">
        <v>206.84</v>
      </c>
      <c r="F19" s="55">
        <f t="shared" si="2"/>
        <v>277.78999999999996</v>
      </c>
      <c r="G19" s="56">
        <f t="shared" si="3"/>
        <v>70.94999999999996</v>
      </c>
      <c r="H19" s="53">
        <v>146.69999999999999</v>
      </c>
      <c r="I19" s="54">
        <f>I36</f>
        <v>43124</v>
      </c>
      <c r="J19" s="53">
        <v>44.07</v>
      </c>
      <c r="K19" s="54">
        <v>43228</v>
      </c>
      <c r="L19" s="53">
        <v>87.02</v>
      </c>
      <c r="M19" s="54">
        <v>43177</v>
      </c>
    </row>
    <row r="20" spans="1:14" s="41" customFormat="1" ht="15.95" customHeight="1">
      <c r="A20" s="36">
        <f t="shared" si="1"/>
        <v>17</v>
      </c>
      <c r="B20" s="57" t="s">
        <v>28</v>
      </c>
      <c r="C20" s="58" t="s">
        <v>29</v>
      </c>
      <c r="D20" s="59"/>
      <c r="E20" s="60">
        <v>0</v>
      </c>
      <c r="F20" s="55">
        <f t="shared" si="2"/>
        <v>0</v>
      </c>
      <c r="G20" s="56">
        <f t="shared" si="3"/>
        <v>0</v>
      </c>
      <c r="H20" s="53"/>
      <c r="I20" s="54"/>
      <c r="J20" s="53"/>
      <c r="K20" s="54"/>
      <c r="L20" s="53"/>
      <c r="M20" s="54"/>
      <c r="N20" s="42"/>
    </row>
    <row r="21" spans="1:14" s="41" customFormat="1" ht="15.95" customHeight="1">
      <c r="A21" s="36">
        <f t="shared" si="1"/>
        <v>18</v>
      </c>
      <c r="B21" s="57"/>
      <c r="C21" s="62" t="s">
        <v>77</v>
      </c>
      <c r="D21" s="63" t="str">
        <f>D22</f>
        <v>m3</v>
      </c>
      <c r="E21" s="55"/>
      <c r="F21" s="55">
        <f t="shared" si="2"/>
        <v>1139.5899999999999</v>
      </c>
      <c r="G21" s="56">
        <f>F21-E21</f>
        <v>1139.5899999999999</v>
      </c>
      <c r="H21" s="53"/>
      <c r="I21" s="54" t="str">
        <f>IF(H21&gt;0,43521,"")</f>
        <v/>
      </c>
      <c r="J21" s="53">
        <f>J9</f>
        <v>1139.5899999999999</v>
      </c>
      <c r="K21" s="54">
        <f>IF(J21&gt;0,43521,"")</f>
        <v>43521</v>
      </c>
      <c r="L21" s="53"/>
      <c r="M21" s="54" t="str">
        <f>IF(L21&gt;0,43521,"")</f>
        <v/>
      </c>
      <c r="N21" s="42"/>
    </row>
    <row r="22" spans="1:14" s="41" customFormat="1" ht="15.95" customHeight="1">
      <c r="A22" s="36">
        <f t="shared" si="1"/>
        <v>19</v>
      </c>
      <c r="B22" s="61">
        <v>1</v>
      </c>
      <c r="C22" s="62" t="s">
        <v>30</v>
      </c>
      <c r="D22" s="63" t="s">
        <v>7</v>
      </c>
      <c r="E22" s="55">
        <v>101.4</v>
      </c>
      <c r="F22" s="55">
        <f t="shared" si="2"/>
        <v>149.96</v>
      </c>
      <c r="G22" s="56">
        <f t="shared" si="3"/>
        <v>48.56</v>
      </c>
      <c r="H22" s="53">
        <f>ROUND(H10*0.05,2)</f>
        <v>9.3800000000000008</v>
      </c>
      <c r="I22" s="54">
        <f>IF(H22&gt;0,43521,"")</f>
        <v>43521</v>
      </c>
      <c r="J22" s="53">
        <f t="shared" ref="J22" si="7">ROUND(J10*0.05,2)</f>
        <v>7.43</v>
      </c>
      <c r="K22" s="54">
        <f>IF(J22&gt;0,43521,"")</f>
        <v>43521</v>
      </c>
      <c r="L22" s="53">
        <f t="shared" ref="L22" si="8">ROUND(L10*0.05,2)</f>
        <v>133.15</v>
      </c>
      <c r="M22" s="54">
        <f>IF(L22&gt;0,43521,"")</f>
        <v>43521</v>
      </c>
    </row>
    <row r="23" spans="1:14" s="41" customFormat="1" ht="15.95" customHeight="1">
      <c r="A23" s="36">
        <f t="shared" si="1"/>
        <v>20</v>
      </c>
      <c r="B23" s="57" t="s">
        <v>31</v>
      </c>
      <c r="C23" s="58" t="s">
        <v>32</v>
      </c>
      <c r="D23" s="59"/>
      <c r="E23" s="60">
        <v>0</v>
      </c>
      <c r="F23" s="55">
        <f t="shared" si="2"/>
        <v>0</v>
      </c>
      <c r="G23" s="56">
        <f t="shared" si="3"/>
        <v>0</v>
      </c>
      <c r="H23" s="53"/>
      <c r="I23" s="54" t="str">
        <f>IF(H23&gt;0,43521,"")</f>
        <v/>
      </c>
      <c r="J23" s="53"/>
      <c r="K23" s="54" t="str">
        <f>IF(J23&gt;0,43521,"")</f>
        <v/>
      </c>
      <c r="L23" s="53"/>
      <c r="M23" s="54" t="str">
        <f>IF(L23&gt;0,43521,"")</f>
        <v/>
      </c>
    </row>
    <row r="24" spans="1:14" s="41" customFormat="1" ht="15.95" customHeight="1">
      <c r="A24" s="36">
        <f t="shared" si="1"/>
        <v>21</v>
      </c>
      <c r="B24" s="61">
        <v>1</v>
      </c>
      <c r="C24" s="62" t="s">
        <v>33</v>
      </c>
      <c r="D24" s="63" t="s">
        <v>7</v>
      </c>
      <c r="E24" s="55">
        <v>109.98</v>
      </c>
      <c r="F24" s="55">
        <f t="shared" si="2"/>
        <v>135.38568316750002</v>
      </c>
      <c r="G24" s="56">
        <f t="shared" si="3"/>
        <v>25.405683167500015</v>
      </c>
      <c r="H24" s="53">
        <f>SUM(H25:H26)</f>
        <v>38.629999999999995</v>
      </c>
      <c r="I24" s="54"/>
      <c r="J24" s="53">
        <f t="shared" ref="J24" si="9">SUM(J25:J26)</f>
        <v>51.696120000000008</v>
      </c>
      <c r="K24" s="54"/>
      <c r="L24" s="53">
        <f t="shared" ref="L24" si="10">SUM(L25:L26)</f>
        <v>45.059563167500002</v>
      </c>
      <c r="M24" s="54"/>
    </row>
    <row r="25" spans="1:14" s="41" customFormat="1" ht="15.95" customHeight="1">
      <c r="A25" s="36">
        <f t="shared" si="1"/>
        <v>22</v>
      </c>
      <c r="B25" s="61"/>
      <c r="C25" s="62" t="s">
        <v>79</v>
      </c>
      <c r="D25" s="63"/>
      <c r="E25" s="55"/>
      <c r="F25" s="55">
        <f t="shared" si="2"/>
        <v>67.194181167500005</v>
      </c>
      <c r="G25" s="56">
        <f t="shared" si="3"/>
        <v>0</v>
      </c>
      <c r="H25" s="53">
        <v>19.22</v>
      </c>
      <c r="I25" s="54">
        <v>43086</v>
      </c>
      <c r="J25" s="53">
        <v>25.858060000000002</v>
      </c>
      <c r="K25" s="54">
        <v>43171</v>
      </c>
      <c r="L25" s="53">
        <v>22.116121167500001</v>
      </c>
      <c r="M25" s="54">
        <v>43115</v>
      </c>
    </row>
    <row r="26" spans="1:14" s="41" customFormat="1" ht="15.95" customHeight="1">
      <c r="A26" s="36">
        <f t="shared" si="1"/>
        <v>23</v>
      </c>
      <c r="B26" s="61"/>
      <c r="C26" s="62" t="s">
        <v>80</v>
      </c>
      <c r="D26" s="63"/>
      <c r="E26" s="55"/>
      <c r="F26" s="55">
        <f t="shared" si="2"/>
        <v>68.191502</v>
      </c>
      <c r="G26" s="56">
        <f t="shared" si="3"/>
        <v>0</v>
      </c>
      <c r="H26" s="53">
        <v>19.41</v>
      </c>
      <c r="I26" s="54">
        <v>43086</v>
      </c>
      <c r="J26" s="53">
        <v>25.838060000000002</v>
      </c>
      <c r="K26" s="54">
        <v>43176</v>
      </c>
      <c r="L26" s="53">
        <v>22.943442000000001</v>
      </c>
      <c r="M26" s="54">
        <v>43119</v>
      </c>
    </row>
    <row r="27" spans="1:14" s="41" customFormat="1" ht="15.95" customHeight="1">
      <c r="A27" s="36">
        <f t="shared" si="1"/>
        <v>24</v>
      </c>
      <c r="B27" s="61">
        <v>2</v>
      </c>
      <c r="C27" s="62" t="s">
        <v>34</v>
      </c>
      <c r="D27" s="63" t="s">
        <v>7</v>
      </c>
      <c r="E27" s="55">
        <v>0.17</v>
      </c>
      <c r="F27" s="55">
        <f t="shared" si="2"/>
        <v>0.12542890000000001</v>
      </c>
      <c r="G27" s="56">
        <f t="shared" si="3"/>
        <v>-4.4571100000000002E-2</v>
      </c>
      <c r="H27" s="53">
        <f>SUM(H28:H29)</f>
        <v>8.5999999999999993E-2</v>
      </c>
      <c r="I27" s="54"/>
      <c r="J27" s="53"/>
      <c r="K27" s="54"/>
      <c r="L27" s="53">
        <f t="shared" ref="L27" si="11">SUM(L28:L29)</f>
        <v>3.9428900000000003E-2</v>
      </c>
      <c r="M27" s="54"/>
    </row>
    <row r="28" spans="1:14" s="41" customFormat="1" ht="15.95" customHeight="1">
      <c r="A28" s="36">
        <f t="shared" si="1"/>
        <v>25</v>
      </c>
      <c r="B28" s="61"/>
      <c r="C28" s="62" t="s">
        <v>79</v>
      </c>
      <c r="D28" s="63"/>
      <c r="E28" s="55"/>
      <c r="F28" s="55">
        <f t="shared" si="2"/>
        <v>6.0836899999999999E-2</v>
      </c>
      <c r="G28" s="56">
        <f t="shared" si="3"/>
        <v>0</v>
      </c>
      <c r="H28" s="92">
        <v>4.1000000000000002E-2</v>
      </c>
      <c r="I28" s="54">
        <v>43083</v>
      </c>
      <c r="J28" s="53"/>
      <c r="K28" s="54"/>
      <c r="L28" s="53">
        <v>1.9836900000000001E-2</v>
      </c>
      <c r="M28" s="54">
        <v>43111</v>
      </c>
    </row>
    <row r="29" spans="1:14" s="41" customFormat="1" ht="15.95" customHeight="1">
      <c r="A29" s="36">
        <f t="shared" si="1"/>
        <v>26</v>
      </c>
      <c r="B29" s="61"/>
      <c r="C29" s="62" t="s">
        <v>80</v>
      </c>
      <c r="D29" s="63"/>
      <c r="E29" s="55"/>
      <c r="F29" s="55">
        <f t="shared" si="2"/>
        <v>6.4591999999999997E-2</v>
      </c>
      <c r="G29" s="56">
        <f t="shared" si="3"/>
        <v>0</v>
      </c>
      <c r="H29" s="92">
        <v>4.4999999999999998E-2</v>
      </c>
      <c r="I29" s="54">
        <v>43083</v>
      </c>
      <c r="J29" s="53"/>
      <c r="K29" s="54"/>
      <c r="L29" s="53">
        <v>1.9592000000000002E-2</v>
      </c>
      <c r="M29" s="54">
        <v>43116</v>
      </c>
    </row>
    <row r="30" spans="1:14" s="41" customFormat="1" ht="15.95" customHeight="1">
      <c r="A30" s="36">
        <f t="shared" si="1"/>
        <v>27</v>
      </c>
      <c r="B30" s="61">
        <v>3</v>
      </c>
      <c r="C30" s="62" t="s">
        <v>35</v>
      </c>
      <c r="D30" s="63" t="s">
        <v>7</v>
      </c>
      <c r="E30" s="55">
        <v>4.26</v>
      </c>
      <c r="F30" s="55">
        <f t="shared" si="2"/>
        <v>3.5822943039999995</v>
      </c>
      <c r="G30" s="56">
        <f t="shared" si="3"/>
        <v>-0.6777056960000003</v>
      </c>
      <c r="H30" s="53">
        <f>SUM(H31:H32)</f>
        <v>1.44</v>
      </c>
      <c r="I30" s="54"/>
      <c r="J30" s="53">
        <f t="shared" ref="J30" si="12">SUM(J31:J32)</f>
        <v>1.24</v>
      </c>
      <c r="K30" s="54"/>
      <c r="L30" s="53">
        <f t="shared" ref="L30" si="13">SUM(L31:L32)</f>
        <v>0.90229430399999999</v>
      </c>
      <c r="M30" s="54"/>
    </row>
    <row r="31" spans="1:14" s="41" customFormat="1" ht="15.95" customHeight="1">
      <c r="A31" s="36">
        <f t="shared" si="1"/>
        <v>28</v>
      </c>
      <c r="B31" s="61"/>
      <c r="C31" s="62" t="s">
        <v>79</v>
      </c>
      <c r="D31" s="63"/>
      <c r="E31" s="55"/>
      <c r="F31" s="55">
        <f t="shared" si="2"/>
        <v>1.7761954320000002</v>
      </c>
      <c r="G31" s="56">
        <f t="shared" si="3"/>
        <v>0</v>
      </c>
      <c r="H31" s="92">
        <v>0.71</v>
      </c>
      <c r="I31" s="54">
        <v>43083</v>
      </c>
      <c r="J31" s="53">
        <f>1.24/2</f>
        <v>0.62</v>
      </c>
      <c r="K31" s="54">
        <v>43168</v>
      </c>
      <c r="L31" s="53">
        <v>0.446195432</v>
      </c>
      <c r="M31" s="54">
        <v>43111</v>
      </c>
    </row>
    <row r="32" spans="1:14" s="41" customFormat="1" ht="15.95" customHeight="1">
      <c r="A32" s="36">
        <f t="shared" si="1"/>
        <v>29</v>
      </c>
      <c r="B32" s="61"/>
      <c r="C32" s="62" t="s">
        <v>80</v>
      </c>
      <c r="D32" s="63"/>
      <c r="E32" s="55"/>
      <c r="F32" s="55">
        <f t="shared" si="2"/>
        <v>1.8060988720000002</v>
      </c>
      <c r="G32" s="56">
        <f t="shared" si="3"/>
        <v>0</v>
      </c>
      <c r="H32" s="92">
        <v>0.73</v>
      </c>
      <c r="I32" s="54">
        <v>43083</v>
      </c>
      <c r="J32" s="53">
        <f>J31</f>
        <v>0.62</v>
      </c>
      <c r="K32" s="54">
        <v>43173</v>
      </c>
      <c r="L32" s="53">
        <v>0.45609887200000004</v>
      </c>
      <c r="M32" s="54">
        <v>43116</v>
      </c>
    </row>
    <row r="33" spans="1:13" s="41" customFormat="1" ht="15.95" customHeight="1">
      <c r="A33" s="36">
        <f t="shared" si="1"/>
        <v>30</v>
      </c>
      <c r="B33" s="61">
        <v>4</v>
      </c>
      <c r="C33" s="62" t="s">
        <v>36</v>
      </c>
      <c r="D33" s="63" t="s">
        <v>7</v>
      </c>
      <c r="E33" s="55">
        <v>7.66</v>
      </c>
      <c r="F33" s="55">
        <f t="shared" si="2"/>
        <v>7.6221116600000016</v>
      </c>
      <c r="G33" s="56">
        <f t="shared" si="3"/>
        <v>-3.7888339999998522E-2</v>
      </c>
      <c r="H33" s="53">
        <f>SUM(H34:H35)</f>
        <v>2.4900000000000002</v>
      </c>
      <c r="I33" s="54"/>
      <c r="J33" s="53">
        <f t="shared" ref="J33" si="14">SUM(J34:J35)</f>
        <v>2.4841679200000004</v>
      </c>
      <c r="K33" s="54"/>
      <c r="L33" s="53">
        <f t="shared" ref="L33" si="15">SUM(L34:L35)</f>
        <v>2.6479437400000005</v>
      </c>
      <c r="M33" s="54"/>
    </row>
    <row r="34" spans="1:13" s="41" customFormat="1" ht="15.95" customHeight="1">
      <c r="A34" s="36">
        <f t="shared" si="1"/>
        <v>31</v>
      </c>
      <c r="B34" s="61"/>
      <c r="C34" s="62" t="s">
        <v>79</v>
      </c>
      <c r="D34" s="63"/>
      <c r="E34" s="55"/>
      <c r="F34" s="55">
        <f t="shared" si="2"/>
        <v>3.8824323400000003</v>
      </c>
      <c r="G34" s="56">
        <f t="shared" si="3"/>
        <v>0</v>
      </c>
      <c r="H34" s="92">
        <v>1.32</v>
      </c>
      <c r="I34" s="54">
        <v>43083</v>
      </c>
      <c r="J34" s="53">
        <v>1.2420839600000002</v>
      </c>
      <c r="K34" s="54">
        <v>43168</v>
      </c>
      <c r="L34" s="53">
        <v>1.3203483800000002</v>
      </c>
      <c r="M34" s="54">
        <v>43111</v>
      </c>
    </row>
    <row r="35" spans="1:13" s="41" customFormat="1" ht="15.95" customHeight="1">
      <c r="A35" s="36">
        <f t="shared" si="1"/>
        <v>32</v>
      </c>
      <c r="B35" s="61"/>
      <c r="C35" s="62" t="s">
        <v>80</v>
      </c>
      <c r="D35" s="63"/>
      <c r="E35" s="55"/>
      <c r="F35" s="55">
        <f t="shared" si="2"/>
        <v>3.7396793200000005</v>
      </c>
      <c r="G35" s="56">
        <f t="shared" si="3"/>
        <v>0</v>
      </c>
      <c r="H35" s="92">
        <v>1.17</v>
      </c>
      <c r="I35" s="54">
        <v>43083</v>
      </c>
      <c r="J35" s="53">
        <v>1.2420839600000002</v>
      </c>
      <c r="K35" s="54">
        <v>43173</v>
      </c>
      <c r="L35" s="53">
        <v>1.3275953600000001</v>
      </c>
      <c r="M35" s="54">
        <v>43116</v>
      </c>
    </row>
    <row r="36" spans="1:13" s="41" customFormat="1" ht="15.95" customHeight="1">
      <c r="A36" s="36">
        <f t="shared" si="1"/>
        <v>33</v>
      </c>
      <c r="B36" s="61">
        <v>5</v>
      </c>
      <c r="C36" s="62" t="s">
        <v>37</v>
      </c>
      <c r="D36" s="63" t="s">
        <v>38</v>
      </c>
      <c r="E36" s="55">
        <v>5196</v>
      </c>
      <c r="F36" s="55">
        <f t="shared" si="2"/>
        <v>5232</v>
      </c>
      <c r="G36" s="56">
        <f t="shared" si="3"/>
        <v>36</v>
      </c>
      <c r="H36" s="53">
        <v>2763</v>
      </c>
      <c r="I36" s="54">
        <v>43124</v>
      </c>
      <c r="J36" s="53">
        <v>830</v>
      </c>
      <c r="K36" s="54">
        <v>43228</v>
      </c>
      <c r="L36" s="53">
        <v>1639</v>
      </c>
      <c r="M36" s="54">
        <v>43177</v>
      </c>
    </row>
    <row r="37" spans="1:13" s="41" customFormat="1" ht="15.95" customHeight="1">
      <c r="A37" s="36">
        <f t="shared" si="1"/>
        <v>34</v>
      </c>
      <c r="B37" s="57" t="s">
        <v>39</v>
      </c>
      <c r="C37" s="58" t="s">
        <v>40</v>
      </c>
      <c r="D37" s="59"/>
      <c r="E37" s="60">
        <v>0</v>
      </c>
      <c r="F37" s="55">
        <f t="shared" si="2"/>
        <v>0</v>
      </c>
      <c r="G37" s="56">
        <f t="shared" si="3"/>
        <v>0</v>
      </c>
      <c r="H37" s="53"/>
      <c r="I37" s="54"/>
      <c r="J37" s="53"/>
      <c r="K37" s="54"/>
      <c r="L37" s="53"/>
      <c r="M37" s="54"/>
    </row>
    <row r="38" spans="1:13" s="41" customFormat="1" ht="15.95" customHeight="1">
      <c r="A38" s="36">
        <f t="shared" si="1"/>
        <v>35</v>
      </c>
      <c r="B38" s="61">
        <v>1</v>
      </c>
      <c r="C38" s="62" t="s">
        <v>74</v>
      </c>
      <c r="D38" s="63" t="s">
        <v>7</v>
      </c>
      <c r="E38" s="55">
        <v>100.61</v>
      </c>
      <c r="F38" s="55">
        <f t="shared" si="2"/>
        <v>159.70208</v>
      </c>
      <c r="G38" s="56">
        <f t="shared" si="3"/>
        <v>59.092079999999996</v>
      </c>
      <c r="H38" s="92">
        <f>SUM(H39:H40)</f>
        <v>58.02</v>
      </c>
      <c r="I38" s="54"/>
      <c r="J38" s="92">
        <f t="shared" ref="J38" si="16">SUM(J39:J40)</f>
        <v>51.4696</v>
      </c>
      <c r="K38" s="54"/>
      <c r="L38" s="92">
        <f t="shared" ref="L38" si="17">SUM(L39:L40)</f>
        <v>50.212479999999999</v>
      </c>
      <c r="M38" s="54"/>
    </row>
    <row r="39" spans="1:13" s="41" customFormat="1" ht="15.95" customHeight="1">
      <c r="A39" s="36">
        <f t="shared" si="1"/>
        <v>36</v>
      </c>
      <c r="B39" s="61"/>
      <c r="C39" s="62" t="s">
        <v>81</v>
      </c>
      <c r="D39" s="63"/>
      <c r="E39" s="55"/>
      <c r="F39" s="55">
        <f t="shared" si="2"/>
        <v>82.847279999999998</v>
      </c>
      <c r="G39" s="56">
        <f t="shared" si="3"/>
        <v>0</v>
      </c>
      <c r="H39" s="92">
        <v>29.01</v>
      </c>
      <c r="I39" s="54">
        <v>43129</v>
      </c>
      <c r="J39" s="53">
        <v>25.7348</v>
      </c>
      <c r="K39" s="54">
        <v>43206</v>
      </c>
      <c r="L39" s="53">
        <v>28.102480000000003</v>
      </c>
      <c r="M39" s="54">
        <v>43177</v>
      </c>
    </row>
    <row r="40" spans="1:13" s="41" customFormat="1" ht="15.95" customHeight="1">
      <c r="A40" s="36">
        <f t="shared" si="1"/>
        <v>37</v>
      </c>
      <c r="B40" s="61"/>
      <c r="C40" s="62" t="s">
        <v>82</v>
      </c>
      <c r="D40" s="63"/>
      <c r="E40" s="55"/>
      <c r="F40" s="55">
        <f t="shared" si="2"/>
        <v>76.854799999999997</v>
      </c>
      <c r="G40" s="56">
        <f t="shared" si="3"/>
        <v>0</v>
      </c>
      <c r="H40" s="92">
        <v>29.01</v>
      </c>
      <c r="I40" s="54">
        <v>43129</v>
      </c>
      <c r="J40" s="53">
        <v>25.7348</v>
      </c>
      <c r="K40" s="54">
        <v>43211</v>
      </c>
      <c r="L40" s="53">
        <v>22.11</v>
      </c>
      <c r="M40" s="54">
        <v>43182</v>
      </c>
    </row>
    <row r="41" spans="1:13" s="41" customFormat="1" ht="15.95" customHeight="1">
      <c r="A41" s="36">
        <f t="shared" si="1"/>
        <v>38</v>
      </c>
      <c r="B41" s="61">
        <v>2</v>
      </c>
      <c r="C41" s="62" t="s">
        <v>41</v>
      </c>
      <c r="D41" s="63" t="s">
        <v>9</v>
      </c>
      <c r="E41" s="55">
        <v>0.17</v>
      </c>
      <c r="F41" s="55">
        <f t="shared" si="2"/>
        <v>0.82550976200000004</v>
      </c>
      <c r="G41" s="56">
        <f t="shared" si="3"/>
        <v>0.655509762</v>
      </c>
      <c r="H41" s="92">
        <f>SUM(H42:H43)</f>
        <v>0.44849</v>
      </c>
      <c r="I41" s="54"/>
      <c r="J41" s="92">
        <f t="shared" ref="J41" si="18">SUM(J42:J43)</f>
        <v>0.18409799200000002</v>
      </c>
      <c r="K41" s="54"/>
      <c r="L41" s="92">
        <f t="shared" ref="L41" si="19">SUM(L42:L43)</f>
        <v>0.19292176999999999</v>
      </c>
      <c r="M41" s="54"/>
    </row>
    <row r="42" spans="1:13" s="41" customFormat="1" ht="15.95" customHeight="1">
      <c r="A42" s="36">
        <f t="shared" si="1"/>
        <v>39</v>
      </c>
      <c r="B42" s="61"/>
      <c r="C42" s="62" t="s">
        <v>81</v>
      </c>
      <c r="D42" s="63"/>
      <c r="E42" s="55"/>
      <c r="F42" s="55">
        <f t="shared" si="2"/>
        <v>0.41921576600000005</v>
      </c>
      <c r="G42" s="56">
        <f t="shared" si="3"/>
        <v>0</v>
      </c>
      <c r="H42" s="92">
        <v>0.224245</v>
      </c>
      <c r="I42" s="54">
        <v>43125</v>
      </c>
      <c r="J42" s="53">
        <v>9.2048996000000008E-2</v>
      </c>
      <c r="K42" s="54">
        <v>43203</v>
      </c>
      <c r="L42" s="53">
        <v>0.10292177000000001</v>
      </c>
      <c r="M42" s="54">
        <v>43172</v>
      </c>
    </row>
    <row r="43" spans="1:13" s="41" customFormat="1" ht="15.95" customHeight="1">
      <c r="A43" s="36">
        <f t="shared" si="1"/>
        <v>40</v>
      </c>
      <c r="B43" s="61"/>
      <c r="C43" s="62" t="s">
        <v>82</v>
      </c>
      <c r="D43" s="63"/>
      <c r="E43" s="55"/>
      <c r="F43" s="55">
        <f t="shared" si="2"/>
        <v>0.40629399600000005</v>
      </c>
      <c r="G43" s="56">
        <f t="shared" si="3"/>
        <v>0</v>
      </c>
      <c r="H43" s="92">
        <v>0.224245</v>
      </c>
      <c r="I43" s="54">
        <v>43125</v>
      </c>
      <c r="J43" s="53">
        <v>9.2048996000000008E-2</v>
      </c>
      <c r="K43" s="54">
        <v>43208</v>
      </c>
      <c r="L43" s="53">
        <v>0.09</v>
      </c>
      <c r="M43" s="54">
        <v>43178</v>
      </c>
    </row>
    <row r="44" spans="1:13" s="41" customFormat="1" ht="15.95" customHeight="1">
      <c r="A44" s="36">
        <f t="shared" si="1"/>
        <v>41</v>
      </c>
      <c r="B44" s="61">
        <v>3</v>
      </c>
      <c r="C44" s="62" t="s">
        <v>42</v>
      </c>
      <c r="D44" s="63" t="s">
        <v>9</v>
      </c>
      <c r="E44" s="55">
        <v>13.41</v>
      </c>
      <c r="F44" s="55">
        <f t="shared" si="2"/>
        <v>25.332352800000002</v>
      </c>
      <c r="G44" s="56">
        <f t="shared" si="3"/>
        <v>11.922352800000002</v>
      </c>
      <c r="H44" s="92">
        <f>SUM(H45:H46)</f>
        <v>11.531000000000001</v>
      </c>
      <c r="I44" s="54"/>
      <c r="J44" s="92">
        <f t="shared" ref="J44" si="20">SUM(J45:J46)</f>
        <v>7.0519729600000014</v>
      </c>
      <c r="K44" s="54"/>
      <c r="L44" s="92">
        <f t="shared" ref="L44" si="21">SUM(L45:L46)</f>
        <v>6.7493798399999996</v>
      </c>
      <c r="M44" s="54"/>
    </row>
    <row r="45" spans="1:13" s="41" customFormat="1" ht="15.95" customHeight="1">
      <c r="A45" s="36">
        <f t="shared" si="1"/>
        <v>42</v>
      </c>
      <c r="B45" s="61"/>
      <c r="C45" s="62" t="s">
        <v>81</v>
      </c>
      <c r="D45" s="63"/>
      <c r="E45" s="55"/>
      <c r="F45" s="55">
        <f t="shared" si="2"/>
        <v>13.115991320000001</v>
      </c>
      <c r="G45" s="56">
        <f t="shared" si="3"/>
        <v>0</v>
      </c>
      <c r="H45" s="92">
        <v>5.7655000000000003</v>
      </c>
      <c r="I45" s="54">
        <v>43125</v>
      </c>
      <c r="J45" s="53">
        <v>3.5259864800000007</v>
      </c>
      <c r="K45" s="54">
        <v>43203</v>
      </c>
      <c r="L45" s="53">
        <v>3.8245048399999999</v>
      </c>
      <c r="M45" s="54">
        <v>43172</v>
      </c>
    </row>
    <row r="46" spans="1:13" s="41" customFormat="1" ht="15.95" customHeight="1">
      <c r="A46" s="36">
        <f t="shared" si="1"/>
        <v>43</v>
      </c>
      <c r="B46" s="61"/>
      <c r="C46" s="62" t="s">
        <v>82</v>
      </c>
      <c r="D46" s="63"/>
      <c r="E46" s="55"/>
      <c r="F46" s="55">
        <f t="shared" si="2"/>
        <v>12.216361480000002</v>
      </c>
      <c r="G46" s="56">
        <f t="shared" si="3"/>
        <v>0</v>
      </c>
      <c r="H46" s="92">
        <v>5.7655000000000003</v>
      </c>
      <c r="I46" s="54">
        <v>43125</v>
      </c>
      <c r="J46" s="53">
        <v>3.5259864800000007</v>
      </c>
      <c r="K46" s="54">
        <v>43208</v>
      </c>
      <c r="L46" s="53">
        <v>2.9248750000000001</v>
      </c>
      <c r="M46" s="54">
        <v>43178</v>
      </c>
    </row>
    <row r="47" spans="1:13" s="43" customFormat="1" ht="15.95" customHeight="1">
      <c r="A47" s="36">
        <f t="shared" si="1"/>
        <v>44</v>
      </c>
      <c r="B47" s="93">
        <v>4</v>
      </c>
      <c r="C47" s="62" t="s">
        <v>43</v>
      </c>
      <c r="D47" s="63" t="s">
        <v>9</v>
      </c>
      <c r="E47" s="55"/>
      <c r="F47" s="55">
        <f t="shared" si="2"/>
        <v>0.57996999999999999</v>
      </c>
      <c r="G47" s="56">
        <f t="shared" si="3"/>
        <v>0</v>
      </c>
      <c r="H47" s="92">
        <f>SUM(H48:H49)</f>
        <v>0.32152999999999998</v>
      </c>
      <c r="I47" s="54"/>
      <c r="J47" s="92">
        <f t="shared" ref="J47" si="22">SUM(J48:J49)</f>
        <v>0.12844</v>
      </c>
      <c r="K47" s="54"/>
      <c r="L47" s="92">
        <f t="shared" ref="L47" si="23">SUM(L48:L49)</f>
        <v>0.13</v>
      </c>
      <c r="M47" s="54"/>
    </row>
    <row r="48" spans="1:13" s="43" customFormat="1" ht="15.95" customHeight="1">
      <c r="A48" s="36">
        <f t="shared" si="1"/>
        <v>45</v>
      </c>
      <c r="B48" s="61"/>
      <c r="C48" s="62" t="s">
        <v>81</v>
      </c>
      <c r="D48" s="63"/>
      <c r="E48" s="55"/>
      <c r="F48" s="55">
        <f t="shared" si="2"/>
        <v>0.294985</v>
      </c>
      <c r="G48" s="56">
        <f t="shared" si="3"/>
        <v>0</v>
      </c>
      <c r="H48" s="92">
        <v>0.16076499999999999</v>
      </c>
      <c r="I48" s="54">
        <v>43125</v>
      </c>
      <c r="J48" s="53">
        <v>6.4219999999999999E-2</v>
      </c>
      <c r="K48" s="54">
        <v>43203</v>
      </c>
      <c r="L48" s="53">
        <v>7.0000000000000007E-2</v>
      </c>
      <c r="M48" s="54">
        <v>43172</v>
      </c>
    </row>
    <row r="49" spans="1:13" s="43" customFormat="1" ht="15.95" customHeight="1">
      <c r="A49" s="36">
        <f t="shared" si="1"/>
        <v>46</v>
      </c>
      <c r="B49" s="61"/>
      <c r="C49" s="62" t="s">
        <v>82</v>
      </c>
      <c r="D49" s="63"/>
      <c r="E49" s="55"/>
      <c r="F49" s="55">
        <f t="shared" si="2"/>
        <v>0.28498499999999999</v>
      </c>
      <c r="G49" s="56">
        <f t="shared" si="3"/>
        <v>0</v>
      </c>
      <c r="H49" s="92">
        <v>0.16076499999999999</v>
      </c>
      <c r="I49" s="54">
        <v>43125</v>
      </c>
      <c r="J49" s="53">
        <v>6.4219999999999999E-2</v>
      </c>
      <c r="K49" s="54">
        <v>43208</v>
      </c>
      <c r="L49" s="53">
        <v>0.06</v>
      </c>
      <c r="M49" s="54">
        <v>43178</v>
      </c>
    </row>
    <row r="50" spans="1:13" s="41" customFormat="1" ht="15.95" customHeight="1">
      <c r="A50" s="36">
        <f t="shared" si="1"/>
        <v>47</v>
      </c>
      <c r="B50" s="57" t="s">
        <v>44</v>
      </c>
      <c r="C50" s="58" t="s">
        <v>45</v>
      </c>
      <c r="D50" s="59"/>
      <c r="E50" s="60">
        <v>0</v>
      </c>
      <c r="F50" s="55">
        <f t="shared" si="2"/>
        <v>0</v>
      </c>
      <c r="G50" s="56">
        <f t="shared" si="3"/>
        <v>0</v>
      </c>
      <c r="H50" s="53"/>
      <c r="I50" s="54"/>
      <c r="J50" s="53"/>
      <c r="K50" s="54"/>
      <c r="L50" s="53"/>
      <c r="M50" s="54"/>
    </row>
    <row r="51" spans="1:13" s="41" customFormat="1" ht="15.95" customHeight="1">
      <c r="A51" s="36">
        <f t="shared" si="1"/>
        <v>48</v>
      </c>
      <c r="B51" s="61">
        <v>1</v>
      </c>
      <c r="C51" s="62" t="s">
        <v>46</v>
      </c>
      <c r="D51" s="63" t="s">
        <v>7</v>
      </c>
      <c r="E51" s="55">
        <v>7.34</v>
      </c>
      <c r="F51" s="55">
        <f t="shared" si="2"/>
        <v>6.95</v>
      </c>
      <c r="G51" s="56">
        <f t="shared" si="3"/>
        <v>-0.38999999999999968</v>
      </c>
      <c r="H51" s="53"/>
      <c r="I51" s="54"/>
      <c r="J51" s="53"/>
      <c r="K51" s="54"/>
      <c r="L51" s="53">
        <v>6.95</v>
      </c>
      <c r="M51" s="54">
        <v>43166</v>
      </c>
    </row>
    <row r="52" spans="1:13" s="41" customFormat="1" ht="15.95" customHeight="1">
      <c r="A52" s="36">
        <f t="shared" si="1"/>
        <v>49</v>
      </c>
      <c r="B52" s="61">
        <v>2</v>
      </c>
      <c r="C52" s="62" t="s">
        <v>47</v>
      </c>
      <c r="D52" s="63" t="s">
        <v>7</v>
      </c>
      <c r="E52" s="55">
        <v>26.23</v>
      </c>
      <c r="F52" s="55">
        <f t="shared" si="2"/>
        <v>26.23</v>
      </c>
      <c r="G52" s="56">
        <f t="shared" si="3"/>
        <v>0</v>
      </c>
      <c r="H52" s="53"/>
      <c r="I52" s="54"/>
      <c r="J52" s="53"/>
      <c r="K52" s="54"/>
      <c r="L52" s="53">
        <v>26.23</v>
      </c>
      <c r="M52" s="54">
        <v>43161</v>
      </c>
    </row>
    <row r="53" spans="1:13" s="41" customFormat="1" ht="15.95" customHeight="1">
      <c r="A53" s="36">
        <f t="shared" si="1"/>
        <v>50</v>
      </c>
      <c r="B53" s="57" t="s">
        <v>48</v>
      </c>
      <c r="C53" s="58" t="s">
        <v>49</v>
      </c>
      <c r="D53" s="59"/>
      <c r="E53" s="60">
        <v>0</v>
      </c>
      <c r="F53" s="55">
        <f t="shared" si="2"/>
        <v>0</v>
      </c>
      <c r="G53" s="56">
        <f t="shared" si="3"/>
        <v>0</v>
      </c>
      <c r="H53" s="53"/>
      <c r="I53" s="54"/>
      <c r="J53" s="53"/>
      <c r="K53" s="54"/>
      <c r="L53" s="53"/>
      <c r="M53" s="54"/>
    </row>
    <row r="54" spans="1:13" s="41" customFormat="1" ht="15.95" customHeight="1">
      <c r="A54" s="36">
        <f t="shared" si="1"/>
        <v>51</v>
      </c>
      <c r="B54" s="61">
        <v>1</v>
      </c>
      <c r="C54" s="62" t="s">
        <v>50</v>
      </c>
      <c r="D54" s="63" t="s">
        <v>7</v>
      </c>
      <c r="E54" s="55">
        <v>45.51</v>
      </c>
      <c r="F54" s="55">
        <f t="shared" si="2"/>
        <v>103.2</v>
      </c>
      <c r="G54" s="56">
        <f t="shared" si="3"/>
        <v>57.690000000000005</v>
      </c>
      <c r="H54" s="92">
        <f>38.86+5.05+0.87</f>
        <v>44.779999999999994</v>
      </c>
      <c r="I54" s="54">
        <v>43113</v>
      </c>
      <c r="J54" s="53">
        <f>27.78+3.56+0.26</f>
        <v>31.6</v>
      </c>
      <c r="K54" s="54">
        <v>43224</v>
      </c>
      <c r="L54" s="53">
        <f>29.39+0.82+3.56-L51</f>
        <v>26.820000000000004</v>
      </c>
      <c r="M54" s="54">
        <v>43166</v>
      </c>
    </row>
    <row r="55" spans="1:13" s="41" customFormat="1" ht="15.95" customHeight="1">
      <c r="A55" s="36">
        <f t="shared" si="1"/>
        <v>52</v>
      </c>
      <c r="B55" s="61">
        <v>2</v>
      </c>
      <c r="C55" s="62" t="s">
        <v>51</v>
      </c>
      <c r="D55" s="63" t="s">
        <v>7</v>
      </c>
      <c r="E55" s="55">
        <v>56.27</v>
      </c>
      <c r="F55" s="55">
        <f t="shared" si="2"/>
        <v>14.215588348454771</v>
      </c>
      <c r="G55" s="56">
        <f t="shared" si="3"/>
        <v>-42.05441165154523</v>
      </c>
      <c r="H55" s="92">
        <v>6.18</v>
      </c>
      <c r="I55" s="54">
        <v>43108</v>
      </c>
      <c r="J55" s="53">
        <v>3.285588348454771</v>
      </c>
      <c r="K55" s="54">
        <v>43220</v>
      </c>
      <c r="L55" s="53">
        <v>4.75</v>
      </c>
      <c r="M55" s="54">
        <v>43161</v>
      </c>
    </row>
    <row r="56" spans="1:13" s="41" customFormat="1" ht="15.95" customHeight="1">
      <c r="A56" s="36">
        <f t="shared" si="1"/>
        <v>53</v>
      </c>
      <c r="B56" s="61">
        <v>3</v>
      </c>
      <c r="C56" s="62" t="s">
        <v>52</v>
      </c>
      <c r="D56" s="63" t="s">
        <v>7</v>
      </c>
      <c r="E56" s="55">
        <v>11.73</v>
      </c>
      <c r="F56" s="55">
        <f t="shared" si="2"/>
        <v>0</v>
      </c>
      <c r="G56" s="56">
        <f t="shared" si="3"/>
        <v>-11.73</v>
      </c>
      <c r="H56" s="53"/>
      <c r="I56" s="54"/>
      <c r="J56" s="53"/>
      <c r="K56" s="54"/>
      <c r="L56" s="53"/>
      <c r="M56" s="54"/>
    </row>
    <row r="57" spans="1:13" s="41" customFormat="1" ht="15.95" customHeight="1">
      <c r="A57" s="36">
        <f t="shared" si="1"/>
        <v>54</v>
      </c>
      <c r="B57" s="61">
        <v>4</v>
      </c>
      <c r="C57" s="62" t="s">
        <v>53</v>
      </c>
      <c r="D57" s="63" t="s">
        <v>7</v>
      </c>
      <c r="E57" s="55">
        <v>16.63</v>
      </c>
      <c r="F57" s="55">
        <f t="shared" si="2"/>
        <v>0</v>
      </c>
      <c r="G57" s="56">
        <f t="shared" si="3"/>
        <v>-16.63</v>
      </c>
      <c r="H57" s="53"/>
      <c r="I57" s="54"/>
      <c r="J57" s="53"/>
      <c r="K57" s="54"/>
      <c r="L57" s="53"/>
      <c r="M57" s="54"/>
    </row>
    <row r="58" spans="1:13" s="41" customFormat="1" ht="15.95" customHeight="1">
      <c r="A58" s="36">
        <f t="shared" si="1"/>
        <v>55</v>
      </c>
      <c r="B58" s="57" t="s">
        <v>54</v>
      </c>
      <c r="C58" s="58" t="s">
        <v>55</v>
      </c>
      <c r="D58" s="59"/>
      <c r="E58" s="60">
        <v>0</v>
      </c>
      <c r="F58" s="55">
        <f t="shared" si="2"/>
        <v>0</v>
      </c>
      <c r="G58" s="56">
        <f t="shared" si="3"/>
        <v>0</v>
      </c>
      <c r="H58" s="53"/>
      <c r="I58" s="54"/>
      <c r="J58" s="53"/>
      <c r="K58" s="54"/>
      <c r="L58" s="53"/>
      <c r="M58" s="54"/>
    </row>
    <row r="59" spans="1:13" s="41" customFormat="1" ht="15.95" customHeight="1">
      <c r="A59" s="36">
        <f t="shared" si="1"/>
        <v>56</v>
      </c>
      <c r="B59" s="61">
        <v>1</v>
      </c>
      <c r="C59" s="62" t="s">
        <v>56</v>
      </c>
      <c r="D59" s="63" t="s">
        <v>0</v>
      </c>
      <c r="E59" s="55">
        <v>53.32</v>
      </c>
      <c r="F59" s="55">
        <f t="shared" si="2"/>
        <v>54</v>
      </c>
      <c r="G59" s="56">
        <f t="shared" si="3"/>
        <v>0.67999999999999972</v>
      </c>
      <c r="H59" s="53"/>
      <c r="I59" s="54"/>
      <c r="J59" s="53">
        <f>SUM(J60:J61)</f>
        <v>27.32</v>
      </c>
      <c r="K59" s="54"/>
      <c r="L59" s="53">
        <f>SUM(L60:L61)</f>
        <v>26.68</v>
      </c>
      <c r="M59" s="54"/>
    </row>
    <row r="60" spans="1:13" s="41" customFormat="1" ht="15.95" customHeight="1">
      <c r="A60" s="36">
        <f t="shared" si="1"/>
        <v>57</v>
      </c>
      <c r="B60" s="61"/>
      <c r="C60" s="62" t="s">
        <v>57</v>
      </c>
      <c r="D60" s="63"/>
      <c r="E60" s="55"/>
      <c r="F60" s="55">
        <f t="shared" si="2"/>
        <v>25.450000000000003</v>
      </c>
      <c r="G60" s="56">
        <f t="shared" si="3"/>
        <v>0</v>
      </c>
      <c r="H60" s="53"/>
      <c r="I60" s="54"/>
      <c r="J60" s="53">
        <v>13.65</v>
      </c>
      <c r="K60" s="54">
        <v>43141</v>
      </c>
      <c r="L60" s="53">
        <v>11.8</v>
      </c>
      <c r="M60" s="54">
        <v>43098</v>
      </c>
    </row>
    <row r="61" spans="1:13" s="41" customFormat="1" ht="15.95" customHeight="1">
      <c r="A61" s="36">
        <f t="shared" si="1"/>
        <v>58</v>
      </c>
      <c r="B61" s="61"/>
      <c r="C61" s="62" t="s">
        <v>58</v>
      </c>
      <c r="D61" s="63"/>
      <c r="E61" s="55"/>
      <c r="F61" s="55">
        <f t="shared" si="2"/>
        <v>28.55</v>
      </c>
      <c r="G61" s="56">
        <f t="shared" si="3"/>
        <v>0</v>
      </c>
      <c r="H61" s="53"/>
      <c r="I61" s="54"/>
      <c r="J61" s="53">
        <v>13.67</v>
      </c>
      <c r="K61" s="54">
        <v>43165</v>
      </c>
      <c r="L61" s="53">
        <v>14.88</v>
      </c>
      <c r="M61" s="54">
        <v>43108</v>
      </c>
    </row>
    <row r="62" spans="1:13" s="41" customFormat="1" ht="15.95" customHeight="1">
      <c r="A62" s="36">
        <f t="shared" si="1"/>
        <v>59</v>
      </c>
      <c r="B62" s="61">
        <v>2</v>
      </c>
      <c r="C62" s="62" t="s">
        <v>83</v>
      </c>
      <c r="D62" s="63" t="s">
        <v>0</v>
      </c>
      <c r="E62" s="55">
        <v>30.83</v>
      </c>
      <c r="F62" s="55">
        <f t="shared" si="2"/>
        <v>30.8</v>
      </c>
      <c r="G62" s="56">
        <f t="shared" si="3"/>
        <v>-2.9999999999997584E-2</v>
      </c>
      <c r="H62" s="53">
        <v>30.8</v>
      </c>
      <c r="I62" s="54">
        <v>43075</v>
      </c>
      <c r="J62" s="53"/>
      <c r="K62" s="54"/>
      <c r="L62" s="53"/>
      <c r="M62" s="54"/>
    </row>
  </sheetData>
  <protectedRanges>
    <protectedRange sqref="F7:G62" name="Range1_1_3_4"/>
    <protectedRange sqref="C7:D62" name="Range1_1_3_3_1"/>
    <protectedRange sqref="B7:B62" name="Range1_1_3_2_7_1"/>
    <protectedRange sqref="E7:E62" name="Range1_1_3_4_1"/>
  </protectedRanges>
  <mergeCells count="4">
    <mergeCell ref="H1:M1"/>
    <mergeCell ref="H2:I2"/>
    <mergeCell ref="J2:K2"/>
    <mergeCell ref="L2:M2"/>
  </mergeCells>
  <pageMargins left="0.7" right="0.7" top="0.75" bottom="0.75" header="0.3" footer="0.3"/>
  <pageSetup paperSize="9" scale="54" orientation="portrait" r:id="rId1"/>
  <ignoredErrors>
    <ignoredError sqref="H24 H11:M11 J14:M14 L33 J33 H14 H33" formulaRange="1"/>
    <ignoredError sqref="G2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rgb="FFCC00CC"/>
  </sheetPr>
  <dimension ref="A1:K47"/>
  <sheetViews>
    <sheetView topLeftCell="A22" zoomScaleSheetLayoutView="85" workbookViewId="0">
      <selection activeCell="E30" sqref="E30"/>
    </sheetView>
  </sheetViews>
  <sheetFormatPr defaultRowHeight="15.75"/>
  <cols>
    <col min="1" max="1" width="1.7109375" style="151" customWidth="1"/>
    <col min="2" max="8" width="12.7109375" style="151" customWidth="1"/>
    <col min="9" max="9" width="1.7109375" style="151" customWidth="1"/>
    <col min="10" max="16384" width="9.140625" style="151"/>
  </cols>
  <sheetData>
    <row r="1" spans="1:11" s="139" customFormat="1" ht="21.95" customHeight="1" thickTop="1">
      <c r="A1" s="137"/>
      <c r="B1" s="533" t="s">
        <v>97</v>
      </c>
      <c r="C1" s="533"/>
      <c r="D1" s="533"/>
      <c r="E1" s="533"/>
      <c r="F1" s="533"/>
      <c r="G1" s="533"/>
      <c r="H1" s="533"/>
      <c r="I1" s="138"/>
    </row>
    <row r="2" spans="1:11" s="142" customFormat="1">
      <c r="A2" s="140"/>
      <c r="B2" s="531" t="s">
        <v>98</v>
      </c>
      <c r="C2" s="531"/>
      <c r="D2" s="531"/>
      <c r="E2" s="531"/>
      <c r="F2" s="531"/>
      <c r="G2" s="531"/>
      <c r="H2" s="531"/>
      <c r="I2" s="141"/>
    </row>
    <row r="3" spans="1:11" s="142" customFormat="1">
      <c r="A3" s="140"/>
      <c r="B3" s="143"/>
      <c r="C3" s="143"/>
      <c r="D3" s="143"/>
      <c r="E3" s="143"/>
      <c r="F3" s="143"/>
      <c r="G3" s="143"/>
      <c r="H3" s="143"/>
      <c r="I3" s="141"/>
    </row>
    <row r="4" spans="1:11" s="142" customFormat="1">
      <c r="A4" s="140"/>
      <c r="B4" s="143"/>
      <c r="C4" s="143"/>
      <c r="D4" s="143"/>
      <c r="E4" s="143"/>
      <c r="F4" s="143"/>
      <c r="G4" s="143"/>
      <c r="H4" s="143"/>
      <c r="I4" s="141"/>
    </row>
    <row r="5" spans="1:11" s="146" customFormat="1" ht="69" customHeight="1">
      <c r="A5" s="144"/>
      <c r="B5" s="532" t="s">
        <v>99</v>
      </c>
      <c r="C5" s="532"/>
      <c r="D5" s="532"/>
      <c r="E5" s="532"/>
      <c r="F5" s="532"/>
      <c r="G5" s="532"/>
      <c r="H5" s="532"/>
      <c r="I5" s="145"/>
    </row>
    <row r="6" spans="1:11" s="142" customFormat="1">
      <c r="A6" s="140"/>
      <c r="B6" s="531"/>
      <c r="C6" s="531"/>
      <c r="D6" s="531"/>
      <c r="E6" s="531"/>
      <c r="F6" s="531"/>
      <c r="G6" s="531"/>
      <c r="H6" s="531"/>
      <c r="I6" s="141"/>
    </row>
    <row r="7" spans="1:11" s="142" customFormat="1">
      <c r="A7" s="140"/>
      <c r="B7" s="531"/>
      <c r="C7" s="531"/>
      <c r="D7" s="531"/>
      <c r="E7" s="531"/>
      <c r="F7" s="531"/>
      <c r="G7" s="531"/>
      <c r="H7" s="531"/>
      <c r="I7" s="141"/>
    </row>
    <row r="8" spans="1:11" s="146" customFormat="1" ht="69" customHeight="1">
      <c r="A8" s="144"/>
      <c r="B8" s="532" t="s">
        <v>100</v>
      </c>
      <c r="C8" s="532"/>
      <c r="D8" s="532"/>
      <c r="E8" s="532"/>
      <c r="F8" s="532"/>
      <c r="G8" s="532"/>
      <c r="H8" s="532"/>
      <c r="I8" s="145"/>
    </row>
    <row r="9" spans="1:11" s="142" customFormat="1">
      <c r="A9" s="140"/>
      <c r="B9" s="147"/>
      <c r="C9" s="147"/>
      <c r="D9" s="147"/>
      <c r="E9" s="147"/>
      <c r="F9" s="147"/>
      <c r="G9" s="147"/>
      <c r="H9" s="147"/>
      <c r="I9" s="141"/>
      <c r="K9" s="148"/>
    </row>
    <row r="10" spans="1:11" s="142" customFormat="1">
      <c r="A10" s="140"/>
      <c r="B10" s="147"/>
      <c r="C10" s="147"/>
      <c r="D10" s="147"/>
      <c r="E10" s="147"/>
      <c r="F10" s="147"/>
      <c r="G10" s="147"/>
      <c r="H10" s="147"/>
      <c r="I10" s="141"/>
      <c r="K10" s="148"/>
    </row>
    <row r="11" spans="1:11" ht="20.100000000000001" customHeight="1">
      <c r="A11" s="149"/>
      <c r="B11" s="526" t="s">
        <v>597</v>
      </c>
      <c r="C11" s="526"/>
      <c r="D11" s="526"/>
      <c r="E11" s="526"/>
      <c r="F11" s="526"/>
      <c r="G11" s="526"/>
      <c r="H11" s="526"/>
      <c r="I11" s="150"/>
      <c r="K11" s="152"/>
    </row>
    <row r="12" spans="1:11" ht="20.100000000000001" customHeight="1">
      <c r="A12" s="149"/>
      <c r="B12" s="526" t="s">
        <v>101</v>
      </c>
      <c r="C12" s="526"/>
      <c r="D12" s="526"/>
      <c r="E12" s="526"/>
      <c r="F12" s="526"/>
      <c r="G12" s="526"/>
      <c r="H12" s="526"/>
      <c r="I12" s="150"/>
      <c r="K12" s="152"/>
    </row>
    <row r="13" spans="1:11">
      <c r="A13" s="149"/>
      <c r="B13" s="153"/>
      <c r="C13" s="153"/>
      <c r="D13" s="153"/>
      <c r="E13" s="153"/>
      <c r="F13" s="153"/>
      <c r="G13" s="153"/>
      <c r="H13" s="153"/>
      <c r="I13" s="150"/>
      <c r="K13" s="152"/>
    </row>
    <row r="14" spans="1:11">
      <c r="A14" s="149"/>
      <c r="B14" s="153"/>
      <c r="C14" s="153"/>
      <c r="D14" s="153"/>
      <c r="E14" s="153"/>
      <c r="F14" s="153"/>
      <c r="G14" s="153"/>
      <c r="H14" s="153"/>
      <c r="I14" s="150"/>
      <c r="K14" s="154"/>
    </row>
    <row r="15" spans="1:11">
      <c r="A15" s="149"/>
      <c r="B15" s="153"/>
      <c r="C15" s="153"/>
      <c r="D15" s="153"/>
      <c r="E15" s="153"/>
      <c r="F15" s="153"/>
      <c r="G15" s="153"/>
      <c r="H15" s="153"/>
      <c r="I15" s="150"/>
    </row>
    <row r="16" spans="1:11">
      <c r="A16" s="149"/>
      <c r="B16" s="153"/>
      <c r="C16" s="153"/>
      <c r="D16" s="153"/>
      <c r="E16" s="153"/>
      <c r="F16" s="153"/>
      <c r="G16" s="153"/>
      <c r="H16" s="153"/>
      <c r="I16" s="150"/>
    </row>
    <row r="17" spans="1:9" s="157" customFormat="1" ht="34.5">
      <c r="A17" s="155"/>
      <c r="B17" s="527" t="s">
        <v>102</v>
      </c>
      <c r="C17" s="527"/>
      <c r="D17" s="527"/>
      <c r="E17" s="527"/>
      <c r="F17" s="527"/>
      <c r="G17" s="527"/>
      <c r="H17" s="527"/>
      <c r="I17" s="156"/>
    </row>
    <row r="18" spans="1:9" ht="25.5">
      <c r="A18" s="149"/>
      <c r="B18" s="528" t="s">
        <v>103</v>
      </c>
      <c r="C18" s="528"/>
      <c r="D18" s="528"/>
      <c r="E18" s="528"/>
      <c r="F18" s="528"/>
      <c r="G18" s="528"/>
      <c r="H18" s="528"/>
      <c r="I18" s="150"/>
    </row>
    <row r="19" spans="1:9">
      <c r="A19" s="149"/>
      <c r="B19" s="526" t="s">
        <v>397</v>
      </c>
      <c r="C19" s="526"/>
      <c r="D19" s="526"/>
      <c r="E19" s="526"/>
      <c r="F19" s="526"/>
      <c r="G19" s="526"/>
      <c r="H19" s="526"/>
      <c r="I19" s="150"/>
    </row>
    <row r="20" spans="1:9">
      <c r="A20" s="149"/>
      <c r="B20" s="153"/>
      <c r="C20" s="153"/>
      <c r="D20" s="153"/>
      <c r="E20" s="153"/>
      <c r="F20" s="153"/>
      <c r="G20" s="153"/>
      <c r="H20" s="153"/>
      <c r="I20" s="150"/>
    </row>
    <row r="21" spans="1:9">
      <c r="A21" s="149"/>
      <c r="B21" s="153"/>
      <c r="C21" s="153"/>
      <c r="D21" s="153"/>
      <c r="E21" s="153"/>
      <c r="F21" s="153"/>
      <c r="G21" s="153"/>
      <c r="H21" s="153"/>
      <c r="I21" s="150"/>
    </row>
    <row r="22" spans="1:9">
      <c r="A22" s="149"/>
      <c r="B22" s="153"/>
      <c r="C22" s="153"/>
      <c r="D22" s="153"/>
      <c r="E22" s="153"/>
      <c r="F22" s="153"/>
      <c r="G22" s="153"/>
      <c r="H22" s="153"/>
      <c r="I22" s="150"/>
    </row>
    <row r="23" spans="1:9" s="161" customFormat="1" ht="14.1" customHeight="1">
      <c r="A23" s="158"/>
      <c r="B23" s="529" t="s">
        <v>104</v>
      </c>
      <c r="C23" s="529"/>
      <c r="D23" s="529"/>
      <c r="E23" s="159"/>
      <c r="F23" s="529" t="s">
        <v>105</v>
      </c>
      <c r="G23" s="529"/>
      <c r="H23" s="529"/>
      <c r="I23" s="160"/>
    </row>
    <row r="24" spans="1:9" s="161" customFormat="1" ht="14.1" customHeight="1">
      <c r="A24" s="158"/>
      <c r="B24" s="529" t="s">
        <v>106</v>
      </c>
      <c r="C24" s="529"/>
      <c r="D24" s="529"/>
      <c r="E24" s="159"/>
      <c r="F24" s="529" t="s">
        <v>107</v>
      </c>
      <c r="G24" s="529"/>
      <c r="H24" s="529"/>
      <c r="I24" s="160"/>
    </row>
    <row r="25" spans="1:9" s="161" customFormat="1" ht="14.1" customHeight="1">
      <c r="A25" s="158"/>
      <c r="B25" s="162"/>
      <c r="C25" s="162"/>
      <c r="D25" s="162"/>
      <c r="E25" s="162"/>
      <c r="F25" s="162"/>
      <c r="G25" s="162"/>
      <c r="H25" s="162"/>
      <c r="I25" s="160"/>
    </row>
    <row r="26" spans="1:9" s="161" customFormat="1" ht="14.1" customHeight="1">
      <c r="A26" s="158"/>
      <c r="B26" s="162"/>
      <c r="C26" s="162"/>
      <c r="D26" s="162"/>
      <c r="E26" s="162"/>
      <c r="F26" s="162"/>
      <c r="G26" s="162"/>
      <c r="H26" s="162"/>
      <c r="I26" s="160"/>
    </row>
    <row r="27" spans="1:9" s="161" customFormat="1" ht="14.1" customHeight="1">
      <c r="A27" s="158"/>
      <c r="B27" s="162"/>
      <c r="C27" s="162"/>
      <c r="D27" s="162"/>
      <c r="E27" s="162"/>
      <c r="F27" s="162"/>
      <c r="G27" s="162"/>
      <c r="H27" s="162"/>
      <c r="I27" s="160"/>
    </row>
    <row r="28" spans="1:9" s="161" customFormat="1" ht="14.1" customHeight="1">
      <c r="A28" s="158"/>
      <c r="B28" s="162"/>
      <c r="C28" s="162"/>
      <c r="D28" s="162"/>
      <c r="E28" s="162"/>
      <c r="F28" s="162"/>
      <c r="G28" s="162"/>
      <c r="H28" s="162"/>
      <c r="I28" s="160"/>
    </row>
    <row r="29" spans="1:9" s="161" customFormat="1" ht="14.1" customHeight="1">
      <c r="A29" s="158"/>
      <c r="B29" s="162"/>
      <c r="C29" s="162"/>
      <c r="D29" s="162"/>
      <c r="E29" s="162"/>
      <c r="F29" s="162"/>
      <c r="G29" s="162"/>
      <c r="H29" s="162"/>
      <c r="I29" s="160"/>
    </row>
    <row r="30" spans="1:9" s="161" customFormat="1" ht="14.1" customHeight="1">
      <c r="A30" s="158"/>
      <c r="B30" s="162"/>
      <c r="C30" s="162"/>
      <c r="D30" s="162"/>
      <c r="E30" s="162"/>
      <c r="F30" s="162"/>
      <c r="G30" s="162"/>
      <c r="H30" s="162"/>
      <c r="I30" s="160"/>
    </row>
    <row r="31" spans="1:9" s="161" customFormat="1" ht="14.1" customHeight="1">
      <c r="A31" s="158"/>
      <c r="B31" s="162"/>
      <c r="C31" s="162"/>
      <c r="D31" s="162"/>
      <c r="E31" s="162"/>
      <c r="F31" s="162"/>
      <c r="G31" s="162"/>
      <c r="H31" s="162"/>
      <c r="I31" s="160"/>
    </row>
    <row r="32" spans="1:9" s="161" customFormat="1" ht="14.1" customHeight="1">
      <c r="A32" s="158"/>
      <c r="B32" s="529" t="s">
        <v>68</v>
      </c>
      <c r="C32" s="529"/>
      <c r="D32" s="529"/>
      <c r="E32" s="529"/>
      <c r="F32" s="529"/>
      <c r="G32" s="529"/>
      <c r="H32" s="529"/>
      <c r="I32" s="160"/>
    </row>
    <row r="33" spans="1:9" s="161" customFormat="1" ht="33" customHeight="1">
      <c r="A33" s="158"/>
      <c r="B33" s="530" t="s">
        <v>108</v>
      </c>
      <c r="C33" s="529"/>
      <c r="D33" s="529"/>
      <c r="E33" s="529"/>
      <c r="F33" s="529"/>
      <c r="G33" s="529"/>
      <c r="H33" s="529"/>
      <c r="I33" s="160"/>
    </row>
    <row r="34" spans="1:9" s="166" customFormat="1" ht="12.75">
      <c r="A34" s="163"/>
      <c r="B34" s="164"/>
      <c r="C34" s="164"/>
      <c r="D34" s="164"/>
      <c r="E34" s="164"/>
      <c r="F34" s="164"/>
      <c r="G34" s="164"/>
      <c r="H34" s="164"/>
      <c r="I34" s="165"/>
    </row>
    <row r="35" spans="1:9" s="170" customFormat="1" ht="14.25">
      <c r="A35" s="167"/>
      <c r="B35" s="168"/>
      <c r="C35" s="168"/>
      <c r="D35" s="168"/>
      <c r="E35" s="168"/>
      <c r="F35" s="168"/>
      <c r="G35" s="168"/>
      <c r="H35" s="168"/>
      <c r="I35" s="169"/>
    </row>
    <row r="36" spans="1:9" s="170" customFormat="1" ht="14.25">
      <c r="A36" s="167"/>
      <c r="B36" s="168"/>
      <c r="C36" s="168"/>
      <c r="D36" s="168"/>
      <c r="E36" s="168"/>
      <c r="F36" s="168"/>
      <c r="G36" s="168"/>
      <c r="H36" s="168"/>
      <c r="I36" s="169"/>
    </row>
    <row r="37" spans="1:9" s="170" customFormat="1" ht="14.25">
      <c r="A37" s="167"/>
      <c r="B37" s="168"/>
      <c r="C37" s="168"/>
      <c r="D37" s="168"/>
      <c r="E37" s="168"/>
      <c r="F37" s="168"/>
      <c r="G37" s="168"/>
      <c r="H37" s="168"/>
      <c r="I37" s="169"/>
    </row>
    <row r="38" spans="1:9" s="170" customFormat="1" ht="14.25">
      <c r="A38" s="167"/>
      <c r="B38" s="168"/>
      <c r="C38" s="168"/>
      <c r="D38" s="168"/>
      <c r="E38" s="168"/>
      <c r="F38" s="168"/>
      <c r="G38" s="168"/>
      <c r="H38" s="168"/>
      <c r="I38" s="169"/>
    </row>
    <row r="39" spans="1:9" s="170" customFormat="1" ht="14.25">
      <c r="A39" s="167"/>
      <c r="B39" s="168"/>
      <c r="C39" s="168"/>
      <c r="D39" s="168"/>
      <c r="E39" s="168"/>
      <c r="F39" s="168"/>
      <c r="G39" s="168"/>
      <c r="H39" s="168"/>
      <c r="I39" s="169"/>
    </row>
    <row r="40" spans="1:9" s="170" customFormat="1" ht="14.25">
      <c r="A40" s="167"/>
      <c r="B40" s="168"/>
      <c r="C40" s="168"/>
      <c r="D40" s="168"/>
      <c r="E40" s="168"/>
      <c r="F40" s="168"/>
      <c r="G40" s="168"/>
      <c r="H40" s="168"/>
      <c r="I40" s="169"/>
    </row>
    <row r="41" spans="1:9" s="142" customFormat="1">
      <c r="A41" s="140"/>
      <c r="B41" s="147"/>
      <c r="C41" s="147"/>
      <c r="D41" s="147"/>
      <c r="E41" s="147"/>
      <c r="F41" s="147"/>
      <c r="G41" s="147"/>
      <c r="H41" s="147"/>
      <c r="I41" s="141"/>
    </row>
    <row r="42" spans="1:9" s="142" customFormat="1">
      <c r="A42" s="140"/>
      <c r="B42" s="531" t="s">
        <v>109</v>
      </c>
      <c r="C42" s="531"/>
      <c r="D42" s="531"/>
      <c r="E42" s="531"/>
      <c r="F42" s="531"/>
      <c r="G42" s="531"/>
      <c r="H42" s="531"/>
      <c r="I42" s="141"/>
    </row>
    <row r="43" spans="1:9" ht="9.9499999999999993" customHeight="1" thickBot="1">
      <c r="A43" s="171"/>
      <c r="B43" s="524"/>
      <c r="C43" s="525"/>
      <c r="D43" s="525"/>
      <c r="E43" s="525"/>
      <c r="F43" s="525"/>
      <c r="G43" s="525"/>
      <c r="H43" s="525"/>
      <c r="I43" s="172"/>
    </row>
    <row r="44" spans="1:9" ht="20.100000000000001" customHeight="1" thickTop="1"/>
    <row r="45" spans="1:9" ht="20.100000000000001" customHeight="1"/>
    <row r="46" spans="1:9" ht="20.100000000000001" customHeight="1"/>
    <row r="47" spans="1:9" ht="20.100000000000001" customHeight="1"/>
  </sheetData>
  <mergeCells count="19">
    <mergeCell ref="B8:H8"/>
    <mergeCell ref="B1:H1"/>
    <mergeCell ref="B2:H2"/>
    <mergeCell ref="B5:H5"/>
    <mergeCell ref="B6:H6"/>
    <mergeCell ref="B7:H7"/>
    <mergeCell ref="B43:H43"/>
    <mergeCell ref="B11:H11"/>
    <mergeCell ref="B12:H12"/>
    <mergeCell ref="B17:H17"/>
    <mergeCell ref="B18:H18"/>
    <mergeCell ref="B19:H19"/>
    <mergeCell ref="B23:D23"/>
    <mergeCell ref="F23:H23"/>
    <mergeCell ref="B24:D24"/>
    <mergeCell ref="F24:H24"/>
    <mergeCell ref="B32:H32"/>
    <mergeCell ref="B33:H33"/>
    <mergeCell ref="B42:H42"/>
  </mergeCells>
  <printOptions horizontalCentered="1" verticalCentered="1"/>
  <pageMargins left="0.98425196850393704" right="0.31496062992125984" top="0.59055118110236227" bottom="0.59055118110236227" header="0.31496062992125984" footer="0.31496062992125984"/>
  <pageSetup paperSize="9" scale="9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rgb="FFCC00CC"/>
  </sheetPr>
  <dimension ref="A1:P191"/>
  <sheetViews>
    <sheetView tabSelected="1" view="pageBreakPreview" topLeftCell="B13" zoomScale="85" zoomScaleNormal="80" zoomScaleSheetLayoutView="85" workbookViewId="0">
      <selection activeCell="E31" sqref="E31"/>
    </sheetView>
  </sheetViews>
  <sheetFormatPr defaultRowHeight="15.75"/>
  <cols>
    <col min="1" max="1" width="9.140625" style="398"/>
    <col min="2" max="2" width="6.28515625" style="398" customWidth="1"/>
    <col min="3" max="3" width="50.7109375" style="398" customWidth="1"/>
    <col min="4" max="4" width="10.28515625" style="398" customWidth="1"/>
    <col min="5" max="8" width="14.7109375" style="398" customWidth="1"/>
    <col min="9" max="9" width="14.7109375" style="398" hidden="1" customWidth="1"/>
    <col min="10" max="10" width="25.28515625" style="501" hidden="1" customWidth="1"/>
    <col min="11" max="12" width="25.28515625" style="398" customWidth="1"/>
    <col min="13" max="13" width="17.28515625" style="471" bestFit="1" customWidth="1"/>
    <col min="14" max="14" width="13.28515625" style="398" customWidth="1"/>
    <col min="15" max="15" width="9.140625" style="398"/>
    <col min="16" max="16" width="11" style="398" customWidth="1"/>
    <col min="17" max="16384" width="9.140625" style="398"/>
  </cols>
  <sheetData>
    <row r="1" spans="1:16" ht="15.75" customHeight="1">
      <c r="B1" s="539" t="s">
        <v>87</v>
      </c>
      <c r="C1" s="539"/>
      <c r="D1" s="539"/>
      <c r="E1" s="539"/>
      <c r="F1" s="539"/>
      <c r="G1" s="539"/>
      <c r="H1" s="539"/>
      <c r="I1" s="539"/>
      <c r="J1" s="539"/>
      <c r="K1" s="539"/>
      <c r="L1" s="470"/>
    </row>
    <row r="2" spans="1:16" s="472" customFormat="1" ht="36.75" customHeight="1">
      <c r="B2" s="539"/>
      <c r="C2" s="539"/>
      <c r="D2" s="539"/>
      <c r="E2" s="539"/>
      <c r="F2" s="539"/>
      <c r="G2" s="539"/>
      <c r="H2" s="539"/>
      <c r="I2" s="539"/>
      <c r="J2" s="539"/>
      <c r="K2" s="539"/>
      <c r="L2" s="473"/>
      <c r="M2" s="474"/>
    </row>
    <row r="3" spans="1:16" s="472" customFormat="1" ht="18" customHeight="1">
      <c r="B3" s="540" t="s">
        <v>835</v>
      </c>
      <c r="C3" s="540"/>
      <c r="D3" s="540"/>
      <c r="E3" s="540"/>
      <c r="F3" s="540"/>
      <c r="G3" s="540"/>
      <c r="H3" s="540"/>
      <c r="I3" s="540"/>
      <c r="J3" s="540"/>
      <c r="K3" s="540"/>
      <c r="L3" s="473"/>
      <c r="M3" s="474"/>
    </row>
    <row r="4" spans="1:16" ht="15.75" customHeight="1"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470"/>
    </row>
    <row r="5" spans="1:16" ht="20.25">
      <c r="B5" s="541" t="s">
        <v>110</v>
      </c>
      <c r="C5" s="541"/>
      <c r="D5" s="541"/>
      <c r="E5" s="541"/>
      <c r="F5" s="541"/>
      <c r="G5" s="541"/>
      <c r="H5" s="541"/>
      <c r="I5" s="541"/>
      <c r="J5" s="541"/>
      <c r="K5" s="541"/>
      <c r="L5" s="475"/>
    </row>
    <row r="6" spans="1:16">
      <c r="B6" s="540" t="s">
        <v>681</v>
      </c>
      <c r="C6" s="540"/>
      <c r="D6" s="540"/>
      <c r="E6" s="540"/>
      <c r="F6" s="540"/>
      <c r="G6" s="540"/>
      <c r="H6" s="540"/>
      <c r="I6" s="540"/>
      <c r="J6" s="540"/>
      <c r="K6" s="540"/>
      <c r="L6" s="470"/>
    </row>
    <row r="7" spans="1:16" s="476" customFormat="1" ht="16.5" thickBot="1">
      <c r="D7" s="477"/>
      <c r="J7" s="478"/>
      <c r="K7" s="479"/>
      <c r="L7" s="479"/>
      <c r="M7" s="480"/>
    </row>
    <row r="8" spans="1:16" s="481" customFormat="1" ht="34.5" customHeight="1" thickTop="1">
      <c r="B8" s="543" t="s">
        <v>3</v>
      </c>
      <c r="C8" s="545" t="s">
        <v>111</v>
      </c>
      <c r="D8" s="545" t="s">
        <v>12</v>
      </c>
      <c r="E8" s="545" t="s">
        <v>112</v>
      </c>
      <c r="F8" s="545" t="s">
        <v>113</v>
      </c>
      <c r="G8" s="545" t="s">
        <v>94</v>
      </c>
      <c r="H8" s="545" t="s">
        <v>89</v>
      </c>
      <c r="I8" s="545" t="s">
        <v>95</v>
      </c>
      <c r="J8" s="545" t="s">
        <v>85</v>
      </c>
      <c r="K8" s="535" t="s">
        <v>85</v>
      </c>
      <c r="L8" s="535" t="s">
        <v>85</v>
      </c>
      <c r="M8" s="482"/>
    </row>
    <row r="9" spans="1:16" s="481" customFormat="1">
      <c r="B9" s="544"/>
      <c r="C9" s="546"/>
      <c r="D9" s="546"/>
      <c r="E9" s="546"/>
      <c r="F9" s="546"/>
      <c r="G9" s="546"/>
      <c r="H9" s="546"/>
      <c r="I9" s="546"/>
      <c r="J9" s="546"/>
      <c r="K9" s="536"/>
      <c r="L9" s="536"/>
      <c r="M9" s="483"/>
    </row>
    <row r="10" spans="1:16" s="481" customFormat="1">
      <c r="B10" s="484">
        <v>-1</v>
      </c>
      <c r="C10" s="485">
        <f>B10-1</f>
        <v>-2</v>
      </c>
      <c r="D10" s="485">
        <f t="shared" ref="D10:J10" si="0">C10-1</f>
        <v>-3</v>
      </c>
      <c r="E10" s="485">
        <f t="shared" si="0"/>
        <v>-4</v>
      </c>
      <c r="F10" s="485">
        <f t="shared" si="0"/>
        <v>-5</v>
      </c>
      <c r="G10" s="485">
        <f t="shared" si="0"/>
        <v>-6</v>
      </c>
      <c r="H10" s="485">
        <f t="shared" si="0"/>
        <v>-7</v>
      </c>
      <c r="I10" s="485">
        <f t="shared" si="0"/>
        <v>-8</v>
      </c>
      <c r="J10" s="485">
        <f t="shared" si="0"/>
        <v>-9</v>
      </c>
      <c r="K10" s="486"/>
      <c r="L10" s="486"/>
      <c r="M10" s="482"/>
    </row>
    <row r="11" spans="1:16" s="396" customFormat="1" ht="39.950000000000003" customHeight="1">
      <c r="B11" s="456" t="s">
        <v>114</v>
      </c>
      <c r="C11" s="457" t="s">
        <v>324</v>
      </c>
      <c r="D11" s="458"/>
      <c r="E11" s="458"/>
      <c r="F11" s="458"/>
      <c r="G11" s="458"/>
      <c r="H11" s="458"/>
      <c r="I11" s="458"/>
      <c r="J11" s="459"/>
      <c r="K11" s="460"/>
      <c r="L11" s="460"/>
      <c r="M11" s="397"/>
    </row>
    <row r="12" spans="1:16" ht="18" customHeight="1">
      <c r="A12" s="487"/>
      <c r="B12" s="488" t="s">
        <v>150</v>
      </c>
      <c r="C12" s="489" t="s">
        <v>151</v>
      </c>
      <c r="D12" s="490"/>
      <c r="E12" s="461"/>
      <c r="F12" s="461"/>
      <c r="G12" s="461"/>
      <c r="H12" s="461"/>
      <c r="I12" s="461"/>
      <c r="J12" s="491"/>
      <c r="K12" s="492"/>
      <c r="L12" s="492"/>
      <c r="N12" s="400"/>
      <c r="P12" s="401"/>
    </row>
    <row r="13" spans="1:16" ht="18" customHeight="1">
      <c r="A13" s="487"/>
      <c r="B13" s="493" t="s">
        <v>116</v>
      </c>
      <c r="C13" s="489" t="s">
        <v>152</v>
      </c>
      <c r="D13" s="490" t="s">
        <v>153</v>
      </c>
      <c r="E13" s="461"/>
      <c r="F13" s="461"/>
      <c r="G13" s="461"/>
      <c r="H13" s="461"/>
      <c r="I13" s="461"/>
      <c r="J13" s="491" t="s">
        <v>701</v>
      </c>
      <c r="K13" s="491" t="s">
        <v>701</v>
      </c>
      <c r="L13" s="491" t="s">
        <v>701</v>
      </c>
      <c r="N13" s="400"/>
      <c r="P13" s="401"/>
    </row>
    <row r="14" spans="1:16" ht="18" customHeight="1">
      <c r="A14" s="487"/>
      <c r="B14" s="493" t="s">
        <v>154</v>
      </c>
      <c r="C14" s="489" t="s">
        <v>155</v>
      </c>
      <c r="D14" s="490" t="s">
        <v>153</v>
      </c>
      <c r="E14" s="461"/>
      <c r="F14" s="461"/>
      <c r="G14" s="461"/>
      <c r="H14" s="461"/>
      <c r="I14" s="461"/>
      <c r="J14" s="491"/>
      <c r="K14" s="492"/>
      <c r="L14" s="492"/>
      <c r="N14" s="400"/>
      <c r="P14" s="401"/>
    </row>
    <row r="15" spans="1:16" ht="18" customHeight="1">
      <c r="A15" s="487"/>
      <c r="B15" s="493"/>
      <c r="C15" s="489" t="s">
        <v>156</v>
      </c>
      <c r="D15" s="490"/>
      <c r="E15" s="461"/>
      <c r="F15" s="461"/>
      <c r="G15" s="461"/>
      <c r="H15" s="461"/>
      <c r="I15" s="461"/>
      <c r="J15" s="491"/>
      <c r="K15" s="492"/>
      <c r="L15" s="492"/>
      <c r="N15" s="400"/>
      <c r="P15" s="401"/>
    </row>
    <row r="16" spans="1:16" ht="18" hidden="1" customHeight="1">
      <c r="A16" s="487"/>
      <c r="B16" s="488"/>
      <c r="C16" s="462" t="s">
        <v>157</v>
      </c>
      <c r="D16" s="490" t="s">
        <v>7</v>
      </c>
      <c r="E16" s="461"/>
      <c r="F16" s="461"/>
      <c r="G16" s="461"/>
      <c r="H16" s="461"/>
      <c r="I16" s="461"/>
      <c r="J16" s="491"/>
      <c r="K16" s="492"/>
      <c r="L16" s="492"/>
      <c r="N16" s="400"/>
      <c r="P16" s="401"/>
    </row>
    <row r="17" spans="1:16" ht="18" hidden="1" customHeight="1">
      <c r="A17" s="487"/>
      <c r="B17" s="488"/>
      <c r="C17" s="462" t="s">
        <v>158</v>
      </c>
      <c r="D17" s="490" t="s">
        <v>8</v>
      </c>
      <c r="E17" s="461"/>
      <c r="F17" s="461"/>
      <c r="G17" s="461"/>
      <c r="H17" s="461"/>
      <c r="I17" s="461"/>
      <c r="J17" s="491"/>
      <c r="K17" s="492"/>
      <c r="L17" s="492"/>
      <c r="N17" s="400"/>
      <c r="P17" s="401"/>
    </row>
    <row r="18" spans="1:16" ht="18" hidden="1" customHeight="1">
      <c r="A18" s="487"/>
      <c r="B18" s="488"/>
      <c r="C18" s="462" t="s">
        <v>159</v>
      </c>
      <c r="D18" s="490" t="s">
        <v>8</v>
      </c>
      <c r="E18" s="461"/>
      <c r="F18" s="461"/>
      <c r="G18" s="461"/>
      <c r="H18" s="461"/>
      <c r="I18" s="461"/>
      <c r="J18" s="491"/>
      <c r="K18" s="492"/>
      <c r="L18" s="492"/>
      <c r="N18" s="400"/>
      <c r="P18" s="401"/>
    </row>
    <row r="19" spans="1:16" ht="18" hidden="1" customHeight="1">
      <c r="A19" s="487"/>
      <c r="B19" s="488"/>
      <c r="C19" s="462" t="s">
        <v>160</v>
      </c>
      <c r="D19" s="490" t="s">
        <v>8</v>
      </c>
      <c r="E19" s="461"/>
      <c r="F19" s="461"/>
      <c r="G19" s="461"/>
      <c r="H19" s="461"/>
      <c r="I19" s="461"/>
      <c r="J19" s="491"/>
      <c r="K19" s="492"/>
      <c r="L19" s="492"/>
      <c r="N19" s="400"/>
      <c r="P19" s="401"/>
    </row>
    <row r="20" spans="1:16" ht="18" hidden="1" customHeight="1">
      <c r="A20" s="487"/>
      <c r="B20" s="488"/>
      <c r="C20" s="462" t="s">
        <v>161</v>
      </c>
      <c r="D20" s="490" t="s">
        <v>127</v>
      </c>
      <c r="E20" s="461"/>
      <c r="F20" s="461"/>
      <c r="G20" s="461"/>
      <c r="H20" s="461"/>
      <c r="I20" s="461"/>
      <c r="J20" s="491"/>
      <c r="K20" s="492"/>
      <c r="L20" s="492"/>
      <c r="N20" s="400"/>
      <c r="P20" s="401"/>
    </row>
    <row r="21" spans="1:16" hidden="1">
      <c r="A21" s="487"/>
      <c r="B21" s="488"/>
      <c r="C21" s="462" t="s">
        <v>162</v>
      </c>
      <c r="D21" s="490" t="s">
        <v>7</v>
      </c>
      <c r="E21" s="461"/>
      <c r="F21" s="461"/>
      <c r="G21" s="461"/>
      <c r="H21" s="461"/>
      <c r="I21" s="461"/>
      <c r="J21" s="491"/>
      <c r="K21" s="492"/>
      <c r="L21" s="492"/>
      <c r="N21" s="400"/>
      <c r="P21" s="401"/>
    </row>
    <row r="22" spans="1:16" hidden="1">
      <c r="A22" s="487"/>
      <c r="B22" s="488"/>
      <c r="C22" s="462" t="s">
        <v>163</v>
      </c>
      <c r="D22" s="490" t="s">
        <v>126</v>
      </c>
      <c r="E22" s="461"/>
      <c r="F22" s="503"/>
      <c r="G22" s="503"/>
      <c r="H22" s="503"/>
      <c r="I22" s="503"/>
      <c r="J22" s="491"/>
      <c r="K22" s="492"/>
      <c r="L22" s="492"/>
      <c r="N22" s="400"/>
      <c r="P22" s="401"/>
    </row>
    <row r="23" spans="1:16" hidden="1">
      <c r="A23" s="487"/>
      <c r="B23" s="488"/>
      <c r="C23" s="462" t="s">
        <v>164</v>
      </c>
      <c r="D23" s="490" t="s">
        <v>126</v>
      </c>
      <c r="E23" s="461"/>
      <c r="F23" s="503"/>
      <c r="G23" s="503"/>
      <c r="H23" s="503"/>
      <c r="I23" s="503"/>
      <c r="J23" s="491"/>
      <c r="K23" s="492"/>
      <c r="L23" s="492"/>
      <c r="N23" s="400"/>
      <c r="P23" s="401"/>
    </row>
    <row r="24" spans="1:16">
      <c r="A24" s="487">
        <v>147</v>
      </c>
      <c r="B24" s="488">
        <v>1</v>
      </c>
      <c r="C24" s="465" t="s">
        <v>165</v>
      </c>
      <c r="D24" s="490" t="s">
        <v>166</v>
      </c>
      <c r="E24" s="724">
        <v>24</v>
      </c>
      <c r="F24" s="503">
        <f>'C.I.1.1'!G36</f>
        <v>24</v>
      </c>
      <c r="G24" s="503">
        <f>'C.I.1.1'!H36</f>
        <v>24</v>
      </c>
      <c r="H24" s="503">
        <f>'C.I.1.1'!I36</f>
        <v>24</v>
      </c>
      <c r="I24" s="503">
        <f>'C.I.1.1'!J36</f>
        <v>24</v>
      </c>
      <c r="J24" s="491" t="s">
        <v>792</v>
      </c>
      <c r="K24" s="492"/>
      <c r="L24" s="492"/>
      <c r="M24" s="471" t="s">
        <v>792</v>
      </c>
      <c r="N24" s="400"/>
      <c r="P24" s="401"/>
    </row>
    <row r="25" spans="1:16">
      <c r="A25" s="487">
        <v>148</v>
      </c>
      <c r="B25" s="488">
        <v>2</v>
      </c>
      <c r="C25" s="462" t="s">
        <v>167</v>
      </c>
      <c r="D25" s="490" t="s">
        <v>166</v>
      </c>
      <c r="E25" s="724">
        <v>24</v>
      </c>
      <c r="F25" s="461">
        <f>'C.I.1.2'!G13</f>
        <v>24</v>
      </c>
      <c r="G25" s="461">
        <f>'C.I.1.2'!H13</f>
        <v>24</v>
      </c>
      <c r="H25" s="461">
        <f>'C.I.1.2'!I13</f>
        <v>24</v>
      </c>
      <c r="I25" s="461">
        <f>'C.I.1.2'!J13</f>
        <v>24</v>
      </c>
      <c r="J25" s="491"/>
      <c r="K25" s="492"/>
      <c r="L25" s="492"/>
      <c r="N25" s="400"/>
      <c r="P25" s="401"/>
    </row>
    <row r="26" spans="1:16">
      <c r="A26" s="487"/>
      <c r="B26" s="488" t="s">
        <v>153</v>
      </c>
      <c r="C26" s="489" t="s">
        <v>168</v>
      </c>
      <c r="D26" s="490" t="s">
        <v>153</v>
      </c>
      <c r="E26" s="461"/>
      <c r="F26" s="461"/>
      <c r="G26" s="461"/>
      <c r="H26" s="461"/>
      <c r="I26" s="461"/>
      <c r="J26" s="491"/>
      <c r="K26" s="492"/>
      <c r="L26" s="492"/>
      <c r="N26" s="400"/>
      <c r="P26" s="401"/>
    </row>
    <row r="27" spans="1:16">
      <c r="A27" s="487">
        <v>149</v>
      </c>
      <c r="B27" s="488">
        <v>1</v>
      </c>
      <c r="C27" s="462" t="s">
        <v>169</v>
      </c>
      <c r="D27" s="490" t="s">
        <v>126</v>
      </c>
      <c r="E27" s="461">
        <v>96</v>
      </c>
      <c r="F27" s="461">
        <f>'C.I.1.3'!G13</f>
        <v>96</v>
      </c>
      <c r="G27" s="461">
        <f>'C.I.1.3'!H13</f>
        <v>96</v>
      </c>
      <c r="H27" s="461">
        <f>'C.I.1.3'!I13</f>
        <v>96</v>
      </c>
      <c r="I27" s="461">
        <f>'C.I.1.3'!J13</f>
        <v>96</v>
      </c>
      <c r="J27" s="491" t="s">
        <v>792</v>
      </c>
      <c r="K27" s="492"/>
      <c r="L27" s="492"/>
      <c r="M27" s="471" t="s">
        <v>791</v>
      </c>
      <c r="N27" s="400"/>
      <c r="P27" s="401"/>
    </row>
    <row r="28" spans="1:16">
      <c r="A28" s="487">
        <v>150</v>
      </c>
      <c r="B28" s="488">
        <v>2</v>
      </c>
      <c r="C28" s="462" t="s">
        <v>170</v>
      </c>
      <c r="D28" s="490" t="s">
        <v>7</v>
      </c>
      <c r="E28" s="724">
        <f>'C.I.1.4'!F14</f>
        <v>0.97</v>
      </c>
      <c r="F28" s="461">
        <f>'C.I.1.4'!G14</f>
        <v>0.48</v>
      </c>
      <c r="G28" s="461">
        <f>'C.I.1.4'!H14</f>
        <v>0.48</v>
      </c>
      <c r="H28" s="461">
        <f>'C.I.1.4'!I14</f>
        <v>0.48</v>
      </c>
      <c r="I28" s="461">
        <f>'C.I.1.4'!J14</f>
        <v>0.48</v>
      </c>
      <c r="J28" s="491" t="s">
        <v>792</v>
      </c>
      <c r="K28" s="492"/>
      <c r="L28" s="492"/>
      <c r="M28" s="471" t="s">
        <v>790</v>
      </c>
      <c r="N28" s="400"/>
      <c r="P28" s="401"/>
    </row>
    <row r="29" spans="1:16">
      <c r="A29" s="487"/>
      <c r="B29" s="488">
        <v>3</v>
      </c>
      <c r="C29" s="462" t="s">
        <v>171</v>
      </c>
      <c r="D29" s="490" t="s">
        <v>126</v>
      </c>
      <c r="E29" s="461">
        <v>0</v>
      </c>
      <c r="F29" s="461"/>
      <c r="G29" s="461"/>
      <c r="H29" s="461"/>
      <c r="I29" s="461"/>
      <c r="J29" s="491"/>
      <c r="K29" s="492"/>
      <c r="L29" s="492"/>
      <c r="N29" s="400"/>
      <c r="P29" s="401"/>
    </row>
    <row r="30" spans="1:16">
      <c r="A30" s="487"/>
      <c r="B30" s="488" t="s">
        <v>153</v>
      </c>
      <c r="C30" s="489" t="s">
        <v>172</v>
      </c>
      <c r="D30" s="490" t="s">
        <v>153</v>
      </c>
      <c r="E30" s="461" t="s">
        <v>326</v>
      </c>
      <c r="F30" s="461"/>
      <c r="G30" s="461"/>
      <c r="H30" s="461"/>
      <c r="I30" s="461"/>
      <c r="J30" s="491"/>
      <c r="K30" s="492"/>
      <c r="L30" s="492"/>
      <c r="N30" s="400"/>
      <c r="P30" s="401"/>
    </row>
    <row r="31" spans="1:16">
      <c r="A31" s="487">
        <v>151</v>
      </c>
      <c r="B31" s="488">
        <v>1</v>
      </c>
      <c r="C31" s="462" t="s">
        <v>173</v>
      </c>
      <c r="D31" s="490" t="s">
        <v>7</v>
      </c>
      <c r="E31" s="724">
        <f>'C.I.1.5'!F14</f>
        <v>94.5</v>
      </c>
      <c r="F31" s="461">
        <f>'C.I.1.5'!G14</f>
        <v>95</v>
      </c>
      <c r="G31" s="461">
        <f>'C.I.1.5'!H14</f>
        <v>94.5</v>
      </c>
      <c r="H31" s="461">
        <f>'C.I.1.5'!I14</f>
        <v>94.5</v>
      </c>
      <c r="I31" s="461">
        <f>'C.I.1.5'!J14</f>
        <v>95</v>
      </c>
      <c r="J31" s="491"/>
      <c r="K31" s="492"/>
      <c r="L31" s="492"/>
      <c r="M31" s="471" t="s">
        <v>743</v>
      </c>
      <c r="N31" s="400"/>
      <c r="P31" s="401"/>
    </row>
    <row r="32" spans="1:16">
      <c r="A32" s="487">
        <v>152</v>
      </c>
      <c r="B32" s="488">
        <v>2</v>
      </c>
      <c r="C32" s="462" t="s">
        <v>174</v>
      </c>
      <c r="D32" s="490" t="s">
        <v>8</v>
      </c>
      <c r="E32" s="724">
        <f>'C.I.1.6'!F14</f>
        <v>20.37</v>
      </c>
      <c r="F32" s="461">
        <f>'C.I.1.6'!G14</f>
        <v>20.37</v>
      </c>
      <c r="G32" s="461">
        <f>'C.I.1.6'!H14</f>
        <v>20.37</v>
      </c>
      <c r="H32" s="461">
        <f>'C.I.1.6'!I14</f>
        <v>20.37</v>
      </c>
      <c r="I32" s="461">
        <f>'C.I.1.6'!J14</f>
        <v>20.37</v>
      </c>
      <c r="J32" s="491"/>
      <c r="K32" s="492"/>
      <c r="L32" s="492"/>
      <c r="N32" s="400"/>
      <c r="P32" s="401"/>
    </row>
    <row r="33" spans="1:16" ht="35.25" customHeight="1">
      <c r="A33" s="487"/>
      <c r="B33" s="493" t="s">
        <v>175</v>
      </c>
      <c r="C33" s="489" t="s">
        <v>176</v>
      </c>
      <c r="D33" s="490" t="s">
        <v>153</v>
      </c>
      <c r="E33" s="461"/>
      <c r="F33" s="461"/>
      <c r="G33" s="461"/>
      <c r="H33" s="461"/>
      <c r="I33" s="461"/>
      <c r="J33" s="491"/>
      <c r="K33" s="492"/>
      <c r="L33" s="492"/>
      <c r="N33" s="400"/>
      <c r="P33" s="401"/>
    </row>
    <row r="34" spans="1:16">
      <c r="A34" s="487"/>
      <c r="B34" s="488" t="s">
        <v>153</v>
      </c>
      <c r="C34" s="489" t="s">
        <v>177</v>
      </c>
      <c r="D34" s="490" t="s">
        <v>153</v>
      </c>
      <c r="E34" s="461" t="s">
        <v>326</v>
      </c>
      <c r="F34" s="461"/>
      <c r="G34" s="461"/>
      <c r="H34" s="461"/>
      <c r="I34" s="461"/>
      <c r="J34" s="491"/>
      <c r="K34" s="492"/>
      <c r="L34" s="492"/>
      <c r="N34" s="400"/>
      <c r="P34" s="401"/>
    </row>
    <row r="35" spans="1:16">
      <c r="A35" s="487">
        <v>153</v>
      </c>
      <c r="B35" s="488">
        <v>1</v>
      </c>
      <c r="C35" s="462" t="s">
        <v>178</v>
      </c>
      <c r="D35" s="490" t="s">
        <v>0</v>
      </c>
      <c r="E35" s="725">
        <f>'C.I.2.1.1'!F17</f>
        <v>59.838000000000001</v>
      </c>
      <c r="F35" s="503">
        <f>'C.I.2.1.1'!G17</f>
        <v>59.84</v>
      </c>
      <c r="G35" s="503">
        <f>'C.I.2.1.1'!H17</f>
        <v>59.84</v>
      </c>
      <c r="H35" s="503">
        <f>'C.I.2.1.1'!I17</f>
        <v>59.84</v>
      </c>
      <c r="I35" s="503">
        <f>'C.I.2.1.1'!J17</f>
        <v>59.84</v>
      </c>
      <c r="J35" s="494" t="s">
        <v>677</v>
      </c>
      <c r="K35" s="495"/>
      <c r="L35" s="495" t="s">
        <v>814</v>
      </c>
      <c r="N35" s="400"/>
      <c r="P35" s="401"/>
    </row>
    <row r="36" spans="1:16">
      <c r="A36" s="487"/>
      <c r="B36" s="488" t="s">
        <v>153</v>
      </c>
      <c r="C36" s="489" t="s">
        <v>179</v>
      </c>
      <c r="D36" s="490" t="s">
        <v>153</v>
      </c>
      <c r="E36" s="461" t="s">
        <v>326</v>
      </c>
      <c r="F36" s="503"/>
      <c r="G36" s="503"/>
      <c r="H36" s="503"/>
      <c r="I36" s="503"/>
      <c r="J36" s="491"/>
      <c r="K36" s="492"/>
      <c r="L36" s="492"/>
      <c r="N36" s="400"/>
      <c r="P36" s="401"/>
    </row>
    <row r="37" spans="1:16">
      <c r="A37" s="487">
        <v>154</v>
      </c>
      <c r="B37" s="488">
        <v>1</v>
      </c>
      <c r="C37" s="462" t="s">
        <v>180</v>
      </c>
      <c r="D37" s="490" t="s">
        <v>0</v>
      </c>
      <c r="E37" s="725">
        <f>'C.I.2.2.1'!F18</f>
        <v>35.910000000000004</v>
      </c>
      <c r="F37" s="504">
        <f>'C.I.2.2.1'!G18</f>
        <v>36.090000000000003</v>
      </c>
      <c r="G37" s="504">
        <f>+'C.I.2.2.1'!I18</f>
        <v>35.909999999999997</v>
      </c>
      <c r="H37" s="503">
        <f>'C.I.2.2.1'!I18</f>
        <v>35.909999999999997</v>
      </c>
      <c r="I37" s="503">
        <f>'C.I.2.2.1'!J18</f>
        <v>36.090000000000003</v>
      </c>
      <c r="J37" s="494" t="s">
        <v>677</v>
      </c>
      <c r="K37" s="505"/>
      <c r="L37" s="505" t="s">
        <v>814</v>
      </c>
      <c r="N37" s="400"/>
      <c r="P37" s="401"/>
    </row>
    <row r="38" spans="1:16" ht="15" customHeight="1">
      <c r="A38" s="487">
        <v>155</v>
      </c>
      <c r="B38" s="488">
        <v>2</v>
      </c>
      <c r="C38" s="462" t="s">
        <v>181</v>
      </c>
      <c r="D38" s="490" t="s">
        <v>0</v>
      </c>
      <c r="E38" s="725">
        <f>'C.I.2.2.2'!F15</f>
        <v>22.52</v>
      </c>
      <c r="F38" s="504">
        <f>'C.I.2.2.2'!G15</f>
        <v>22.52</v>
      </c>
      <c r="G38" s="504">
        <f>'C.I.2.2.2'!H15</f>
        <v>22.52</v>
      </c>
      <c r="H38" s="504">
        <f>'C.I.2.2.2'!I15</f>
        <v>22.52</v>
      </c>
      <c r="I38" s="504">
        <f>'C.I.2.2.2'!J15</f>
        <v>22.52</v>
      </c>
      <c r="J38" s="547" t="s">
        <v>816</v>
      </c>
      <c r="K38" s="537"/>
      <c r="L38" s="537" t="s">
        <v>816</v>
      </c>
      <c r="N38" s="400"/>
      <c r="P38" s="401"/>
    </row>
    <row r="39" spans="1:16" ht="30">
      <c r="A39" s="487">
        <v>156</v>
      </c>
      <c r="B39" s="488">
        <v>3</v>
      </c>
      <c r="C39" s="462" t="s">
        <v>182</v>
      </c>
      <c r="D39" s="490" t="s">
        <v>126</v>
      </c>
      <c r="E39" s="725">
        <f>'C.I.2.2.3'!F15</f>
        <v>4</v>
      </c>
      <c r="F39" s="504">
        <f>'C.I.2.2.3'!G15</f>
        <v>4</v>
      </c>
      <c r="G39" s="504">
        <f>'C.I.2.2.3'!H15</f>
        <v>4</v>
      </c>
      <c r="H39" s="504">
        <f>'C.I.2.2.3'!I15</f>
        <v>4</v>
      </c>
      <c r="I39" s="504">
        <f>'C.I.2.2.3'!J15</f>
        <v>4</v>
      </c>
      <c r="J39" s="547"/>
      <c r="K39" s="537"/>
      <c r="L39" s="537"/>
      <c r="N39" s="400"/>
      <c r="P39" s="401"/>
    </row>
    <row r="40" spans="1:16" ht="15" customHeight="1">
      <c r="A40" s="487" t="s">
        <v>153</v>
      </c>
      <c r="B40" s="488">
        <v>4</v>
      </c>
      <c r="C40" s="462" t="s">
        <v>183</v>
      </c>
      <c r="D40" s="490" t="s">
        <v>125</v>
      </c>
      <c r="E40" s="461">
        <v>0</v>
      </c>
      <c r="F40" s="503"/>
      <c r="G40" s="503"/>
      <c r="H40" s="503"/>
      <c r="I40" s="503"/>
      <c r="J40" s="547"/>
      <c r="K40" s="537"/>
      <c r="L40" s="537"/>
      <c r="N40" s="400"/>
      <c r="P40" s="401"/>
    </row>
    <row r="41" spans="1:16" ht="15" customHeight="1">
      <c r="A41" s="487">
        <v>157</v>
      </c>
      <c r="B41" s="488">
        <v>5</v>
      </c>
      <c r="C41" s="462" t="s">
        <v>184</v>
      </c>
      <c r="D41" s="490" t="s">
        <v>8</v>
      </c>
      <c r="E41" s="724">
        <v>0.02</v>
      </c>
      <c r="F41" s="503">
        <f>'C.I.2.2.5'!G15</f>
        <v>0.02</v>
      </c>
      <c r="G41" s="503">
        <f>'C.I.2.2.5'!H15</f>
        <v>0.02</v>
      </c>
      <c r="H41" s="503">
        <f>'C.I.2.2.5'!I15</f>
        <v>0.02</v>
      </c>
      <c r="I41" s="503">
        <f>'C.I.2.2.5'!J15</f>
        <v>0.02</v>
      </c>
      <c r="J41" s="547"/>
      <c r="K41" s="537"/>
      <c r="L41" s="537"/>
      <c r="N41" s="400"/>
      <c r="P41" s="401"/>
    </row>
    <row r="42" spans="1:16" ht="15" customHeight="1">
      <c r="A42" s="487">
        <v>158</v>
      </c>
      <c r="B42" s="488">
        <v>6</v>
      </c>
      <c r="C42" s="462" t="s">
        <v>185</v>
      </c>
      <c r="D42" s="490" t="s">
        <v>186</v>
      </c>
      <c r="E42" s="724">
        <f>'C.I.2.2.6'!F15</f>
        <v>24</v>
      </c>
      <c r="F42" s="503">
        <f>'C.I.2.2.6'!G15</f>
        <v>24</v>
      </c>
      <c r="G42" s="503">
        <f>'C.I.2.2.6'!H15</f>
        <v>24</v>
      </c>
      <c r="H42" s="503">
        <f>'C.I.2.2.6'!I15</f>
        <v>24</v>
      </c>
      <c r="I42" s="503">
        <f>'C.I.2.2.6'!J15</f>
        <v>24</v>
      </c>
      <c r="J42" s="547"/>
      <c r="K42" s="537"/>
      <c r="L42" s="537"/>
      <c r="N42" s="400"/>
      <c r="P42" s="401"/>
    </row>
    <row r="43" spans="1:16" hidden="1">
      <c r="A43" s="487"/>
      <c r="B43" s="488"/>
      <c r="C43" s="462" t="s">
        <v>187</v>
      </c>
      <c r="D43" s="490" t="s">
        <v>125</v>
      </c>
      <c r="E43" s="461">
        <v>0</v>
      </c>
      <c r="F43" s="503"/>
      <c r="G43" s="503"/>
      <c r="H43" s="503"/>
      <c r="I43" s="503"/>
      <c r="J43" s="491"/>
      <c r="K43" s="492"/>
      <c r="L43" s="492"/>
      <c r="N43" s="400"/>
      <c r="P43" s="401"/>
    </row>
    <row r="44" spans="1:16" hidden="1">
      <c r="A44" s="487"/>
      <c r="B44" s="488"/>
      <c r="C44" s="462" t="s">
        <v>188</v>
      </c>
      <c r="D44" s="490" t="s">
        <v>8</v>
      </c>
      <c r="E44" s="461">
        <v>0</v>
      </c>
      <c r="F44" s="503"/>
      <c r="G44" s="503"/>
      <c r="H44" s="503"/>
      <c r="I44" s="503"/>
      <c r="J44" s="491"/>
      <c r="K44" s="492"/>
      <c r="L44" s="492"/>
      <c r="N44" s="400"/>
      <c r="P44" s="401"/>
    </row>
    <row r="45" spans="1:16" hidden="1">
      <c r="A45" s="487"/>
      <c r="B45" s="488"/>
      <c r="C45" s="462" t="s">
        <v>189</v>
      </c>
      <c r="D45" s="490" t="s">
        <v>8</v>
      </c>
      <c r="E45" s="461">
        <v>0</v>
      </c>
      <c r="F45" s="503"/>
      <c r="G45" s="503"/>
      <c r="H45" s="503"/>
      <c r="I45" s="503"/>
      <c r="J45" s="491"/>
      <c r="K45" s="492"/>
      <c r="L45" s="492"/>
      <c r="N45" s="400"/>
      <c r="P45" s="401"/>
    </row>
    <row r="46" spans="1:16" hidden="1">
      <c r="A46" s="487"/>
      <c r="B46" s="488"/>
      <c r="C46" s="462" t="s">
        <v>190</v>
      </c>
      <c r="D46" s="490" t="s">
        <v>8</v>
      </c>
      <c r="E46" s="461">
        <v>0</v>
      </c>
      <c r="F46" s="503"/>
      <c r="G46" s="503"/>
      <c r="H46" s="503"/>
      <c r="I46" s="503"/>
      <c r="J46" s="491"/>
      <c r="K46" s="492"/>
      <c r="L46" s="492"/>
      <c r="N46" s="400"/>
      <c r="P46" s="401"/>
    </row>
    <row r="47" spans="1:16" hidden="1">
      <c r="A47" s="487"/>
      <c r="B47" s="488"/>
      <c r="C47" s="462" t="s">
        <v>191</v>
      </c>
      <c r="D47" s="490" t="s">
        <v>9</v>
      </c>
      <c r="E47" s="461">
        <v>0</v>
      </c>
      <c r="F47" s="503"/>
      <c r="G47" s="503"/>
      <c r="H47" s="503"/>
      <c r="I47" s="503"/>
      <c r="J47" s="491"/>
      <c r="K47" s="492"/>
      <c r="L47" s="492"/>
      <c r="N47" s="400"/>
      <c r="P47" s="401"/>
    </row>
    <row r="48" spans="1:16">
      <c r="A48" s="487">
        <v>159</v>
      </c>
      <c r="B48" s="488">
        <v>7</v>
      </c>
      <c r="C48" s="462" t="s">
        <v>192</v>
      </c>
      <c r="D48" s="490" t="s">
        <v>7</v>
      </c>
      <c r="E48" s="725">
        <f>'C.I.2.2.7'!F17</f>
        <v>7.2849174064379998</v>
      </c>
      <c r="F48" s="503">
        <f>'C.I.2.2.7'!G17</f>
        <v>7.28</v>
      </c>
      <c r="G48" s="503">
        <f>'C.I.2.2.7'!H17</f>
        <v>7.28</v>
      </c>
      <c r="H48" s="503">
        <f>'C.I.2.2.7'!I17</f>
        <v>7.28</v>
      </c>
      <c r="I48" s="503">
        <f>'C.I.2.2.7'!J17</f>
        <v>7.28</v>
      </c>
      <c r="J48" s="494"/>
      <c r="K48" s="495"/>
      <c r="L48" s="495" t="s">
        <v>792</v>
      </c>
      <c r="N48" s="400"/>
      <c r="P48" s="401"/>
    </row>
    <row r="49" spans="1:16" ht="28.5">
      <c r="A49" s="487">
        <v>160</v>
      </c>
      <c r="B49" s="488">
        <v>8</v>
      </c>
      <c r="C49" s="462" t="s">
        <v>193</v>
      </c>
      <c r="D49" s="490" t="s">
        <v>8</v>
      </c>
      <c r="E49" s="723">
        <f>'C.I.2.2.8'!F17</f>
        <v>0.25</v>
      </c>
      <c r="F49" s="503">
        <f>'C.I.2.2.8'!G17</f>
        <v>0.25</v>
      </c>
      <c r="G49" s="503">
        <f>'C.I.2.2.8'!H17</f>
        <v>0.25</v>
      </c>
      <c r="H49" s="503">
        <f>'C.I.2.2.8'!I17</f>
        <v>0.25</v>
      </c>
      <c r="I49" s="503">
        <f>'C.I.2.2.8'!J17</f>
        <v>0.25</v>
      </c>
      <c r="J49" s="491"/>
      <c r="K49" s="506"/>
      <c r="L49" s="506" t="s">
        <v>819</v>
      </c>
      <c r="N49" s="400"/>
      <c r="P49" s="401"/>
    </row>
    <row r="50" spans="1:16" ht="28.5">
      <c r="A50" s="487">
        <v>161</v>
      </c>
      <c r="B50" s="488">
        <v>9</v>
      </c>
      <c r="C50" s="462" t="s">
        <v>820</v>
      </c>
      <c r="D50" s="490" t="s">
        <v>8</v>
      </c>
      <c r="E50" s="723">
        <f>'C.I.2.2.9'!F17</f>
        <v>1.72</v>
      </c>
      <c r="F50" s="503">
        <f>'C.I.2.2.9'!G17</f>
        <v>1.72</v>
      </c>
      <c r="G50" s="503">
        <f>'C.I.2.2.9'!H17</f>
        <v>1.72</v>
      </c>
      <c r="H50" s="503">
        <f>'C.I.2.2.9'!I17</f>
        <v>1.72</v>
      </c>
      <c r="I50" s="503">
        <f>'C.I.2.2.9'!J17</f>
        <v>1.72</v>
      </c>
      <c r="J50" s="491"/>
      <c r="K50" s="506"/>
      <c r="L50" s="506" t="s">
        <v>819</v>
      </c>
      <c r="N50" s="400"/>
      <c r="P50" s="401"/>
    </row>
    <row r="51" spans="1:16" hidden="1">
      <c r="A51" s="487"/>
      <c r="B51" s="488"/>
      <c r="C51" s="462" t="s">
        <v>195</v>
      </c>
      <c r="D51" s="490" t="s">
        <v>7</v>
      </c>
      <c r="E51" s="724">
        <v>0</v>
      </c>
      <c r="F51" s="503"/>
      <c r="G51" s="503"/>
      <c r="H51" s="503"/>
      <c r="I51" s="503"/>
      <c r="J51" s="491"/>
      <c r="K51" s="492"/>
      <c r="L51" s="492"/>
      <c r="N51" s="400"/>
      <c r="P51" s="401"/>
    </row>
    <row r="52" spans="1:16" hidden="1">
      <c r="A52" s="487"/>
      <c r="B52" s="488"/>
      <c r="C52" s="462" t="s">
        <v>196</v>
      </c>
      <c r="D52" s="490" t="s">
        <v>7</v>
      </c>
      <c r="E52" s="724">
        <v>0</v>
      </c>
      <c r="F52" s="503"/>
      <c r="G52" s="503"/>
      <c r="H52" s="503"/>
      <c r="I52" s="503"/>
      <c r="J52" s="491"/>
      <c r="K52" s="492"/>
      <c r="L52" s="492"/>
      <c r="N52" s="400"/>
      <c r="P52" s="401"/>
    </row>
    <row r="53" spans="1:16" hidden="1">
      <c r="A53" s="487"/>
      <c r="B53" s="488"/>
      <c r="C53" s="462" t="s">
        <v>197</v>
      </c>
      <c r="D53" s="490" t="s">
        <v>8</v>
      </c>
      <c r="E53" s="724">
        <v>0</v>
      </c>
      <c r="F53" s="503"/>
      <c r="G53" s="503"/>
      <c r="H53" s="503"/>
      <c r="I53" s="503"/>
      <c r="J53" s="491"/>
      <c r="K53" s="492"/>
      <c r="L53" s="492"/>
      <c r="N53" s="400"/>
      <c r="P53" s="401"/>
    </row>
    <row r="54" spans="1:16" hidden="1">
      <c r="A54" s="487"/>
      <c r="B54" s="488"/>
      <c r="C54" s="462" t="s">
        <v>198</v>
      </c>
      <c r="D54" s="490" t="s">
        <v>8</v>
      </c>
      <c r="E54" s="724">
        <v>0</v>
      </c>
      <c r="F54" s="503"/>
      <c r="G54" s="503"/>
      <c r="H54" s="503"/>
      <c r="I54" s="503"/>
      <c r="J54" s="491"/>
      <c r="K54" s="492"/>
      <c r="L54" s="492"/>
      <c r="N54" s="400"/>
      <c r="P54" s="401"/>
    </row>
    <row r="55" spans="1:16" hidden="1">
      <c r="A55" s="487"/>
      <c r="B55" s="488"/>
      <c r="C55" s="462" t="s">
        <v>199</v>
      </c>
      <c r="D55" s="490" t="s">
        <v>8</v>
      </c>
      <c r="E55" s="724">
        <v>0</v>
      </c>
      <c r="F55" s="503"/>
      <c r="G55" s="503"/>
      <c r="H55" s="503"/>
      <c r="I55" s="503"/>
      <c r="J55" s="491"/>
      <c r="K55" s="492"/>
      <c r="L55" s="492"/>
      <c r="N55" s="400"/>
      <c r="P55" s="401"/>
    </row>
    <row r="56" spans="1:16" hidden="1">
      <c r="A56" s="487"/>
      <c r="B56" s="488"/>
      <c r="C56" s="462" t="s">
        <v>200</v>
      </c>
      <c r="D56" s="490" t="s">
        <v>8</v>
      </c>
      <c r="E56" s="724">
        <v>0</v>
      </c>
      <c r="F56" s="503"/>
      <c r="G56" s="503"/>
      <c r="H56" s="503"/>
      <c r="I56" s="503"/>
      <c r="J56" s="491"/>
      <c r="K56" s="492"/>
      <c r="L56" s="492"/>
      <c r="N56" s="400"/>
      <c r="P56" s="401"/>
    </row>
    <row r="57" spans="1:16" hidden="1">
      <c r="A57" s="487"/>
      <c r="B57" s="488"/>
      <c r="C57" s="462" t="s">
        <v>201</v>
      </c>
      <c r="D57" s="490" t="s">
        <v>8</v>
      </c>
      <c r="E57" s="724">
        <v>0</v>
      </c>
      <c r="F57" s="503"/>
      <c r="G57" s="503"/>
      <c r="H57" s="503"/>
      <c r="I57" s="503"/>
      <c r="J57" s="491"/>
      <c r="K57" s="492"/>
      <c r="L57" s="492"/>
      <c r="N57" s="400"/>
      <c r="P57" s="401"/>
    </row>
    <row r="58" spans="1:16" ht="28.5">
      <c r="A58" s="487">
        <v>162</v>
      </c>
      <c r="B58" s="488">
        <v>10</v>
      </c>
      <c r="C58" s="462" t="s">
        <v>202</v>
      </c>
      <c r="D58" s="490" t="s">
        <v>125</v>
      </c>
      <c r="E58" s="724">
        <v>48</v>
      </c>
      <c r="F58" s="503">
        <f>'C.I.2.2.10'!G17</f>
        <v>48</v>
      </c>
      <c r="G58" s="503">
        <f>'C.I.2.2.10'!H17</f>
        <v>48</v>
      </c>
      <c r="H58" s="503">
        <f>'C.I.2.2.10'!I17</f>
        <v>48</v>
      </c>
      <c r="I58" s="503">
        <f>'C.I.2.2.10'!J17</f>
        <v>48</v>
      </c>
      <c r="J58" s="494" t="s">
        <v>677</v>
      </c>
      <c r="K58" s="506"/>
      <c r="L58" s="506" t="s">
        <v>819</v>
      </c>
      <c r="N58" s="400"/>
      <c r="P58" s="401"/>
    </row>
    <row r="59" spans="1:16">
      <c r="A59" s="487"/>
      <c r="B59" s="488" t="s">
        <v>153</v>
      </c>
      <c r="C59" s="489" t="s">
        <v>203</v>
      </c>
      <c r="D59" s="490" t="s">
        <v>153</v>
      </c>
      <c r="E59" s="461" t="s">
        <v>326</v>
      </c>
      <c r="F59" s="503"/>
      <c r="G59" s="503"/>
      <c r="H59" s="503"/>
      <c r="I59" s="503"/>
      <c r="J59" s="491"/>
      <c r="K59" s="492"/>
      <c r="L59" s="492"/>
      <c r="N59" s="400"/>
      <c r="P59" s="401"/>
    </row>
    <row r="60" spans="1:16" ht="28.5">
      <c r="A60" s="496">
        <v>163</v>
      </c>
      <c r="B60" s="488">
        <v>1</v>
      </c>
      <c r="C60" s="462" t="s">
        <v>204</v>
      </c>
      <c r="D60" s="490" t="s">
        <v>27</v>
      </c>
      <c r="E60" s="724">
        <f>'[8]Ban mat cau'!$G$30</f>
        <v>414</v>
      </c>
      <c r="F60" s="503">
        <f>'C.I.2.3.1'!G14</f>
        <v>414</v>
      </c>
      <c r="G60" s="503">
        <f>'C.I.2.3.1'!H14</f>
        <v>414</v>
      </c>
      <c r="H60" s="503">
        <f>'C.I.2.3.1'!I14</f>
        <v>414</v>
      </c>
      <c r="I60" s="503">
        <f>'C.I.2.3.1'!J14</f>
        <v>414</v>
      </c>
      <c r="J60" s="494" t="s">
        <v>677</v>
      </c>
      <c r="K60" s="506"/>
      <c r="L60" s="506" t="s">
        <v>819</v>
      </c>
      <c r="N60" s="400"/>
      <c r="P60" s="401"/>
    </row>
    <row r="61" spans="1:16">
      <c r="A61" s="487"/>
      <c r="B61" s="493" t="s">
        <v>205</v>
      </c>
      <c r="C61" s="489" t="s">
        <v>206</v>
      </c>
      <c r="D61" s="490" t="s">
        <v>153</v>
      </c>
      <c r="E61" s="461" t="s">
        <v>326</v>
      </c>
      <c r="F61" s="503"/>
      <c r="G61" s="503"/>
      <c r="H61" s="503"/>
      <c r="I61" s="503"/>
      <c r="J61" s="491" t="s">
        <v>701</v>
      </c>
      <c r="K61" s="491" t="s">
        <v>701</v>
      </c>
      <c r="L61" s="491" t="s">
        <v>701</v>
      </c>
      <c r="N61" s="400"/>
      <c r="P61" s="401"/>
    </row>
    <row r="62" spans="1:16">
      <c r="A62" s="487"/>
      <c r="B62" s="488" t="s">
        <v>153</v>
      </c>
      <c r="C62" s="489" t="s">
        <v>207</v>
      </c>
      <c r="D62" s="490" t="s">
        <v>153</v>
      </c>
      <c r="E62" s="461" t="s">
        <v>326</v>
      </c>
      <c r="F62" s="503"/>
      <c r="G62" s="503"/>
      <c r="H62" s="503"/>
      <c r="I62" s="503"/>
      <c r="J62" s="491"/>
      <c r="K62" s="492"/>
      <c r="L62" s="492"/>
      <c r="N62" s="400"/>
      <c r="P62" s="401"/>
    </row>
    <row r="63" spans="1:16" hidden="1">
      <c r="A63" s="487"/>
      <c r="B63" s="488"/>
      <c r="C63" s="462" t="s">
        <v>208</v>
      </c>
      <c r="D63" s="490" t="s">
        <v>209</v>
      </c>
      <c r="E63" s="461">
        <v>0</v>
      </c>
      <c r="F63" s="503"/>
      <c r="G63" s="503"/>
      <c r="H63" s="503"/>
      <c r="I63" s="503"/>
      <c r="J63" s="491"/>
      <c r="K63" s="492"/>
      <c r="L63" s="492"/>
      <c r="N63" s="400"/>
      <c r="P63" s="401"/>
    </row>
    <row r="64" spans="1:16" hidden="1">
      <c r="A64" s="487"/>
      <c r="B64" s="488"/>
      <c r="C64" s="462" t="s">
        <v>210</v>
      </c>
      <c r="D64" s="490" t="s">
        <v>209</v>
      </c>
      <c r="E64" s="461">
        <v>0</v>
      </c>
      <c r="F64" s="503"/>
      <c r="G64" s="503"/>
      <c r="H64" s="503"/>
      <c r="I64" s="503"/>
      <c r="J64" s="491"/>
      <c r="K64" s="492"/>
      <c r="L64" s="492"/>
      <c r="N64" s="400"/>
      <c r="P64" s="401"/>
    </row>
    <row r="65" spans="1:16" ht="30" hidden="1">
      <c r="A65" s="487"/>
      <c r="B65" s="488"/>
      <c r="C65" s="462" t="s">
        <v>211</v>
      </c>
      <c r="D65" s="490" t="s">
        <v>209</v>
      </c>
      <c r="E65" s="461">
        <v>0</v>
      </c>
      <c r="F65" s="503"/>
      <c r="G65" s="503"/>
      <c r="H65" s="503"/>
      <c r="I65" s="503"/>
      <c r="J65" s="491"/>
      <c r="K65" s="492"/>
      <c r="L65" s="492"/>
      <c r="N65" s="400"/>
      <c r="P65" s="401"/>
    </row>
    <row r="66" spans="1:16" hidden="1">
      <c r="A66" s="487"/>
      <c r="B66" s="488"/>
      <c r="C66" s="462" t="s">
        <v>212</v>
      </c>
      <c r="D66" s="490" t="s">
        <v>209</v>
      </c>
      <c r="E66" s="461">
        <v>0</v>
      </c>
      <c r="F66" s="503"/>
      <c r="G66" s="503"/>
      <c r="H66" s="503"/>
      <c r="I66" s="503"/>
      <c r="J66" s="491"/>
      <c r="K66" s="492"/>
      <c r="L66" s="492"/>
      <c r="N66" s="400"/>
      <c r="P66" s="401"/>
    </row>
    <row r="67" spans="1:16">
      <c r="A67" s="496">
        <v>164</v>
      </c>
      <c r="B67" s="488">
        <v>1</v>
      </c>
      <c r="C67" s="462" t="s">
        <v>213</v>
      </c>
      <c r="D67" s="490" t="s">
        <v>214</v>
      </c>
      <c r="E67" s="461">
        <v>1</v>
      </c>
      <c r="F67" s="503">
        <f>'C.I.3.1'!G14</f>
        <v>1</v>
      </c>
      <c r="G67" s="503">
        <f>'C.I.3.1'!H14</f>
        <v>1</v>
      </c>
      <c r="H67" s="503">
        <f>'C.I.3.1'!I14</f>
        <v>1</v>
      </c>
      <c r="I67" s="503">
        <f>'C.I.3.1'!J14</f>
        <v>1</v>
      </c>
      <c r="J67" s="507" t="s">
        <v>815</v>
      </c>
      <c r="K67" s="492"/>
      <c r="L67" s="492"/>
      <c r="N67" s="400"/>
      <c r="P67" s="401"/>
    </row>
    <row r="68" spans="1:16" hidden="1">
      <c r="A68" s="496"/>
      <c r="B68" s="488"/>
      <c r="C68" s="462" t="s">
        <v>215</v>
      </c>
      <c r="D68" s="490" t="s">
        <v>7</v>
      </c>
      <c r="E68" s="461">
        <v>0</v>
      </c>
      <c r="F68" s="503"/>
      <c r="G68" s="503"/>
      <c r="H68" s="503"/>
      <c r="I68" s="503"/>
      <c r="J68" s="508"/>
      <c r="K68" s="492"/>
      <c r="L68" s="492"/>
      <c r="N68" s="400"/>
      <c r="P68" s="401"/>
    </row>
    <row r="69" spans="1:16" hidden="1">
      <c r="A69" s="487"/>
      <c r="B69" s="488"/>
      <c r="C69" s="462" t="s">
        <v>216</v>
      </c>
      <c r="D69" s="490" t="s">
        <v>7</v>
      </c>
      <c r="E69" s="461">
        <v>0</v>
      </c>
      <c r="F69" s="503"/>
      <c r="G69" s="503"/>
      <c r="H69" s="503"/>
      <c r="I69" s="503"/>
      <c r="J69" s="508"/>
      <c r="K69" s="492"/>
      <c r="L69" s="492"/>
      <c r="N69" s="400"/>
      <c r="P69" s="401"/>
    </row>
    <row r="70" spans="1:16" hidden="1">
      <c r="A70" s="487"/>
      <c r="B70" s="488"/>
      <c r="C70" s="462" t="s">
        <v>217</v>
      </c>
      <c r="D70" s="490" t="s">
        <v>9</v>
      </c>
      <c r="E70" s="461">
        <v>0</v>
      </c>
      <c r="F70" s="503"/>
      <c r="G70" s="503"/>
      <c r="H70" s="503"/>
      <c r="I70" s="503"/>
      <c r="J70" s="508"/>
      <c r="K70" s="492"/>
      <c r="L70" s="492"/>
      <c r="N70" s="400"/>
      <c r="P70" s="401"/>
    </row>
    <row r="71" spans="1:16" hidden="1">
      <c r="A71" s="487"/>
      <c r="B71" s="488"/>
      <c r="C71" s="462" t="s">
        <v>218</v>
      </c>
      <c r="D71" s="490" t="s">
        <v>27</v>
      </c>
      <c r="E71" s="461">
        <v>0</v>
      </c>
      <c r="F71" s="503"/>
      <c r="G71" s="503"/>
      <c r="H71" s="503"/>
      <c r="I71" s="503"/>
      <c r="J71" s="508"/>
      <c r="K71" s="492"/>
      <c r="L71" s="492"/>
      <c r="N71" s="400"/>
      <c r="P71" s="401"/>
    </row>
    <row r="72" spans="1:16" hidden="1">
      <c r="A72" s="487"/>
      <c r="B72" s="488"/>
      <c r="C72" s="462" t="s">
        <v>219</v>
      </c>
      <c r="D72" s="490" t="s">
        <v>7</v>
      </c>
      <c r="E72" s="461">
        <v>0</v>
      </c>
      <c r="F72" s="503"/>
      <c r="G72" s="503"/>
      <c r="H72" s="503"/>
      <c r="I72" s="503"/>
      <c r="J72" s="508"/>
      <c r="K72" s="492"/>
      <c r="L72" s="492"/>
      <c r="N72" s="400"/>
      <c r="P72" s="401"/>
    </row>
    <row r="73" spans="1:16" hidden="1">
      <c r="A73" s="487"/>
      <c r="B73" s="488"/>
      <c r="C73" s="462" t="s">
        <v>220</v>
      </c>
      <c r="D73" s="490" t="s">
        <v>7</v>
      </c>
      <c r="E73" s="461">
        <v>0</v>
      </c>
      <c r="F73" s="503"/>
      <c r="G73" s="503"/>
      <c r="H73" s="503"/>
      <c r="I73" s="503"/>
      <c r="J73" s="508"/>
      <c r="K73" s="492"/>
      <c r="L73" s="492"/>
      <c r="N73" s="400"/>
      <c r="P73" s="401"/>
    </row>
    <row r="74" spans="1:16" hidden="1">
      <c r="A74" s="487"/>
      <c r="B74" s="488"/>
      <c r="C74" s="462" t="s">
        <v>221</v>
      </c>
      <c r="D74" s="490" t="s">
        <v>7</v>
      </c>
      <c r="E74" s="461">
        <v>0</v>
      </c>
      <c r="F74" s="503"/>
      <c r="G74" s="503"/>
      <c r="H74" s="503"/>
      <c r="I74" s="503"/>
      <c r="J74" s="508"/>
      <c r="K74" s="492"/>
      <c r="L74" s="492"/>
      <c r="N74" s="400"/>
      <c r="P74" s="401"/>
    </row>
    <row r="75" spans="1:16" hidden="1">
      <c r="A75" s="487"/>
      <c r="B75" s="488"/>
      <c r="C75" s="462" t="s">
        <v>124</v>
      </c>
      <c r="D75" s="490" t="s">
        <v>7</v>
      </c>
      <c r="E75" s="461">
        <v>0</v>
      </c>
      <c r="F75" s="503"/>
      <c r="G75" s="503"/>
      <c r="H75" s="503"/>
      <c r="I75" s="503"/>
      <c r="J75" s="508"/>
      <c r="K75" s="492"/>
      <c r="L75" s="492"/>
      <c r="N75" s="400"/>
      <c r="P75" s="401"/>
    </row>
    <row r="76" spans="1:16" hidden="1">
      <c r="A76" s="487"/>
      <c r="B76" s="488"/>
      <c r="C76" s="462" t="s">
        <v>222</v>
      </c>
      <c r="D76" s="490" t="s">
        <v>8</v>
      </c>
      <c r="E76" s="461">
        <v>0</v>
      </c>
      <c r="F76" s="503"/>
      <c r="G76" s="503"/>
      <c r="H76" s="503"/>
      <c r="I76" s="503"/>
      <c r="J76" s="508"/>
      <c r="K76" s="492"/>
      <c r="L76" s="492"/>
      <c r="N76" s="400"/>
      <c r="P76" s="401"/>
    </row>
    <row r="77" spans="1:16" hidden="1">
      <c r="A77" s="487"/>
      <c r="B77" s="488"/>
      <c r="C77" s="462" t="s">
        <v>223</v>
      </c>
      <c r="D77" s="490" t="s">
        <v>8</v>
      </c>
      <c r="E77" s="461">
        <v>0</v>
      </c>
      <c r="F77" s="503"/>
      <c r="G77" s="503"/>
      <c r="H77" s="503"/>
      <c r="I77" s="503"/>
      <c r="J77" s="508"/>
      <c r="K77" s="492"/>
      <c r="L77" s="492"/>
      <c r="N77" s="400"/>
      <c r="P77" s="401"/>
    </row>
    <row r="78" spans="1:16" hidden="1">
      <c r="A78" s="487"/>
      <c r="B78" s="488"/>
      <c r="C78" s="462" t="s">
        <v>224</v>
      </c>
      <c r="D78" s="490" t="s">
        <v>8</v>
      </c>
      <c r="E78" s="461">
        <v>0</v>
      </c>
      <c r="F78" s="503"/>
      <c r="G78" s="503"/>
      <c r="H78" s="503"/>
      <c r="I78" s="503"/>
      <c r="J78" s="508"/>
      <c r="K78" s="492"/>
      <c r="L78" s="492"/>
      <c r="N78" s="400"/>
      <c r="P78" s="401"/>
    </row>
    <row r="79" spans="1:16" hidden="1">
      <c r="A79" s="487"/>
      <c r="B79" s="488"/>
      <c r="C79" s="462" t="s">
        <v>225</v>
      </c>
      <c r="D79" s="490" t="s">
        <v>7</v>
      </c>
      <c r="E79" s="461">
        <v>0</v>
      </c>
      <c r="F79" s="503"/>
      <c r="G79" s="503"/>
      <c r="H79" s="503"/>
      <c r="I79" s="503"/>
      <c r="J79" s="508"/>
      <c r="K79" s="492"/>
      <c r="L79" s="492"/>
      <c r="N79" s="400"/>
      <c r="P79" s="401"/>
    </row>
    <row r="80" spans="1:16" hidden="1">
      <c r="A80" s="487"/>
      <c r="B80" s="488"/>
      <c r="C80" s="462" t="s">
        <v>226</v>
      </c>
      <c r="D80" s="490" t="s">
        <v>7</v>
      </c>
      <c r="E80" s="461">
        <v>0</v>
      </c>
      <c r="F80" s="503"/>
      <c r="G80" s="503"/>
      <c r="H80" s="503"/>
      <c r="I80" s="503"/>
      <c r="J80" s="508"/>
      <c r="K80" s="492"/>
      <c r="L80" s="492"/>
      <c r="N80" s="400"/>
      <c r="P80" s="401"/>
    </row>
    <row r="81" spans="1:16">
      <c r="A81" s="496">
        <v>165</v>
      </c>
      <c r="B81" s="488">
        <v>2</v>
      </c>
      <c r="C81" s="462" t="s">
        <v>227</v>
      </c>
      <c r="D81" s="490" t="s">
        <v>214</v>
      </c>
      <c r="E81" s="461">
        <v>1</v>
      </c>
      <c r="F81" s="503">
        <f>'C.I.3.2'!G14</f>
        <v>1</v>
      </c>
      <c r="G81" s="503">
        <f>'C.I.3.2'!H14</f>
        <v>1</v>
      </c>
      <c r="H81" s="503">
        <f>'C.I.3.2'!I14</f>
        <v>1</v>
      </c>
      <c r="I81" s="503">
        <f>'C.I.3.2'!J14</f>
        <v>1</v>
      </c>
      <c r="J81" s="507" t="s">
        <v>815</v>
      </c>
      <c r="K81" s="495"/>
      <c r="L81" s="495"/>
      <c r="N81" s="400"/>
      <c r="P81" s="401"/>
    </row>
    <row r="82" spans="1:16" hidden="1">
      <c r="A82" s="487"/>
      <c r="B82" s="488"/>
      <c r="C82" s="462" t="s">
        <v>215</v>
      </c>
      <c r="D82" s="490" t="s">
        <v>7</v>
      </c>
      <c r="E82" s="461">
        <v>0</v>
      </c>
      <c r="F82" s="503"/>
      <c r="G82" s="503"/>
      <c r="H82" s="503"/>
      <c r="I82" s="503"/>
      <c r="J82" s="491"/>
      <c r="K82" s="492"/>
      <c r="L82" s="492"/>
      <c r="N82" s="400"/>
      <c r="P82" s="401"/>
    </row>
    <row r="83" spans="1:16" hidden="1">
      <c r="A83" s="487"/>
      <c r="B83" s="488"/>
      <c r="C83" s="462" t="s">
        <v>228</v>
      </c>
      <c r="D83" s="490" t="s">
        <v>7</v>
      </c>
      <c r="E83" s="461">
        <v>0</v>
      </c>
      <c r="F83" s="503"/>
      <c r="G83" s="503"/>
      <c r="H83" s="503"/>
      <c r="I83" s="503"/>
      <c r="J83" s="491"/>
      <c r="K83" s="492"/>
      <c r="L83" s="492"/>
      <c r="N83" s="400"/>
      <c r="P83" s="401"/>
    </row>
    <row r="84" spans="1:16" hidden="1">
      <c r="A84" s="487"/>
      <c r="B84" s="488"/>
      <c r="C84" s="462" t="s">
        <v>229</v>
      </c>
      <c r="D84" s="490" t="s">
        <v>0</v>
      </c>
      <c r="E84" s="461">
        <v>0</v>
      </c>
      <c r="F84" s="503"/>
      <c r="G84" s="503"/>
      <c r="H84" s="503"/>
      <c r="I84" s="503"/>
      <c r="J84" s="491"/>
      <c r="K84" s="492"/>
      <c r="L84" s="492"/>
      <c r="N84" s="400"/>
      <c r="P84" s="401"/>
    </row>
    <row r="85" spans="1:16" hidden="1">
      <c r="A85" s="487"/>
      <c r="B85" s="488"/>
      <c r="C85" s="462" t="s">
        <v>124</v>
      </c>
      <c r="D85" s="490" t="s">
        <v>7</v>
      </c>
      <c r="E85" s="461">
        <v>0</v>
      </c>
      <c r="F85" s="503"/>
      <c r="G85" s="503"/>
      <c r="H85" s="503"/>
      <c r="I85" s="503"/>
      <c r="J85" s="491"/>
      <c r="K85" s="492"/>
      <c r="L85" s="492"/>
      <c r="N85" s="400"/>
      <c r="P85" s="401"/>
    </row>
    <row r="86" spans="1:16" hidden="1">
      <c r="A86" s="487"/>
      <c r="B86" s="488"/>
      <c r="C86" s="462" t="s">
        <v>230</v>
      </c>
      <c r="D86" s="490" t="s">
        <v>7</v>
      </c>
      <c r="E86" s="461">
        <v>0</v>
      </c>
      <c r="F86" s="503"/>
      <c r="G86" s="503"/>
      <c r="H86" s="503"/>
      <c r="I86" s="503"/>
      <c r="J86" s="491"/>
      <c r="K86" s="492"/>
      <c r="L86" s="492"/>
      <c r="N86" s="400"/>
      <c r="P86" s="401"/>
    </row>
    <row r="87" spans="1:16" hidden="1">
      <c r="A87" s="487"/>
      <c r="B87" s="488"/>
      <c r="C87" s="462" t="s">
        <v>231</v>
      </c>
      <c r="D87" s="490" t="s">
        <v>232</v>
      </c>
      <c r="E87" s="461">
        <v>0</v>
      </c>
      <c r="F87" s="503"/>
      <c r="G87" s="503"/>
      <c r="H87" s="503"/>
      <c r="I87" s="503"/>
      <c r="J87" s="491"/>
      <c r="K87" s="492"/>
      <c r="L87" s="492"/>
      <c r="N87" s="400"/>
      <c r="P87" s="401"/>
    </row>
    <row r="88" spans="1:16" hidden="1">
      <c r="A88" s="487"/>
      <c r="B88" s="488"/>
      <c r="C88" s="462" t="s">
        <v>233</v>
      </c>
      <c r="D88" s="490" t="s">
        <v>234</v>
      </c>
      <c r="E88" s="461">
        <v>0</v>
      </c>
      <c r="F88" s="503"/>
      <c r="G88" s="503"/>
      <c r="H88" s="503"/>
      <c r="I88" s="503"/>
      <c r="J88" s="491"/>
      <c r="K88" s="492"/>
      <c r="L88" s="492"/>
      <c r="N88" s="400"/>
      <c r="P88" s="401"/>
    </row>
    <row r="89" spans="1:16" hidden="1">
      <c r="A89" s="487"/>
      <c r="B89" s="488"/>
      <c r="C89" s="462" t="s">
        <v>235</v>
      </c>
      <c r="D89" s="490" t="s">
        <v>234</v>
      </c>
      <c r="E89" s="461">
        <v>0</v>
      </c>
      <c r="F89" s="503"/>
      <c r="G89" s="503"/>
      <c r="H89" s="503"/>
      <c r="I89" s="503"/>
      <c r="J89" s="491"/>
      <c r="K89" s="492"/>
      <c r="L89" s="492"/>
      <c r="N89" s="400"/>
      <c r="P89" s="401"/>
    </row>
    <row r="90" spans="1:16" hidden="1">
      <c r="A90" s="487"/>
      <c r="B90" s="488"/>
      <c r="C90" s="462" t="s">
        <v>236</v>
      </c>
      <c r="D90" s="490" t="s">
        <v>234</v>
      </c>
      <c r="E90" s="461">
        <v>0</v>
      </c>
      <c r="F90" s="503"/>
      <c r="G90" s="503"/>
      <c r="H90" s="503"/>
      <c r="I90" s="503"/>
      <c r="J90" s="491"/>
      <c r="K90" s="492"/>
      <c r="L90" s="492"/>
      <c r="N90" s="400"/>
      <c r="P90" s="401"/>
    </row>
    <row r="91" spans="1:16" hidden="1">
      <c r="A91" s="487"/>
      <c r="B91" s="488"/>
      <c r="C91" s="462" t="s">
        <v>237</v>
      </c>
      <c r="D91" s="490" t="s">
        <v>7</v>
      </c>
      <c r="E91" s="461">
        <v>0</v>
      </c>
      <c r="F91" s="503"/>
      <c r="G91" s="503"/>
      <c r="H91" s="503"/>
      <c r="I91" s="503"/>
      <c r="J91" s="491"/>
      <c r="K91" s="492"/>
      <c r="L91" s="492"/>
      <c r="N91" s="400"/>
      <c r="P91" s="401"/>
    </row>
    <row r="92" spans="1:16">
      <c r="A92" s="487"/>
      <c r="B92" s="488" t="s">
        <v>153</v>
      </c>
      <c r="C92" s="489" t="s">
        <v>172</v>
      </c>
      <c r="D92" s="490" t="s">
        <v>153</v>
      </c>
      <c r="E92" s="461">
        <v>0</v>
      </c>
      <c r="F92" s="503"/>
      <c r="G92" s="503"/>
      <c r="H92" s="503"/>
      <c r="I92" s="503"/>
      <c r="J92" s="491"/>
      <c r="K92" s="492"/>
      <c r="L92" s="492"/>
      <c r="N92" s="400"/>
      <c r="P92" s="401"/>
    </row>
    <row r="93" spans="1:16">
      <c r="A93" s="487">
        <v>166</v>
      </c>
      <c r="B93" s="488">
        <v>1</v>
      </c>
      <c r="C93" s="462" t="s">
        <v>238</v>
      </c>
      <c r="D93" s="490" t="s">
        <v>234</v>
      </c>
      <c r="E93" s="461">
        <v>0.26</v>
      </c>
      <c r="F93" s="503">
        <f>'C.I.3.3'!G14</f>
        <v>0.26</v>
      </c>
      <c r="G93" s="503">
        <f>'C.I.3.3'!H14</f>
        <v>0.26</v>
      </c>
      <c r="H93" s="503">
        <f>'C.I.3.3'!I14</f>
        <v>0.26</v>
      </c>
      <c r="I93" s="503">
        <f>'C.I.3.3'!J14</f>
        <v>0.26</v>
      </c>
      <c r="J93" s="491"/>
      <c r="K93" s="538"/>
      <c r="L93" s="538" t="s">
        <v>821</v>
      </c>
      <c r="N93" s="400"/>
      <c r="P93" s="401"/>
    </row>
    <row r="94" spans="1:16" ht="15.75" hidden="1" customHeight="1">
      <c r="A94" s="487"/>
      <c r="B94" s="488"/>
      <c r="C94" s="498" t="s">
        <v>239</v>
      </c>
      <c r="D94" s="490" t="s">
        <v>234</v>
      </c>
      <c r="E94" s="461">
        <v>0</v>
      </c>
      <c r="F94" s="503"/>
      <c r="G94" s="503"/>
      <c r="H94" s="503"/>
      <c r="I94" s="503"/>
      <c r="J94" s="491"/>
      <c r="K94" s="538"/>
      <c r="L94" s="538"/>
      <c r="N94" s="400"/>
      <c r="P94" s="401"/>
    </row>
    <row r="95" spans="1:16">
      <c r="A95" s="487">
        <v>167</v>
      </c>
      <c r="B95" s="488">
        <v>2</v>
      </c>
      <c r="C95" s="462" t="s">
        <v>240</v>
      </c>
      <c r="D95" s="490" t="s">
        <v>241</v>
      </c>
      <c r="E95" s="461">
        <v>0.43</v>
      </c>
      <c r="F95" s="503">
        <f>'C.I.3.4'!G14</f>
        <v>0.43</v>
      </c>
      <c r="G95" s="503">
        <f>'C.I.3.4'!H14</f>
        <v>0.43</v>
      </c>
      <c r="H95" s="503">
        <f>'C.I.3.4'!I14</f>
        <v>0.43</v>
      </c>
      <c r="I95" s="503">
        <f>'C.I.3.4'!J14</f>
        <v>0.43</v>
      </c>
      <c r="J95" s="491"/>
      <c r="K95" s="538"/>
      <c r="L95" s="538"/>
      <c r="N95" s="400"/>
      <c r="P95" s="401"/>
    </row>
    <row r="96" spans="1:16">
      <c r="A96" s="487"/>
      <c r="B96" s="493" t="s">
        <v>117</v>
      </c>
      <c r="C96" s="489" t="s">
        <v>242</v>
      </c>
      <c r="D96" s="490" t="s">
        <v>153</v>
      </c>
      <c r="E96" s="461"/>
      <c r="F96" s="503"/>
      <c r="G96" s="503"/>
      <c r="H96" s="503"/>
      <c r="I96" s="503"/>
      <c r="J96" s="491"/>
      <c r="K96" s="492"/>
      <c r="L96" s="492"/>
      <c r="N96" s="400"/>
      <c r="P96" s="401"/>
    </row>
    <row r="97" spans="1:16">
      <c r="A97" s="487"/>
      <c r="B97" s="493" t="s">
        <v>118</v>
      </c>
      <c r="C97" s="489" t="s">
        <v>155</v>
      </c>
      <c r="D97" s="490" t="s">
        <v>153</v>
      </c>
      <c r="E97" s="461"/>
      <c r="F97" s="503"/>
      <c r="G97" s="503"/>
      <c r="H97" s="503"/>
      <c r="I97" s="503"/>
      <c r="J97" s="491" t="s">
        <v>701</v>
      </c>
      <c r="K97" s="491" t="s">
        <v>701</v>
      </c>
      <c r="L97" s="491" t="s">
        <v>701</v>
      </c>
      <c r="N97" s="400"/>
      <c r="P97" s="401"/>
    </row>
    <row r="98" spans="1:16">
      <c r="A98" s="487"/>
      <c r="B98" s="493" t="s">
        <v>243</v>
      </c>
      <c r="C98" s="489" t="s">
        <v>244</v>
      </c>
      <c r="D98" s="490"/>
      <c r="E98" s="461"/>
      <c r="F98" s="503"/>
      <c r="G98" s="503"/>
      <c r="H98" s="503"/>
      <c r="I98" s="503"/>
      <c r="J98" s="491"/>
      <c r="K98" s="492"/>
      <c r="L98" s="492"/>
      <c r="N98" s="400"/>
      <c r="P98" s="401"/>
    </row>
    <row r="99" spans="1:16">
      <c r="A99" s="496">
        <v>168</v>
      </c>
      <c r="B99" s="488">
        <v>1</v>
      </c>
      <c r="C99" s="465" t="s">
        <v>245</v>
      </c>
      <c r="D99" s="490" t="s">
        <v>7</v>
      </c>
      <c r="E99" s="504">
        <f>'C.II.1.1.1'!F21</f>
        <v>1313.0055900000002</v>
      </c>
      <c r="F99" s="504">
        <f>'C.II.1.1.1'!G21</f>
        <v>1312.04</v>
      </c>
      <c r="G99" s="504">
        <f>'C.II.1.1.1'!H21</f>
        <v>1320.36</v>
      </c>
      <c r="H99" s="504">
        <f>'C.II.1.1.1'!I21</f>
        <v>1312.04</v>
      </c>
      <c r="I99" s="504">
        <f>'C.II.1.1.1'!J21</f>
        <v>1312.04</v>
      </c>
      <c r="J99" s="491"/>
      <c r="K99" s="492"/>
      <c r="L99" s="492" t="s">
        <v>792</v>
      </c>
      <c r="N99" s="400"/>
      <c r="P99" s="401"/>
    </row>
    <row r="100" spans="1:16" hidden="1">
      <c r="A100" s="496"/>
      <c r="B100" s="488"/>
      <c r="C100" s="462" t="s">
        <v>246</v>
      </c>
      <c r="D100" s="490" t="s">
        <v>153</v>
      </c>
      <c r="E100" s="504"/>
      <c r="F100" s="503"/>
      <c r="G100" s="503"/>
      <c r="H100" s="503"/>
      <c r="I100" s="503"/>
      <c r="J100" s="491"/>
      <c r="K100" s="492"/>
      <c r="L100" s="492"/>
      <c r="N100" s="400"/>
      <c r="P100" s="401"/>
    </row>
    <row r="101" spans="1:16">
      <c r="A101" s="496">
        <v>169</v>
      </c>
      <c r="B101" s="488">
        <v>2</v>
      </c>
      <c r="C101" s="462" t="s">
        <v>247</v>
      </c>
      <c r="D101" s="490" t="s">
        <v>7</v>
      </c>
      <c r="E101" s="725">
        <f>'C.II.1.1.2'!F17</f>
        <v>114.92176111116</v>
      </c>
      <c r="F101" s="503">
        <f>'C.II.1.1.2'!G17</f>
        <v>114.92</v>
      </c>
      <c r="G101" s="503">
        <f>'C.II.1.1.2'!H17</f>
        <v>114.92</v>
      </c>
      <c r="H101" s="503">
        <f>'C.II.1.1.2'!I17</f>
        <v>114.92</v>
      </c>
      <c r="I101" s="503">
        <f>'C.II.1.1.2'!J17</f>
        <v>114.92</v>
      </c>
      <c r="J101" s="491"/>
      <c r="K101" s="492"/>
      <c r="L101" s="492"/>
      <c r="M101" s="471" t="s">
        <v>709</v>
      </c>
      <c r="N101" s="400"/>
      <c r="P101" s="401"/>
    </row>
    <row r="102" spans="1:16" ht="30">
      <c r="A102" s="496">
        <v>170</v>
      </c>
      <c r="B102" s="488">
        <v>3</v>
      </c>
      <c r="C102" s="465" t="s">
        <v>248</v>
      </c>
      <c r="D102" s="490" t="s">
        <v>7</v>
      </c>
      <c r="E102" s="725">
        <f>'C.II.1.1.3'!F19</f>
        <v>57.01</v>
      </c>
      <c r="F102" s="503">
        <f>'C.II.1.1.3'!G19</f>
        <v>62.99</v>
      </c>
      <c r="G102" s="503">
        <f>'C.II.1.1.3'!H19</f>
        <v>57.01</v>
      </c>
      <c r="H102" s="503">
        <f>'C.II.1.1.3'!I19</f>
        <v>57.01</v>
      </c>
      <c r="I102" s="503">
        <f>'C.II.1.1.3'!J19</f>
        <v>61.74</v>
      </c>
      <c r="J102" s="491"/>
      <c r="K102" s="492"/>
      <c r="L102" s="492" t="s">
        <v>822</v>
      </c>
      <c r="N102" s="400"/>
      <c r="P102" s="401"/>
    </row>
    <row r="103" spans="1:16">
      <c r="A103" s="496">
        <v>171</v>
      </c>
      <c r="B103" s="488">
        <f>B102+1</f>
        <v>4</v>
      </c>
      <c r="C103" s="462" t="s">
        <v>249</v>
      </c>
      <c r="D103" s="490" t="s">
        <v>7</v>
      </c>
      <c r="E103" s="724">
        <v>0</v>
      </c>
      <c r="F103" s="514">
        <f>E103</f>
        <v>0</v>
      </c>
      <c r="G103" s="514">
        <f>F103</f>
        <v>0</v>
      </c>
      <c r="H103" s="514">
        <f>G103*0</f>
        <v>0</v>
      </c>
      <c r="I103" s="503"/>
      <c r="J103" s="491"/>
      <c r="K103" s="492"/>
      <c r="L103" s="492"/>
      <c r="N103" s="400"/>
      <c r="P103" s="401"/>
    </row>
    <row r="104" spans="1:16">
      <c r="A104" s="487"/>
      <c r="B104" s="488">
        <f t="shared" ref="B104:B126" si="1">B103+1</f>
        <v>5</v>
      </c>
      <c r="C104" s="462" t="s">
        <v>250</v>
      </c>
      <c r="D104" s="490" t="s">
        <v>7</v>
      </c>
      <c r="E104" s="724">
        <v>0</v>
      </c>
      <c r="F104" s="503"/>
      <c r="G104" s="503"/>
      <c r="H104" s="503"/>
      <c r="I104" s="503"/>
      <c r="J104" s="491"/>
      <c r="K104" s="492"/>
      <c r="L104" s="492"/>
      <c r="N104" s="400"/>
      <c r="P104" s="401"/>
    </row>
    <row r="105" spans="1:16" ht="15" customHeight="1">
      <c r="A105" s="496">
        <v>172</v>
      </c>
      <c r="B105" s="488">
        <f>B103+1</f>
        <v>5</v>
      </c>
      <c r="C105" s="462" t="s">
        <v>251</v>
      </c>
      <c r="D105" s="490" t="s">
        <v>234</v>
      </c>
      <c r="E105" s="723">
        <f>'C.II.1.1.5'!F41</f>
        <v>2.08</v>
      </c>
      <c r="F105" s="503">
        <f>'C.II.1.1.5'!G41</f>
        <v>2.08</v>
      </c>
      <c r="G105" s="503">
        <f>'C.II.1.1.5'!H41</f>
        <v>2.08</v>
      </c>
      <c r="H105" s="503">
        <f>'C.II.1.1.5'!I41</f>
        <v>2.08</v>
      </c>
      <c r="I105" s="503">
        <f>'C.II.1.1.5'!J41</f>
        <v>5.3</v>
      </c>
      <c r="J105" s="463"/>
      <c r="K105" s="534"/>
      <c r="L105" s="534" t="s">
        <v>792</v>
      </c>
      <c r="M105" s="471" t="s">
        <v>741</v>
      </c>
      <c r="N105" s="400"/>
      <c r="P105" s="401"/>
    </row>
    <row r="106" spans="1:16" ht="15" customHeight="1">
      <c r="A106" s="496">
        <v>173</v>
      </c>
      <c r="B106" s="488">
        <f t="shared" si="1"/>
        <v>6</v>
      </c>
      <c r="C106" s="462" t="s">
        <v>252</v>
      </c>
      <c r="D106" s="490" t="s">
        <v>234</v>
      </c>
      <c r="E106" s="724">
        <f>'C.II.1.1.6'!F43</f>
        <v>53.91</v>
      </c>
      <c r="F106" s="461">
        <f>'C.II.1.1.6'!G43</f>
        <v>53.91</v>
      </c>
      <c r="G106" s="461">
        <f>'C.II.1.1.6'!H43</f>
        <v>53.91</v>
      </c>
      <c r="H106" s="461">
        <f>'C.II.1.1.6'!I43</f>
        <v>53.91</v>
      </c>
      <c r="I106" s="461">
        <f>'C.II.1.1.6'!J43</f>
        <v>27.85</v>
      </c>
      <c r="J106" s="463"/>
      <c r="K106" s="534"/>
      <c r="L106" s="534"/>
      <c r="M106" s="471" t="s">
        <v>742</v>
      </c>
      <c r="N106" s="400"/>
      <c r="P106" s="401"/>
    </row>
    <row r="107" spans="1:16" ht="15" customHeight="1">
      <c r="A107" s="496">
        <v>174</v>
      </c>
      <c r="B107" s="488">
        <f t="shared" si="1"/>
        <v>7</v>
      </c>
      <c r="C107" s="462" t="s">
        <v>253</v>
      </c>
      <c r="D107" s="490" t="s">
        <v>234</v>
      </c>
      <c r="E107" s="724">
        <f>'C.II.1.1.7'!F43</f>
        <v>63.45</v>
      </c>
      <c r="F107" s="461">
        <f>'C.II.1.1.7'!G43</f>
        <v>63.45</v>
      </c>
      <c r="G107" s="461">
        <f>'C.II.1.1.7'!H43</f>
        <v>63.45</v>
      </c>
      <c r="H107" s="461">
        <f>'C.II.1.1.7'!I43</f>
        <v>63.45</v>
      </c>
      <c r="I107" s="461">
        <f>'C.II.1.1.7'!J43</f>
        <v>44.67</v>
      </c>
      <c r="J107" s="463"/>
      <c r="K107" s="534"/>
      <c r="L107" s="534"/>
      <c r="M107" s="471" t="s">
        <v>747</v>
      </c>
      <c r="N107" s="400"/>
      <c r="P107" s="401"/>
    </row>
    <row r="108" spans="1:16" ht="15" customHeight="1">
      <c r="A108" s="496">
        <v>175</v>
      </c>
      <c r="B108" s="488">
        <f t="shared" si="1"/>
        <v>8</v>
      </c>
      <c r="C108" s="462" t="s">
        <v>254</v>
      </c>
      <c r="D108" s="490" t="s">
        <v>234</v>
      </c>
      <c r="E108" s="724">
        <f>'C.II.1.1.8'!F17</f>
        <v>4.5504000000000003E-2</v>
      </c>
      <c r="F108" s="461">
        <f>'C.II.1.1.8'!G17</f>
        <v>0.05</v>
      </c>
      <c r="G108" s="461">
        <f>'C.II.1.1.8'!H17</f>
        <v>0.05</v>
      </c>
      <c r="H108" s="461">
        <f>'C.II.1.1.8'!I17</f>
        <v>0.05</v>
      </c>
      <c r="I108" s="461">
        <f>'C.II.1.1.8'!J17</f>
        <v>0.05</v>
      </c>
      <c r="J108" s="463"/>
      <c r="K108" s="534"/>
      <c r="L108" s="534" t="s">
        <v>792</v>
      </c>
      <c r="N108" s="400"/>
      <c r="P108" s="401"/>
    </row>
    <row r="109" spans="1:16" ht="15" customHeight="1">
      <c r="A109" s="496">
        <v>176</v>
      </c>
      <c r="B109" s="488">
        <f t="shared" si="1"/>
        <v>9</v>
      </c>
      <c r="C109" s="462" t="s">
        <v>255</v>
      </c>
      <c r="D109" s="490" t="s">
        <v>234</v>
      </c>
      <c r="E109" s="724">
        <f>'C.II.1.1.9'!F17</f>
        <v>8.3145843120000009</v>
      </c>
      <c r="F109" s="461">
        <f>'C.II.1.1.9'!G17</f>
        <v>8.31</v>
      </c>
      <c r="G109" s="461">
        <f>'C.II.1.1.9'!H17</f>
        <v>8.31</v>
      </c>
      <c r="H109" s="461">
        <f>'C.II.1.1.9'!I17</f>
        <v>8.31</v>
      </c>
      <c r="I109" s="461">
        <f>'C.II.1.1.9'!J17</f>
        <v>8.32</v>
      </c>
      <c r="J109" s="463"/>
      <c r="K109" s="534"/>
      <c r="L109" s="534"/>
      <c r="N109" s="400"/>
      <c r="P109" s="401"/>
    </row>
    <row r="110" spans="1:16" ht="15" customHeight="1">
      <c r="A110" s="496">
        <v>177</v>
      </c>
      <c r="B110" s="488">
        <f t="shared" si="1"/>
        <v>10</v>
      </c>
      <c r="C110" s="462" t="s">
        <v>256</v>
      </c>
      <c r="D110" s="490" t="s">
        <v>234</v>
      </c>
      <c r="E110" s="724">
        <f>'C.II.1.1.10'!F17</f>
        <v>7.8724745999999994</v>
      </c>
      <c r="F110" s="461">
        <f>'C.II.1.1.10'!G17</f>
        <v>7.87</v>
      </c>
      <c r="G110" s="461">
        <f>'C.II.1.1.10'!H17</f>
        <v>7.87</v>
      </c>
      <c r="H110" s="461">
        <f>'C.II.1.1.10'!I17</f>
        <v>7.87</v>
      </c>
      <c r="I110" s="461">
        <f>'C.II.1.1.10'!J17</f>
        <v>7.87</v>
      </c>
      <c r="J110" s="463"/>
      <c r="K110" s="534"/>
      <c r="L110" s="534"/>
      <c r="N110" s="400"/>
      <c r="P110" s="401"/>
    </row>
    <row r="111" spans="1:16">
      <c r="A111" s="496">
        <v>178</v>
      </c>
      <c r="B111" s="488">
        <f t="shared" si="1"/>
        <v>11</v>
      </c>
      <c r="C111" s="462" t="s">
        <v>257</v>
      </c>
      <c r="D111" s="490" t="s">
        <v>27</v>
      </c>
      <c r="E111" s="724">
        <f>'C.II.1.1.11'!F21</f>
        <v>1317.2945650000001</v>
      </c>
      <c r="F111" s="461">
        <f>'C.II.1.1.11'!G21</f>
        <v>1317.29</v>
      </c>
      <c r="G111" s="461">
        <f>'C.II.1.1.11'!H21</f>
        <v>1317.29</v>
      </c>
      <c r="H111" s="461">
        <f>'C.II.1.1.11'!I21</f>
        <v>1317.29</v>
      </c>
      <c r="I111" s="461">
        <f>'C.II.1.1.11'!J21</f>
        <v>0</v>
      </c>
      <c r="J111" s="494"/>
      <c r="K111" s="495"/>
      <c r="L111" s="495" t="s">
        <v>824</v>
      </c>
      <c r="N111" s="400"/>
      <c r="P111" s="401"/>
    </row>
    <row r="112" spans="1:16">
      <c r="A112" s="496">
        <v>179</v>
      </c>
      <c r="B112" s="488">
        <f t="shared" si="1"/>
        <v>12</v>
      </c>
      <c r="C112" s="462" t="s">
        <v>258</v>
      </c>
      <c r="D112" s="490" t="s">
        <v>7</v>
      </c>
      <c r="E112" s="724">
        <f>'C.II.1.1.12'!F17</f>
        <v>0.63</v>
      </c>
      <c r="F112" s="461">
        <f>'C.II.1.1.12'!G17</f>
        <v>0.63</v>
      </c>
      <c r="G112" s="461">
        <f>'C.II.1.1.12'!H17</f>
        <v>0.76</v>
      </c>
      <c r="H112" s="461">
        <f>'C.II.1.1.12'!I17</f>
        <v>0.63</v>
      </c>
      <c r="I112" s="461">
        <f>'C.II.1.1.12'!J17</f>
        <v>0.76</v>
      </c>
      <c r="J112" s="491"/>
      <c r="K112" s="492"/>
      <c r="L112" s="492" t="s">
        <v>792</v>
      </c>
      <c r="N112" s="400"/>
      <c r="P112" s="401"/>
    </row>
    <row r="113" spans="1:16">
      <c r="A113" s="496">
        <v>180</v>
      </c>
      <c r="B113" s="488">
        <f t="shared" si="1"/>
        <v>13</v>
      </c>
      <c r="C113" s="465" t="s">
        <v>180</v>
      </c>
      <c r="D113" s="490" t="s">
        <v>0</v>
      </c>
      <c r="E113" s="724">
        <v>28</v>
      </c>
      <c r="F113" s="461">
        <f>'C.II.1.1.13'!G17</f>
        <v>28</v>
      </c>
      <c r="G113" s="461">
        <f>'C.II.1.1.13'!H17</f>
        <v>28</v>
      </c>
      <c r="H113" s="461">
        <f>'C.II.1.1.13'!I17</f>
        <v>28</v>
      </c>
      <c r="I113" s="461">
        <f>'C.II.1.1.13'!J17</f>
        <v>28</v>
      </c>
      <c r="J113" s="491"/>
      <c r="K113" s="495"/>
      <c r="L113" s="495" t="s">
        <v>824</v>
      </c>
      <c r="M113" s="471" t="s">
        <v>813</v>
      </c>
      <c r="N113" s="400"/>
      <c r="P113" s="401"/>
    </row>
    <row r="114" spans="1:16">
      <c r="A114" s="496">
        <v>181</v>
      </c>
      <c r="B114" s="488">
        <f t="shared" si="1"/>
        <v>14</v>
      </c>
      <c r="C114" s="499" t="s">
        <v>259</v>
      </c>
      <c r="D114" s="490" t="s">
        <v>8</v>
      </c>
      <c r="E114" s="461">
        <f>'C.II.1.1.14'!F17</f>
        <v>0.05</v>
      </c>
      <c r="F114" s="461">
        <f>'C.II.1.1.14'!G17</f>
        <v>0.05</v>
      </c>
      <c r="G114" s="461">
        <f>'C.II.1.1.14'!H17</f>
        <v>0.05</v>
      </c>
      <c r="H114" s="461">
        <f>'C.II.1.1.14'!I17</f>
        <v>0.05</v>
      </c>
      <c r="I114" s="461">
        <f>'C.II.1.1.14'!J17</f>
        <v>0</v>
      </c>
      <c r="J114" s="494"/>
      <c r="K114" s="495"/>
      <c r="L114" s="495" t="s">
        <v>792</v>
      </c>
      <c r="N114" s="400"/>
      <c r="P114" s="401"/>
    </row>
    <row r="115" spans="1:16">
      <c r="A115" s="496">
        <v>182</v>
      </c>
      <c r="B115" s="488">
        <f t="shared" si="1"/>
        <v>15</v>
      </c>
      <c r="C115" s="462" t="s">
        <v>260</v>
      </c>
      <c r="D115" s="490" t="s">
        <v>0</v>
      </c>
      <c r="E115" s="724">
        <f>'C.II.1.1.15'!F17</f>
        <v>18.757999999999999</v>
      </c>
      <c r="F115" s="461">
        <f>'C.II.1.1.15'!G17</f>
        <v>18.61</v>
      </c>
      <c r="G115" s="461">
        <f>'C.II.1.1.15'!H17</f>
        <v>18.61</v>
      </c>
      <c r="H115" s="461">
        <f>'C.II.1.1.15'!I17</f>
        <v>18.61</v>
      </c>
      <c r="I115" s="461">
        <f>'C.II.1.1.15'!J17</f>
        <v>18.61</v>
      </c>
      <c r="J115" s="491"/>
      <c r="K115" s="495"/>
      <c r="L115" s="495" t="s">
        <v>792</v>
      </c>
      <c r="N115" s="400"/>
      <c r="P115" s="401"/>
    </row>
    <row r="116" spans="1:16">
      <c r="A116" s="496">
        <v>183</v>
      </c>
      <c r="B116" s="488">
        <f t="shared" si="1"/>
        <v>16</v>
      </c>
      <c r="C116" s="462" t="s">
        <v>261</v>
      </c>
      <c r="D116" s="490" t="s">
        <v>0</v>
      </c>
      <c r="E116" s="724">
        <f>'C.II.1.1.16'!F17</f>
        <v>16.809999999999999</v>
      </c>
      <c r="F116" s="461">
        <f>'C.II.1.1.16'!G17</f>
        <v>16.809999999999999</v>
      </c>
      <c r="G116" s="461">
        <f>'C.II.1.1.16'!H17</f>
        <v>16.809999999999999</v>
      </c>
      <c r="H116" s="461">
        <f>'C.II.1.1.16'!I17</f>
        <v>16.809999999999999</v>
      </c>
      <c r="I116" s="461">
        <f>'C.II.1.1.16'!J17</f>
        <v>13.4</v>
      </c>
      <c r="J116" s="491"/>
      <c r="K116" s="495"/>
      <c r="L116" s="495" t="s">
        <v>792</v>
      </c>
      <c r="N116" s="400"/>
      <c r="P116" s="401"/>
    </row>
    <row r="117" spans="1:16">
      <c r="A117" s="487"/>
      <c r="B117" s="493" t="s">
        <v>262</v>
      </c>
      <c r="C117" s="489" t="s">
        <v>263</v>
      </c>
      <c r="D117" s="490" t="s">
        <v>153</v>
      </c>
      <c r="E117" s="461"/>
      <c r="F117" s="461"/>
      <c r="G117" s="461"/>
      <c r="H117" s="461"/>
      <c r="I117" s="461"/>
      <c r="J117" s="491" t="s">
        <v>701</v>
      </c>
      <c r="K117" s="497" t="s">
        <v>701</v>
      </c>
      <c r="L117" s="491" t="s">
        <v>701</v>
      </c>
      <c r="N117" s="400"/>
      <c r="P117" s="401"/>
    </row>
    <row r="118" spans="1:16">
      <c r="A118" s="487"/>
      <c r="B118" s="493" t="s">
        <v>153</v>
      </c>
      <c r="C118" s="489" t="s">
        <v>264</v>
      </c>
      <c r="D118" s="490" t="s">
        <v>153</v>
      </c>
      <c r="E118" s="461"/>
      <c r="F118" s="461"/>
      <c r="G118" s="461"/>
      <c r="H118" s="461"/>
      <c r="I118" s="461"/>
      <c r="J118" s="491"/>
      <c r="K118" s="492"/>
      <c r="L118" s="492"/>
      <c r="N118" s="400"/>
      <c r="P118" s="401"/>
    </row>
    <row r="119" spans="1:16">
      <c r="A119" s="496">
        <v>184</v>
      </c>
      <c r="B119" s="488">
        <v>1</v>
      </c>
      <c r="C119" s="465" t="s">
        <v>265</v>
      </c>
      <c r="D119" s="490" t="s">
        <v>7</v>
      </c>
      <c r="E119" s="724">
        <f>'C.II.1.2.1'!F33</f>
        <v>57.53</v>
      </c>
      <c r="F119" s="461">
        <f>'C.II.1.2.1'!G33</f>
        <v>58.69</v>
      </c>
      <c r="G119" s="461">
        <f>'C.II.1.2.1'!H33</f>
        <v>57.53</v>
      </c>
      <c r="H119" s="461">
        <f>'C.II.1.2.1'!I33</f>
        <v>57.53</v>
      </c>
      <c r="I119" s="461">
        <f>'C.II.1.2.1'!J33</f>
        <v>58.69</v>
      </c>
      <c r="J119" s="491"/>
      <c r="K119" s="492"/>
      <c r="L119" s="492" t="s">
        <v>792</v>
      </c>
      <c r="M119" s="471" t="s">
        <v>708</v>
      </c>
      <c r="N119" s="400"/>
      <c r="P119" s="401"/>
    </row>
    <row r="120" spans="1:16" hidden="1">
      <c r="A120" s="496"/>
      <c r="B120" s="488"/>
      <c r="C120" s="462" t="s">
        <v>266</v>
      </c>
      <c r="D120" s="490" t="s">
        <v>8</v>
      </c>
      <c r="E120" s="461">
        <v>0</v>
      </c>
      <c r="F120" s="461"/>
      <c r="G120" s="461"/>
      <c r="H120" s="461"/>
      <c r="I120" s="461"/>
      <c r="J120" s="491"/>
      <c r="K120" s="492"/>
      <c r="L120" s="492"/>
      <c r="N120" s="400"/>
      <c r="P120" s="401"/>
    </row>
    <row r="121" spans="1:16">
      <c r="A121" s="496">
        <v>185</v>
      </c>
      <c r="B121" s="488">
        <f>B119+1</f>
        <v>2</v>
      </c>
      <c r="C121" s="462" t="s">
        <v>267</v>
      </c>
      <c r="D121" s="490" t="s">
        <v>38</v>
      </c>
      <c r="E121" s="724">
        <f>'C.II.1.2.2'!F15</f>
        <v>5753</v>
      </c>
      <c r="F121" s="461">
        <f>'C.II.1.2.2'!G15</f>
        <v>5753</v>
      </c>
      <c r="G121" s="461">
        <f>'C.II.1.2.2'!H15</f>
        <v>5753</v>
      </c>
      <c r="H121" s="461">
        <f>'C.II.1.2.2'!I15</f>
        <v>5753</v>
      </c>
      <c r="I121" s="461">
        <f>'C.II.1.2.2'!J15</f>
        <v>5753</v>
      </c>
      <c r="J121" s="491" t="s">
        <v>691</v>
      </c>
      <c r="K121" s="495"/>
      <c r="L121" s="495" t="s">
        <v>824</v>
      </c>
      <c r="N121" s="400"/>
      <c r="P121" s="401"/>
    </row>
    <row r="122" spans="1:16">
      <c r="A122" s="496">
        <v>186</v>
      </c>
      <c r="B122" s="488">
        <f>B121+1</f>
        <v>3</v>
      </c>
      <c r="C122" s="462" t="s">
        <v>268</v>
      </c>
      <c r="D122" s="490" t="s">
        <v>8</v>
      </c>
      <c r="E122" s="724">
        <f>'C.II.1.2.3'!F33</f>
        <v>2.7844600000000002</v>
      </c>
      <c r="F122" s="461">
        <f>'C.II.1.2.3'!G33</f>
        <v>2.86</v>
      </c>
      <c r="G122" s="461">
        <f>'C.II.1.2.3'!H33</f>
        <v>2.7844600000000002</v>
      </c>
      <c r="H122" s="461">
        <f>'C.II.1.2.3'!I33</f>
        <v>2.78</v>
      </c>
      <c r="I122" s="461">
        <f>'C.II.1.2.3'!J33</f>
        <v>2.86</v>
      </c>
      <c r="J122" s="491"/>
      <c r="K122" s="492"/>
      <c r="L122" s="492" t="s">
        <v>792</v>
      </c>
      <c r="N122" s="400"/>
      <c r="P122" s="401"/>
    </row>
    <row r="123" spans="1:16">
      <c r="A123" s="496">
        <v>187</v>
      </c>
      <c r="B123" s="488">
        <f t="shared" si="1"/>
        <v>4</v>
      </c>
      <c r="C123" s="462" t="s">
        <v>269</v>
      </c>
      <c r="D123" s="490" t="s">
        <v>7</v>
      </c>
      <c r="E123" s="724">
        <f>'[7]TONG KL '!$I$20</f>
        <v>143.96</v>
      </c>
      <c r="F123" s="461">
        <f>'C.II.1.2.4'!G15</f>
        <v>153.12</v>
      </c>
      <c r="G123" s="461">
        <f>'C.II.1.2.4'!H15</f>
        <v>143.96</v>
      </c>
      <c r="H123" s="461">
        <f>'C.II.1.2.4'!I15</f>
        <v>143.96</v>
      </c>
      <c r="I123" s="461">
        <f>'C.II.1.2.4'!J15</f>
        <v>153.12</v>
      </c>
      <c r="J123" s="491"/>
      <c r="K123" s="492"/>
      <c r="L123" s="492"/>
      <c r="N123" s="400"/>
      <c r="P123" s="401"/>
    </row>
    <row r="124" spans="1:16" ht="31.5">
      <c r="A124" s="496">
        <v>188</v>
      </c>
      <c r="B124" s="488">
        <f t="shared" si="1"/>
        <v>5</v>
      </c>
      <c r="C124" s="462" t="s">
        <v>270</v>
      </c>
      <c r="D124" s="490" t="s">
        <v>7</v>
      </c>
      <c r="E124" s="724">
        <f>'C.II.1.2.5'!F15</f>
        <v>102.42</v>
      </c>
      <c r="F124" s="461">
        <f>'C.II.1.2.5'!G15</f>
        <v>102.41</v>
      </c>
      <c r="G124" s="461">
        <f>'C.II.1.2.5'!H15</f>
        <v>102.41</v>
      </c>
      <c r="H124" s="461">
        <f>'C.II.1.2.5'!I15</f>
        <v>102.41</v>
      </c>
      <c r="I124" s="461">
        <f>'C.II.1.2.5'!J15</f>
        <v>102.41</v>
      </c>
      <c r="J124" s="491" t="s">
        <v>692</v>
      </c>
      <c r="K124" s="495"/>
      <c r="L124" s="495" t="s">
        <v>825</v>
      </c>
      <c r="M124" s="471" t="s">
        <v>746</v>
      </c>
      <c r="N124" s="400"/>
      <c r="P124" s="401"/>
    </row>
    <row r="125" spans="1:16">
      <c r="A125" s="496">
        <v>189</v>
      </c>
      <c r="B125" s="488">
        <f t="shared" si="1"/>
        <v>6</v>
      </c>
      <c r="C125" s="462" t="s">
        <v>271</v>
      </c>
      <c r="D125" s="490" t="s">
        <v>7</v>
      </c>
      <c r="E125" s="724">
        <f>'[7]TONG KL '!$I$12</f>
        <v>6.15</v>
      </c>
      <c r="F125" s="461">
        <f>'C.II.1.2.6'!G15</f>
        <v>6.09</v>
      </c>
      <c r="G125" s="461">
        <f>'C.II.1.2.6'!H15</f>
        <v>6.09</v>
      </c>
      <c r="H125" s="461">
        <f>'C.II.1.2.6'!I15</f>
        <v>6.09</v>
      </c>
      <c r="I125" s="461">
        <f>'C.II.1.2.6'!J15</f>
        <v>6.09</v>
      </c>
      <c r="J125" s="491"/>
      <c r="K125" s="492"/>
      <c r="L125" s="492"/>
      <c r="N125" s="400"/>
      <c r="P125" s="401"/>
    </row>
    <row r="126" spans="1:16">
      <c r="A126" s="496">
        <v>190</v>
      </c>
      <c r="B126" s="488">
        <f t="shared" si="1"/>
        <v>7</v>
      </c>
      <c r="C126" s="462" t="s">
        <v>272</v>
      </c>
      <c r="D126" s="490" t="s">
        <v>7</v>
      </c>
      <c r="E126" s="724">
        <f>'C.II.1.2.7'!F15</f>
        <v>41.33</v>
      </c>
      <c r="F126" s="461">
        <f>'C.II.1.2.7'!G15</f>
        <v>41.5</v>
      </c>
      <c r="G126" s="461">
        <f>'C.II.1.2.7'!H15</f>
        <v>41.33</v>
      </c>
      <c r="H126" s="461">
        <f>'C.II.1.2.7'!I15</f>
        <v>41.33</v>
      </c>
      <c r="I126" s="461">
        <f>'C.II.1.2.7'!J15</f>
        <v>41.5</v>
      </c>
      <c r="J126" s="491"/>
      <c r="K126" s="492"/>
      <c r="L126" s="492" t="s">
        <v>792</v>
      </c>
      <c r="M126" s="471" t="s">
        <v>772</v>
      </c>
      <c r="N126" s="400"/>
      <c r="P126" s="401"/>
    </row>
    <row r="127" spans="1:16" hidden="1">
      <c r="A127" s="496"/>
      <c r="B127" s="488"/>
      <c r="C127" s="462" t="s">
        <v>273</v>
      </c>
      <c r="D127" s="490" t="s">
        <v>0</v>
      </c>
      <c r="E127" s="461">
        <v>0</v>
      </c>
      <c r="F127" s="461"/>
      <c r="G127" s="461"/>
      <c r="H127" s="461"/>
      <c r="I127" s="461"/>
      <c r="J127" s="491"/>
      <c r="K127" s="492"/>
      <c r="L127" s="492"/>
      <c r="N127" s="400"/>
      <c r="P127" s="401"/>
    </row>
    <row r="128" spans="1:16">
      <c r="A128" s="496">
        <v>191</v>
      </c>
      <c r="B128" s="488">
        <f>B126+1</f>
        <v>8</v>
      </c>
      <c r="C128" s="462" t="s">
        <v>274</v>
      </c>
      <c r="D128" s="490" t="s">
        <v>0</v>
      </c>
      <c r="E128" s="724">
        <f>'[7]TONG KL '!$I$13</f>
        <v>21</v>
      </c>
      <c r="F128" s="503">
        <f>'C.II.1.2.8'!G15</f>
        <v>21</v>
      </c>
      <c r="G128" s="503">
        <f>'C.II.1.2.8'!H15</f>
        <v>21</v>
      </c>
      <c r="H128" s="503">
        <f>'C.II.1.2.8'!I15</f>
        <v>21</v>
      </c>
      <c r="I128" s="503">
        <f>'C.II.1.2.8'!J15</f>
        <v>52</v>
      </c>
      <c r="J128" s="491"/>
      <c r="K128" s="492"/>
      <c r="L128" s="492" t="s">
        <v>792</v>
      </c>
      <c r="N128" s="400"/>
      <c r="P128" s="401"/>
    </row>
    <row r="129" spans="1:16" hidden="1">
      <c r="A129" s="487"/>
      <c r="B129" s="488"/>
      <c r="C129" s="462" t="s">
        <v>181</v>
      </c>
      <c r="D129" s="490" t="s">
        <v>0</v>
      </c>
      <c r="E129" s="461">
        <v>0</v>
      </c>
      <c r="F129" s="503"/>
      <c r="G129" s="503"/>
      <c r="H129" s="503"/>
      <c r="I129" s="503"/>
      <c r="J129" s="491"/>
      <c r="K129" s="492"/>
      <c r="L129" s="492"/>
      <c r="N129" s="400"/>
      <c r="P129" s="401"/>
    </row>
    <row r="130" spans="1:16">
      <c r="A130" s="487"/>
      <c r="B130" s="493" t="s">
        <v>275</v>
      </c>
      <c r="C130" s="489" t="s">
        <v>276</v>
      </c>
      <c r="D130" s="490" t="s">
        <v>153</v>
      </c>
      <c r="E130" s="461" t="s">
        <v>326</v>
      </c>
      <c r="F130" s="461"/>
      <c r="G130" s="461"/>
      <c r="H130" s="461"/>
      <c r="I130" s="461"/>
      <c r="J130" s="491" t="s">
        <v>701</v>
      </c>
      <c r="K130" s="491" t="s">
        <v>701</v>
      </c>
      <c r="L130" s="491" t="s">
        <v>701</v>
      </c>
      <c r="N130" s="400"/>
      <c r="P130" s="401"/>
    </row>
    <row r="131" spans="1:16" ht="30">
      <c r="A131" s="496">
        <v>192</v>
      </c>
      <c r="B131" s="488">
        <v>1</v>
      </c>
      <c r="C131" s="462" t="s">
        <v>277</v>
      </c>
      <c r="D131" s="490" t="s">
        <v>0</v>
      </c>
      <c r="E131" s="461">
        <f>'C.II.1.3.1'!F15</f>
        <v>36</v>
      </c>
      <c r="F131" s="461">
        <f>'C.II.1.3.1'!G15</f>
        <v>36</v>
      </c>
      <c r="G131" s="461">
        <f>'C.II.1.3.1'!H15</f>
        <v>36</v>
      </c>
      <c r="H131" s="461">
        <f>'C.II.1.3.1'!I15</f>
        <v>36</v>
      </c>
      <c r="I131" s="461">
        <f>'C.II.1.3.1'!J15</f>
        <v>36</v>
      </c>
      <c r="J131" s="491" t="s">
        <v>687</v>
      </c>
      <c r="K131" s="492"/>
      <c r="L131" s="492" t="s">
        <v>826</v>
      </c>
      <c r="N131" s="400"/>
      <c r="P131" s="401"/>
    </row>
    <row r="132" spans="1:16">
      <c r="A132" s="496">
        <v>193</v>
      </c>
      <c r="B132" s="488">
        <v>2</v>
      </c>
      <c r="C132" s="462" t="s">
        <v>278</v>
      </c>
      <c r="D132" s="490" t="s">
        <v>0</v>
      </c>
      <c r="E132" s="461">
        <v>52.25</v>
      </c>
      <c r="F132" s="461"/>
      <c r="G132" s="461"/>
      <c r="H132" s="461"/>
      <c r="I132" s="461"/>
      <c r="J132" s="491"/>
      <c r="K132" s="492"/>
      <c r="L132" s="492"/>
      <c r="N132" s="400"/>
      <c r="P132" s="401"/>
    </row>
    <row r="133" spans="1:16">
      <c r="A133" s="487"/>
      <c r="B133" s="488"/>
      <c r="C133" s="489" t="s">
        <v>279</v>
      </c>
      <c r="D133" s="490"/>
      <c r="E133" s="461" t="s">
        <v>326</v>
      </c>
      <c r="F133" s="461"/>
      <c r="G133" s="461"/>
      <c r="H133" s="461"/>
      <c r="I133" s="461"/>
      <c r="J133" s="491"/>
      <c r="K133" s="492"/>
      <c r="L133" s="492"/>
      <c r="N133" s="400"/>
      <c r="P133" s="401"/>
    </row>
    <row r="134" spans="1:16">
      <c r="A134" s="487"/>
      <c r="B134" s="493" t="s">
        <v>280</v>
      </c>
      <c r="C134" s="489" t="s">
        <v>281</v>
      </c>
      <c r="D134" s="490"/>
      <c r="E134" s="461" t="s">
        <v>326</v>
      </c>
      <c r="F134" s="461"/>
      <c r="G134" s="461"/>
      <c r="H134" s="461"/>
      <c r="I134" s="461"/>
      <c r="J134" s="491" t="s">
        <v>701</v>
      </c>
      <c r="K134" s="491" t="s">
        <v>701</v>
      </c>
      <c r="L134" s="491" t="s">
        <v>701</v>
      </c>
      <c r="M134" s="471" t="s">
        <v>701</v>
      </c>
      <c r="N134" s="400"/>
      <c r="P134" s="401"/>
    </row>
    <row r="135" spans="1:16">
      <c r="A135" s="496">
        <v>194</v>
      </c>
      <c r="B135" s="488">
        <v>1</v>
      </c>
      <c r="C135" s="462" t="s">
        <v>282</v>
      </c>
      <c r="D135" s="490" t="s">
        <v>7</v>
      </c>
      <c r="E135" s="724">
        <f>'C.II.1.4.1'!F15</f>
        <v>267.97000000000003</v>
      </c>
      <c r="F135" s="461">
        <f>'C.II.1.4.1'!G15</f>
        <v>267.97000000000003</v>
      </c>
      <c r="G135" s="461">
        <f>'C.II.1.4.1'!H15</f>
        <v>267.97000000000003</v>
      </c>
      <c r="H135" s="461">
        <f>'C.II.1.4.1'!I15</f>
        <v>267.97000000000003</v>
      </c>
      <c r="I135" s="461">
        <f>'C.II.1.4.1'!J15</f>
        <v>267.94</v>
      </c>
      <c r="J135" s="491"/>
      <c r="K135" s="492"/>
      <c r="L135" s="492" t="s">
        <v>792</v>
      </c>
      <c r="N135" s="400"/>
      <c r="P135" s="401"/>
    </row>
    <row r="136" spans="1:16" ht="60">
      <c r="A136" s="496">
        <v>195</v>
      </c>
      <c r="B136" s="488">
        <v>2</v>
      </c>
      <c r="C136" s="465" t="s">
        <v>216</v>
      </c>
      <c r="D136" s="490" t="s">
        <v>7</v>
      </c>
      <c r="E136" s="724">
        <f>'C.II.1.4.2'!F33</f>
        <v>114.05</v>
      </c>
      <c r="F136" s="461">
        <f>'C.II.1.4.2'!G33</f>
        <v>114.05</v>
      </c>
      <c r="G136" s="461">
        <f>'C.II.1.4.2'!H33</f>
        <v>120.35</v>
      </c>
      <c r="H136" s="461">
        <f>'C.II.1.4.2'!I33</f>
        <v>114.05</v>
      </c>
      <c r="I136" s="461">
        <f>'C.II.1.4.2'!J33</f>
        <v>120.35</v>
      </c>
      <c r="J136" s="491"/>
      <c r="K136" s="492"/>
      <c r="L136" s="492" t="s">
        <v>827</v>
      </c>
      <c r="M136" s="471" t="s">
        <v>783</v>
      </c>
      <c r="N136" s="400"/>
      <c r="P136" s="401"/>
    </row>
    <row r="137" spans="1:16">
      <c r="A137" s="496">
        <v>196</v>
      </c>
      <c r="B137" s="488">
        <v>3</v>
      </c>
      <c r="C137" s="462" t="s">
        <v>283</v>
      </c>
      <c r="D137" s="490" t="s">
        <v>7</v>
      </c>
      <c r="E137" s="724">
        <f>'C.II.1.4.3'!F15</f>
        <v>14.44</v>
      </c>
      <c r="F137" s="461">
        <f>'C.II.1.4.3'!G15</f>
        <v>14.44</v>
      </c>
      <c r="G137" s="461">
        <f>'C.II.1.4.3'!H15</f>
        <v>14.44</v>
      </c>
      <c r="H137" s="461">
        <f>'C.II.1.4.3'!I15</f>
        <v>14.44</v>
      </c>
      <c r="I137" s="461">
        <f>'C.II.1.4.3'!J15</f>
        <v>14.44</v>
      </c>
      <c r="J137" s="491"/>
      <c r="K137" s="492"/>
      <c r="L137" s="492"/>
      <c r="N137" s="400"/>
      <c r="P137" s="401"/>
    </row>
    <row r="138" spans="1:16">
      <c r="A138" s="496">
        <v>197</v>
      </c>
      <c r="B138" s="488">
        <v>4</v>
      </c>
      <c r="C138" s="462" t="s">
        <v>284</v>
      </c>
      <c r="D138" s="490" t="s">
        <v>7</v>
      </c>
      <c r="E138" s="724">
        <f>'C.II.1.4.4'!F15</f>
        <v>286.08999999999997</v>
      </c>
      <c r="F138" s="461">
        <f>'C.II.1.4.4'!G15</f>
        <v>286.08999999999997</v>
      </c>
      <c r="G138" s="461">
        <f>'C.II.1.4.4'!H15</f>
        <v>286.08999999999997</v>
      </c>
      <c r="H138" s="461">
        <f>'C.II.1.4.4'!I15</f>
        <v>286.08999999999997</v>
      </c>
      <c r="I138" s="461">
        <f>'C.II.1.4.4'!J15</f>
        <v>286.08999999999997</v>
      </c>
      <c r="J138" s="491"/>
      <c r="K138" s="492"/>
      <c r="L138" s="492"/>
      <c r="N138" s="400"/>
      <c r="P138" s="401"/>
    </row>
    <row r="139" spans="1:16">
      <c r="A139" s="487"/>
      <c r="B139" s="493" t="s">
        <v>285</v>
      </c>
      <c r="C139" s="489" t="s">
        <v>286</v>
      </c>
      <c r="D139" s="490" t="s">
        <v>153</v>
      </c>
      <c r="E139" s="461" t="s">
        <v>326</v>
      </c>
      <c r="F139" s="461"/>
      <c r="G139" s="461"/>
      <c r="H139" s="461"/>
      <c r="I139" s="461"/>
      <c r="J139" s="491"/>
      <c r="K139" s="492"/>
      <c r="L139" s="492"/>
      <c r="M139" s="471" t="s">
        <v>701</v>
      </c>
      <c r="N139" s="400"/>
      <c r="P139" s="401"/>
    </row>
    <row r="140" spans="1:16">
      <c r="A140" s="496">
        <v>198</v>
      </c>
      <c r="B140" s="488">
        <v>1</v>
      </c>
      <c r="C140" s="462" t="s">
        <v>287</v>
      </c>
      <c r="D140" s="490" t="s">
        <v>7</v>
      </c>
      <c r="E140" s="724">
        <f>'C.II.1.5.1'!F15</f>
        <v>333.13</v>
      </c>
      <c r="F140" s="461">
        <f>'C.II.1.5.1'!G15</f>
        <v>332.57</v>
      </c>
      <c r="G140" s="461">
        <f>'C.II.1.5.1'!H15</f>
        <v>332.57</v>
      </c>
      <c r="H140" s="461">
        <f>'C.II.1.5.1'!I15</f>
        <v>332.57</v>
      </c>
      <c r="I140" s="461">
        <f>'C.II.1.5.1'!J15</f>
        <v>332.57</v>
      </c>
      <c r="J140" s="491"/>
      <c r="K140" s="492"/>
      <c r="L140" s="492"/>
      <c r="N140" s="400"/>
      <c r="P140" s="401"/>
    </row>
    <row r="141" spans="1:16" hidden="1">
      <c r="A141" s="496"/>
      <c r="B141" s="488"/>
      <c r="C141" s="462" t="s">
        <v>288</v>
      </c>
      <c r="D141" s="490" t="s">
        <v>7</v>
      </c>
      <c r="E141" s="461">
        <v>0</v>
      </c>
      <c r="F141" s="461"/>
      <c r="G141" s="461"/>
      <c r="H141" s="461"/>
      <c r="I141" s="461"/>
      <c r="J141" s="491"/>
      <c r="K141" s="492"/>
      <c r="L141" s="492"/>
      <c r="N141" s="400"/>
      <c r="P141" s="401"/>
    </row>
    <row r="142" spans="1:16">
      <c r="A142" s="496">
        <v>199</v>
      </c>
      <c r="B142" s="488">
        <f>B140+1</f>
        <v>2</v>
      </c>
      <c r="C142" s="462" t="s">
        <v>289</v>
      </c>
      <c r="D142" s="490" t="s">
        <v>27</v>
      </c>
      <c r="E142" s="724">
        <f>'C.II.1.5.2'!F15</f>
        <v>37.5</v>
      </c>
      <c r="F142" s="461">
        <f>'C.II.1.5.2'!G15</f>
        <v>37.5</v>
      </c>
      <c r="G142" s="461">
        <f>'C.II.1.5.2'!H15</f>
        <v>37.5</v>
      </c>
      <c r="H142" s="461">
        <f>'C.II.1.5.2'!I15</f>
        <v>37.5</v>
      </c>
      <c r="I142" s="461">
        <f>'C.II.1.5.2'!J15</f>
        <v>37.5</v>
      </c>
      <c r="J142" s="491"/>
      <c r="K142" s="492"/>
      <c r="L142" s="492"/>
      <c r="N142" s="400"/>
      <c r="P142" s="401"/>
    </row>
    <row r="143" spans="1:16" ht="31.5">
      <c r="A143" s="496">
        <v>200</v>
      </c>
      <c r="B143" s="488">
        <f>B142+1</f>
        <v>3</v>
      </c>
      <c r="C143" s="465" t="s">
        <v>290</v>
      </c>
      <c r="D143" s="490" t="s">
        <v>27</v>
      </c>
      <c r="E143" s="724">
        <f>'C.II.1.5.3'!F15</f>
        <v>680.19</v>
      </c>
      <c r="F143" s="461">
        <f>'C.II.1.5.3'!G15</f>
        <v>673.68</v>
      </c>
      <c r="G143" s="461">
        <f>'C.II.1.5.3'!H15</f>
        <v>673.68</v>
      </c>
      <c r="H143" s="461">
        <f>'C.II.1.5.3'!I15</f>
        <v>673.68</v>
      </c>
      <c r="I143" s="461">
        <f>'C.II.1.5.3'!J15</f>
        <v>673.74</v>
      </c>
      <c r="J143" s="491" t="s">
        <v>695</v>
      </c>
      <c r="K143" s="492"/>
      <c r="L143" s="492" t="s">
        <v>828</v>
      </c>
      <c r="M143" s="471" t="s">
        <v>707</v>
      </c>
      <c r="N143" s="400"/>
      <c r="P143" s="401"/>
    </row>
    <row r="144" spans="1:16">
      <c r="A144" s="496">
        <v>201</v>
      </c>
      <c r="B144" s="488">
        <f t="shared" ref="B144:B178" si="2">B143+1</f>
        <v>4</v>
      </c>
      <c r="C144" s="462" t="s">
        <v>274</v>
      </c>
      <c r="D144" s="490" t="s">
        <v>0</v>
      </c>
      <c r="E144" s="724">
        <f>'C.II.1.5.4'!F15</f>
        <v>79.599999999999994</v>
      </c>
      <c r="F144" s="461">
        <f>'C.II.1.5.4'!G15</f>
        <v>79.599999999999994</v>
      </c>
      <c r="G144" s="461">
        <f>'C.II.1.5.4'!H15</f>
        <v>79.599999999999994</v>
      </c>
      <c r="H144" s="461">
        <f>'C.II.1.5.4'!I15</f>
        <v>79.599999999999994</v>
      </c>
      <c r="I144" s="461">
        <f>'C.II.1.5.4'!J15</f>
        <v>79.599999999999994</v>
      </c>
      <c r="J144" s="491"/>
      <c r="K144" s="492"/>
      <c r="L144" s="492"/>
      <c r="N144" s="400"/>
      <c r="P144" s="401"/>
    </row>
    <row r="145" spans="1:16">
      <c r="A145" s="496">
        <v>202</v>
      </c>
      <c r="B145" s="488">
        <f t="shared" si="2"/>
        <v>5</v>
      </c>
      <c r="C145" s="462" t="s">
        <v>291</v>
      </c>
      <c r="D145" s="490" t="s">
        <v>0</v>
      </c>
      <c r="E145" s="724">
        <f>'[7]TONG KL '!$I$26</f>
        <v>4</v>
      </c>
      <c r="F145" s="461">
        <f>'C.II.1.5.5'!G15</f>
        <v>4</v>
      </c>
      <c r="G145" s="461">
        <f>'C.II.1.5.5'!H15</f>
        <v>4</v>
      </c>
      <c r="H145" s="461">
        <f>'C.II.1.5.5'!I15</f>
        <v>4</v>
      </c>
      <c r="I145" s="461">
        <f>'C.II.1.5.5'!J15</f>
        <v>4</v>
      </c>
      <c r="J145" s="491"/>
      <c r="K145" s="492"/>
      <c r="L145" s="492"/>
      <c r="N145" s="400"/>
      <c r="P145" s="401"/>
    </row>
    <row r="146" spans="1:16">
      <c r="A146" s="487"/>
      <c r="B146" s="493" t="s">
        <v>292</v>
      </c>
      <c r="C146" s="489" t="s">
        <v>293</v>
      </c>
      <c r="D146" s="490" t="s">
        <v>153</v>
      </c>
      <c r="E146" s="461" t="s">
        <v>326</v>
      </c>
      <c r="F146" s="461"/>
      <c r="G146" s="461"/>
      <c r="H146" s="461"/>
      <c r="I146" s="461"/>
      <c r="J146" s="491"/>
      <c r="K146" s="492"/>
      <c r="L146" s="492"/>
      <c r="M146" s="471" t="s">
        <v>701</v>
      </c>
      <c r="N146" s="400"/>
      <c r="P146" s="401"/>
    </row>
    <row r="147" spans="1:16" ht="15">
      <c r="A147" s="496">
        <v>203</v>
      </c>
      <c r="B147" s="488">
        <v>1</v>
      </c>
      <c r="C147" s="462" t="s">
        <v>294</v>
      </c>
      <c r="D147" s="490" t="s">
        <v>7</v>
      </c>
      <c r="E147" s="723">
        <f>'C.II.1.6.1'!F15</f>
        <v>5.15</v>
      </c>
      <c r="F147" s="503">
        <f>'C.II.1.6.1'!G15</f>
        <v>5.15</v>
      </c>
      <c r="G147" s="503">
        <f>'C.II.1.6.1'!H15</f>
        <v>5.15</v>
      </c>
      <c r="H147" s="503">
        <f>'C.II.1.6.1'!I15</f>
        <v>5.15</v>
      </c>
      <c r="I147" s="503">
        <f>'C.II.1.6.1'!J15</f>
        <v>5.15</v>
      </c>
      <c r="J147" s="547"/>
      <c r="K147" s="492"/>
      <c r="L147" s="492" t="s">
        <v>792</v>
      </c>
      <c r="N147" s="400"/>
      <c r="P147" s="401"/>
    </row>
    <row r="148" spans="1:16" ht="15">
      <c r="A148" s="496">
        <v>204</v>
      </c>
      <c r="B148" s="488">
        <v>2</v>
      </c>
      <c r="C148" s="462" t="s">
        <v>124</v>
      </c>
      <c r="D148" s="490" t="s">
        <v>7</v>
      </c>
      <c r="E148" s="724">
        <f>'[7]TONG KL '!$I$29</f>
        <v>1.81</v>
      </c>
      <c r="F148" s="503">
        <f>'C.II.1.6.2'!G15</f>
        <v>1.81</v>
      </c>
      <c r="G148" s="503">
        <f>'C.II.1.6.2'!H15</f>
        <v>1.81</v>
      </c>
      <c r="H148" s="503">
        <f>'C.II.1.6.2'!I15</f>
        <v>1.81</v>
      </c>
      <c r="I148" s="503">
        <f>'C.II.1.6.2'!J15</f>
        <v>1.81</v>
      </c>
      <c r="J148" s="547"/>
      <c r="K148" s="492"/>
      <c r="L148" s="492" t="s">
        <v>792</v>
      </c>
      <c r="N148" s="400"/>
      <c r="P148" s="401"/>
    </row>
    <row r="149" spans="1:16">
      <c r="A149" s="487"/>
      <c r="B149" s="493" t="s">
        <v>295</v>
      </c>
      <c r="C149" s="489" t="s">
        <v>296</v>
      </c>
      <c r="D149" s="490" t="s">
        <v>153</v>
      </c>
      <c r="E149" s="461" t="s">
        <v>326</v>
      </c>
      <c r="F149" s="503"/>
      <c r="G149" s="503"/>
      <c r="H149" s="503"/>
      <c r="I149" s="503"/>
      <c r="J149" s="491" t="s">
        <v>789</v>
      </c>
      <c r="K149" s="492"/>
      <c r="L149" s="492"/>
      <c r="N149" s="400"/>
      <c r="P149" s="401"/>
    </row>
    <row r="150" spans="1:16">
      <c r="A150" s="487"/>
      <c r="B150" s="493" t="s">
        <v>16</v>
      </c>
      <c r="C150" s="489" t="s">
        <v>297</v>
      </c>
      <c r="D150" s="490" t="s">
        <v>153</v>
      </c>
      <c r="E150" s="461" t="s">
        <v>326</v>
      </c>
      <c r="F150" s="503"/>
      <c r="G150" s="503"/>
      <c r="H150" s="503"/>
      <c r="I150" s="503"/>
      <c r="J150" s="491"/>
      <c r="K150" s="492"/>
      <c r="L150" s="492"/>
      <c r="N150" s="400"/>
      <c r="P150" s="401"/>
    </row>
    <row r="151" spans="1:16" ht="15">
      <c r="A151" s="496">
        <v>205</v>
      </c>
      <c r="B151" s="488">
        <v>1</v>
      </c>
      <c r="C151" s="462" t="s">
        <v>298</v>
      </c>
      <c r="D151" s="490" t="s">
        <v>27</v>
      </c>
      <c r="E151" s="503"/>
      <c r="F151" s="503"/>
      <c r="G151" s="503"/>
      <c r="H151" s="503"/>
      <c r="I151" s="503"/>
      <c r="J151" s="547" t="s">
        <v>696</v>
      </c>
      <c r="K151" s="534"/>
      <c r="L151" s="534" t="s">
        <v>829</v>
      </c>
      <c r="N151" s="400"/>
      <c r="P151" s="401"/>
    </row>
    <row r="152" spans="1:16" ht="15">
      <c r="A152" s="496">
        <v>206</v>
      </c>
      <c r="B152" s="488">
        <v>2</v>
      </c>
      <c r="C152" s="462" t="s">
        <v>299</v>
      </c>
      <c r="D152" s="490" t="s">
        <v>7</v>
      </c>
      <c r="E152" s="461"/>
      <c r="F152" s="503"/>
      <c r="G152" s="503"/>
      <c r="H152" s="503"/>
      <c r="I152" s="503"/>
      <c r="J152" s="547"/>
      <c r="K152" s="534"/>
      <c r="L152" s="534"/>
      <c r="N152" s="400"/>
      <c r="P152" s="401"/>
    </row>
    <row r="153" spans="1:16" ht="27.75" customHeight="1">
      <c r="A153" s="496">
        <v>207</v>
      </c>
      <c r="B153" s="488">
        <v>3</v>
      </c>
      <c r="C153" s="465" t="s">
        <v>122</v>
      </c>
      <c r="D153" s="490" t="s">
        <v>153</v>
      </c>
      <c r="E153" s="723">
        <f>'C.II.1.7.3'!F85</f>
        <v>3467.33</v>
      </c>
      <c r="F153" s="503">
        <f>+E153</f>
        <v>3467.33</v>
      </c>
      <c r="G153" s="503">
        <f>'C.II.1.7.3'!H85</f>
        <v>3467.33</v>
      </c>
      <c r="H153" s="503">
        <f>'C.II.1.7.3'!I85</f>
        <v>3467.33</v>
      </c>
      <c r="I153" s="503">
        <f>'C.II.1.7.3'!J85</f>
        <v>2838.04</v>
      </c>
      <c r="J153" s="491" t="s">
        <v>699</v>
      </c>
      <c r="K153" s="492"/>
      <c r="L153" s="492" t="s">
        <v>830</v>
      </c>
      <c r="N153" s="400"/>
      <c r="P153" s="401"/>
    </row>
    <row r="154" spans="1:16" ht="22.5" customHeight="1">
      <c r="A154" s="496">
        <v>208</v>
      </c>
      <c r="B154" s="488">
        <v>4</v>
      </c>
      <c r="C154" s="465" t="s">
        <v>300</v>
      </c>
      <c r="D154" s="490" t="s">
        <v>7</v>
      </c>
      <c r="E154" s="723">
        <f>'C.II.1.7.4'!F17</f>
        <v>151.49</v>
      </c>
      <c r="F154" s="503">
        <f>'C.II.1.7.4'!G17</f>
        <v>150.09</v>
      </c>
      <c r="G154" s="503">
        <f>'C.II.1.7.4'!H17</f>
        <v>150.09</v>
      </c>
      <c r="H154" s="503">
        <f>'C.II.1.7.4'!I17</f>
        <v>150.09</v>
      </c>
      <c r="I154" s="503">
        <f>'C.II.1.7.4'!J17</f>
        <v>255.36</v>
      </c>
      <c r="J154" s="491"/>
      <c r="K154" s="492"/>
      <c r="L154" s="492" t="s">
        <v>815</v>
      </c>
      <c r="M154" s="471" t="s">
        <v>744</v>
      </c>
      <c r="N154" s="400"/>
      <c r="P154" s="401"/>
    </row>
    <row r="155" spans="1:16" ht="33" customHeight="1">
      <c r="A155" s="496">
        <v>209</v>
      </c>
      <c r="B155" s="488">
        <v>5</v>
      </c>
      <c r="C155" s="465" t="s">
        <v>301</v>
      </c>
      <c r="D155" s="490" t="s">
        <v>7</v>
      </c>
      <c r="E155" s="723">
        <f>'C.II.1.7.5'!F131</f>
        <v>5973.14</v>
      </c>
      <c r="F155" s="503">
        <f>'C.II.1.7.5'!G131</f>
        <v>5973.14</v>
      </c>
      <c r="G155" s="503">
        <f>'C.II.1.7.5'!H131</f>
        <v>5973.14</v>
      </c>
      <c r="H155" s="503">
        <f>'C.II.1.7.5'!I131</f>
        <v>5973.14</v>
      </c>
      <c r="I155" s="503">
        <f>'C.II.1.7.5'!J131</f>
        <v>5975.28</v>
      </c>
      <c r="J155" s="491" t="s">
        <v>699</v>
      </c>
      <c r="K155" s="492"/>
      <c r="L155" s="492" t="s">
        <v>831</v>
      </c>
      <c r="N155" s="400"/>
      <c r="P155" s="401"/>
    </row>
    <row r="156" spans="1:16" ht="31.5">
      <c r="A156" s="496">
        <v>210</v>
      </c>
      <c r="B156" s="488">
        <v>6</v>
      </c>
      <c r="C156" s="465" t="s">
        <v>302</v>
      </c>
      <c r="D156" s="490" t="s">
        <v>7</v>
      </c>
      <c r="E156" s="723">
        <f>'C.II.1.7.6'!F23</f>
        <v>639.30999999999995</v>
      </c>
      <c r="F156" s="503">
        <f>'C.II.1.7.6'!G23</f>
        <v>639.30999999999995</v>
      </c>
      <c r="G156" s="503">
        <f>'C.II.1.7.6'!H23</f>
        <v>639.30999999999995</v>
      </c>
      <c r="H156" s="503">
        <f>'C.II.1.7.6'!I23</f>
        <v>639.30999999999995</v>
      </c>
      <c r="I156" s="503">
        <f>'C.II.1.7.6'!J23</f>
        <v>358.56</v>
      </c>
      <c r="J156" s="491" t="s">
        <v>698</v>
      </c>
      <c r="K156" s="492"/>
      <c r="L156" s="492" t="s">
        <v>815</v>
      </c>
      <c r="N156" s="400"/>
      <c r="P156" s="401"/>
    </row>
    <row r="157" spans="1:16" hidden="1">
      <c r="A157" s="487"/>
      <c r="B157" s="488"/>
      <c r="C157" s="462" t="s">
        <v>303</v>
      </c>
      <c r="D157" s="490" t="s">
        <v>7</v>
      </c>
      <c r="E157" s="461">
        <v>0</v>
      </c>
      <c r="F157" s="503"/>
      <c r="G157" s="503"/>
      <c r="H157" s="503"/>
      <c r="I157" s="503"/>
      <c r="J157" s="491"/>
      <c r="K157" s="492"/>
      <c r="L157" s="492"/>
      <c r="N157" s="400"/>
      <c r="P157" s="401"/>
    </row>
    <row r="158" spans="1:16">
      <c r="A158" s="487"/>
      <c r="B158" s="493" t="s">
        <v>119</v>
      </c>
      <c r="C158" s="489" t="s">
        <v>206</v>
      </c>
      <c r="D158" s="490" t="s">
        <v>153</v>
      </c>
      <c r="E158" s="461" t="s">
        <v>326</v>
      </c>
      <c r="F158" s="503"/>
      <c r="G158" s="503"/>
      <c r="H158" s="503"/>
      <c r="I158" s="503"/>
      <c r="J158" s="491" t="s">
        <v>701</v>
      </c>
      <c r="K158" s="492"/>
      <c r="L158" s="492"/>
      <c r="N158" s="400"/>
      <c r="P158" s="401"/>
    </row>
    <row r="159" spans="1:16" ht="15">
      <c r="A159" s="496">
        <v>211</v>
      </c>
      <c r="B159" s="488">
        <v>1</v>
      </c>
      <c r="C159" s="462" t="s">
        <v>304</v>
      </c>
      <c r="D159" s="490" t="s">
        <v>234</v>
      </c>
      <c r="E159" s="461">
        <f>'C.II.2.1'!F14</f>
        <v>54.67</v>
      </c>
      <c r="F159" s="503">
        <f>'C.II.2.1'!G14</f>
        <v>54.67</v>
      </c>
      <c r="G159" s="503">
        <f>'C.II.2.1'!H14</f>
        <v>54.67</v>
      </c>
      <c r="H159" s="503">
        <f>'C.II.2.1'!I14</f>
        <v>54.67</v>
      </c>
      <c r="I159" s="503">
        <f>'C.II.2.1'!J14</f>
        <v>98.8</v>
      </c>
      <c r="J159" s="547" t="s">
        <v>677</v>
      </c>
      <c r="K159" s="534"/>
      <c r="L159" s="534" t="s">
        <v>832</v>
      </c>
      <c r="M159" s="471" t="s">
        <v>705</v>
      </c>
      <c r="N159" s="400"/>
      <c r="P159" s="401"/>
    </row>
    <row r="160" spans="1:16" ht="15">
      <c r="A160" s="496">
        <v>212</v>
      </c>
      <c r="B160" s="488">
        <f>B159+1</f>
        <v>2</v>
      </c>
      <c r="C160" s="462" t="s">
        <v>305</v>
      </c>
      <c r="D160" s="490" t="s">
        <v>234</v>
      </c>
      <c r="E160" s="461">
        <f>'C.II.2.2'!F15</f>
        <v>54.67</v>
      </c>
      <c r="F160" s="503">
        <f>'C.II.2.2'!G15</f>
        <v>54.67</v>
      </c>
      <c r="G160" s="503">
        <f>'C.II.2.2'!H15</f>
        <v>57.39</v>
      </c>
      <c r="H160" s="503">
        <f>'C.II.2.2'!I15</f>
        <v>54.67</v>
      </c>
      <c r="I160" s="503">
        <f>'C.II.2.2'!J15</f>
        <v>98.8</v>
      </c>
      <c r="J160" s="547"/>
      <c r="K160" s="534"/>
      <c r="L160" s="534"/>
      <c r="M160" s="471" t="s">
        <v>706</v>
      </c>
      <c r="N160" s="400"/>
      <c r="P160" s="401"/>
    </row>
    <row r="161" spans="1:16" ht="15">
      <c r="A161" s="496">
        <v>213</v>
      </c>
      <c r="B161" s="488">
        <f t="shared" si="2"/>
        <v>3</v>
      </c>
      <c r="C161" s="462" t="s">
        <v>306</v>
      </c>
      <c r="D161" s="490" t="s">
        <v>234</v>
      </c>
      <c r="E161" s="461">
        <f>'C.II.2.3'!F21</f>
        <v>114.78</v>
      </c>
      <c r="F161" s="503">
        <f>'C.II.2.3'!G21</f>
        <v>114.78</v>
      </c>
      <c r="G161" s="503">
        <f>'C.II.2.3'!H21</f>
        <v>114.78</v>
      </c>
      <c r="H161" s="503">
        <f>'C.II.2.3'!I21</f>
        <v>114.78</v>
      </c>
      <c r="I161" s="503">
        <f>'C.II.2.3'!J21</f>
        <v>98.8</v>
      </c>
      <c r="J161" s="547"/>
      <c r="K161" s="534"/>
      <c r="L161" s="534"/>
      <c r="M161" s="471" t="s">
        <v>705</v>
      </c>
      <c r="N161" s="400"/>
      <c r="P161" s="401"/>
    </row>
    <row r="162" spans="1:16" ht="15">
      <c r="A162" s="496">
        <v>214</v>
      </c>
      <c r="B162" s="488">
        <f t="shared" si="2"/>
        <v>4</v>
      </c>
      <c r="C162" s="462" t="s">
        <v>307</v>
      </c>
      <c r="D162" s="490" t="s">
        <v>7</v>
      </c>
      <c r="E162" s="461">
        <v>562.4</v>
      </c>
      <c r="F162" s="503">
        <f>'C.II.2.4'!G17</f>
        <v>288.60000000000002</v>
      </c>
      <c r="G162" s="503">
        <f>'C.II.2.4'!H17</f>
        <v>288.60000000000002</v>
      </c>
      <c r="H162" s="503">
        <f>'C.II.2.4'!I17</f>
        <v>288.60000000000002</v>
      </c>
      <c r="I162" s="503">
        <f>'C.II.2.4'!J17</f>
        <v>562.4</v>
      </c>
      <c r="J162" s="547"/>
      <c r="K162" s="492"/>
      <c r="L162" s="492" t="s">
        <v>833</v>
      </c>
      <c r="M162" s="471" t="s">
        <v>707</v>
      </c>
      <c r="N162" s="400"/>
      <c r="P162" s="401"/>
    </row>
    <row r="163" spans="1:16">
      <c r="A163" s="496">
        <v>215</v>
      </c>
      <c r="B163" s="488">
        <f t="shared" si="2"/>
        <v>5</v>
      </c>
      <c r="C163" s="462" t="s">
        <v>308</v>
      </c>
      <c r="D163" s="490" t="s">
        <v>7</v>
      </c>
      <c r="E163" s="503">
        <f>'C.II.2.5'!F17</f>
        <v>5084.32</v>
      </c>
      <c r="F163" s="503">
        <f>'C.II.2.5'!G17</f>
        <v>5084.32</v>
      </c>
      <c r="G163" s="503">
        <f>'C.II.2.5'!H17</f>
        <v>5084.32</v>
      </c>
      <c r="H163" s="503">
        <f>'C.II.2.5'!I17</f>
        <v>5084.32</v>
      </c>
      <c r="I163" s="503">
        <f>'C.II.2.5'!J17</f>
        <v>2661.73</v>
      </c>
      <c r="J163" s="491"/>
      <c r="K163" s="492"/>
      <c r="L163" s="492" t="s">
        <v>834</v>
      </c>
      <c r="N163" s="400"/>
      <c r="P163" s="401"/>
    </row>
    <row r="164" spans="1:16">
      <c r="A164" s="496">
        <v>216</v>
      </c>
      <c r="B164" s="488">
        <f t="shared" si="2"/>
        <v>6</v>
      </c>
      <c r="C164" s="462" t="s">
        <v>29</v>
      </c>
      <c r="D164" s="490" t="s">
        <v>7</v>
      </c>
      <c r="E164" s="461">
        <v>205.4</v>
      </c>
      <c r="F164" s="503"/>
      <c r="G164" s="503"/>
      <c r="H164" s="503"/>
      <c r="I164" s="503"/>
      <c r="J164" s="491" t="s">
        <v>677</v>
      </c>
      <c r="K164" s="500"/>
      <c r="L164" s="500" t="s">
        <v>677</v>
      </c>
      <c r="N164" s="400"/>
      <c r="P164" s="401"/>
    </row>
    <row r="165" spans="1:16" ht="15">
      <c r="A165" s="496">
        <v>217</v>
      </c>
      <c r="B165" s="488">
        <f t="shared" si="2"/>
        <v>7</v>
      </c>
      <c r="C165" s="462" t="s">
        <v>309</v>
      </c>
      <c r="D165" s="490" t="s">
        <v>7</v>
      </c>
      <c r="E165" s="461">
        <v>271.3</v>
      </c>
      <c r="F165" s="503">
        <f>'C.II.2.7'!G17</f>
        <v>142.34</v>
      </c>
      <c r="G165" s="503">
        <f>'C.II.2.7'!H17</f>
        <v>142.34</v>
      </c>
      <c r="H165" s="503">
        <f>'C.II.2.7'!I17</f>
        <v>142.34</v>
      </c>
      <c r="I165" s="503">
        <f>'C.II.2.7'!J17</f>
        <v>271.3</v>
      </c>
      <c r="J165" s="547" t="s">
        <v>677</v>
      </c>
      <c r="K165" s="492"/>
      <c r="L165" s="492" t="s">
        <v>792</v>
      </c>
      <c r="N165" s="400"/>
      <c r="P165" s="401"/>
    </row>
    <row r="166" spans="1:16">
      <c r="A166" s="496">
        <v>218</v>
      </c>
      <c r="B166" s="488">
        <f t="shared" si="2"/>
        <v>8</v>
      </c>
      <c r="C166" s="462" t="s">
        <v>123</v>
      </c>
      <c r="D166" s="490" t="s">
        <v>7</v>
      </c>
      <c r="E166" s="461">
        <v>271.3</v>
      </c>
      <c r="F166" s="503">
        <f>'C.II.2.8'!G17</f>
        <v>142.34</v>
      </c>
      <c r="G166" s="503">
        <f>'C.II.2.8'!H17</f>
        <v>142.34</v>
      </c>
      <c r="H166" s="503">
        <f>'C.II.2.8'!I17</f>
        <v>142.34</v>
      </c>
      <c r="I166" s="503">
        <f>'C.II.2.8'!J17</f>
        <v>142.34</v>
      </c>
      <c r="J166" s="547"/>
      <c r="K166" s="500"/>
      <c r="L166" s="500" t="s">
        <v>677</v>
      </c>
      <c r="N166" s="400"/>
      <c r="P166" s="401"/>
    </row>
    <row r="167" spans="1:16">
      <c r="A167" s="496">
        <v>219</v>
      </c>
      <c r="B167" s="488">
        <f t="shared" si="2"/>
        <v>9</v>
      </c>
      <c r="C167" s="462" t="s">
        <v>310</v>
      </c>
      <c r="D167" s="490" t="s">
        <v>7</v>
      </c>
      <c r="E167" s="461">
        <v>2233.0300000000002</v>
      </c>
      <c r="F167" s="503">
        <f>'C.II.2.9'!G33</f>
        <v>978.72</v>
      </c>
      <c r="G167" s="503">
        <f>'C.II.2.9'!H33</f>
        <v>978.72</v>
      </c>
      <c r="H167" s="503">
        <f>'C.II.2.9'!I33</f>
        <v>978.72</v>
      </c>
      <c r="I167" s="503">
        <f>'C.II.2.9'!J33</f>
        <v>2233.0300000000002</v>
      </c>
      <c r="J167" s="491" t="s">
        <v>677</v>
      </c>
      <c r="K167" s="492"/>
      <c r="L167" s="492" t="s">
        <v>833</v>
      </c>
      <c r="M167" s="471" t="s">
        <v>786</v>
      </c>
      <c r="N167" s="400"/>
      <c r="P167" s="401"/>
    </row>
    <row r="168" spans="1:16">
      <c r="A168" s="496">
        <v>220</v>
      </c>
      <c r="B168" s="488">
        <f t="shared" si="2"/>
        <v>10</v>
      </c>
      <c r="C168" s="462" t="s">
        <v>311</v>
      </c>
      <c r="D168" s="490" t="s">
        <v>8</v>
      </c>
      <c r="E168" s="461">
        <v>1.18</v>
      </c>
      <c r="F168" s="503"/>
      <c r="G168" s="503"/>
      <c r="H168" s="503"/>
      <c r="I168" s="503"/>
      <c r="J168" s="463"/>
      <c r="K168" s="464"/>
      <c r="L168" s="464"/>
      <c r="N168" s="400"/>
      <c r="P168" s="401"/>
    </row>
    <row r="169" spans="1:16" ht="30">
      <c r="A169" s="496">
        <v>221</v>
      </c>
      <c r="B169" s="488">
        <f t="shared" si="2"/>
        <v>11</v>
      </c>
      <c r="C169" s="465" t="s">
        <v>312</v>
      </c>
      <c r="D169" s="490" t="s">
        <v>7</v>
      </c>
      <c r="E169" s="461">
        <v>5.3</v>
      </c>
      <c r="F169" s="461">
        <f>'C.II.2.11'!G17</f>
        <v>5.2</v>
      </c>
      <c r="G169" s="461">
        <f>'C.II.2.11'!H17</f>
        <v>5.2</v>
      </c>
      <c r="H169" s="461">
        <f>'C.II.2.11'!I17</f>
        <v>5.3</v>
      </c>
      <c r="I169" s="461">
        <f>'C.II.2.11'!J17</f>
        <v>5.2</v>
      </c>
      <c r="J169" s="491" t="s">
        <v>677</v>
      </c>
      <c r="K169" s="492"/>
      <c r="L169" s="492" t="s">
        <v>832</v>
      </c>
      <c r="N169" s="400"/>
      <c r="P169" s="401"/>
    </row>
    <row r="170" spans="1:16">
      <c r="A170" s="487"/>
      <c r="B170" s="493" t="s">
        <v>120</v>
      </c>
      <c r="C170" s="489" t="s">
        <v>313</v>
      </c>
      <c r="D170" s="490" t="s">
        <v>153</v>
      </c>
      <c r="E170" s="461" t="s">
        <v>326</v>
      </c>
      <c r="F170" s="461"/>
      <c r="G170" s="461"/>
      <c r="H170" s="461"/>
      <c r="I170" s="461"/>
      <c r="J170" s="491"/>
      <c r="K170" s="492"/>
      <c r="L170" s="492"/>
      <c r="N170" s="400"/>
      <c r="P170" s="401"/>
    </row>
    <row r="171" spans="1:16">
      <c r="A171" s="487"/>
      <c r="B171" s="493" t="s">
        <v>314</v>
      </c>
      <c r="C171" s="489" t="s">
        <v>315</v>
      </c>
      <c r="D171" s="490" t="s">
        <v>153</v>
      </c>
      <c r="E171" s="461" t="s">
        <v>326</v>
      </c>
      <c r="F171" s="461"/>
      <c r="G171" s="461"/>
      <c r="H171" s="461"/>
      <c r="I171" s="461"/>
      <c r="J171" s="491" t="s">
        <v>701</v>
      </c>
      <c r="K171" s="492"/>
      <c r="L171" s="492"/>
      <c r="N171" s="400"/>
      <c r="P171" s="401"/>
    </row>
    <row r="172" spans="1:16">
      <c r="A172" s="496">
        <v>222</v>
      </c>
      <c r="B172" s="488">
        <v>1</v>
      </c>
      <c r="C172" s="462" t="s">
        <v>298</v>
      </c>
      <c r="D172" s="490" t="s">
        <v>27</v>
      </c>
      <c r="E172" s="461">
        <f>'C.III.1.1'!F14</f>
        <v>1351</v>
      </c>
      <c r="F172" s="461">
        <f>'C.III.1.1'!G14</f>
        <v>1351</v>
      </c>
      <c r="G172" s="461">
        <f>'C.III.1.1'!H14</f>
        <v>1351</v>
      </c>
      <c r="H172" s="461">
        <f>'C.III.1.1'!I14</f>
        <v>1351</v>
      </c>
      <c r="I172" s="461">
        <f>'C.III.1.1'!J14</f>
        <v>1351</v>
      </c>
      <c r="J172" s="491"/>
      <c r="K172" s="492"/>
      <c r="L172" s="492" t="s">
        <v>833</v>
      </c>
      <c r="N172" s="400"/>
      <c r="P172" s="401"/>
    </row>
    <row r="173" spans="1:16" ht="15" customHeight="1">
      <c r="A173" s="496">
        <v>223</v>
      </c>
      <c r="B173" s="488">
        <f>B172+1</f>
        <v>2</v>
      </c>
      <c r="C173" s="462" t="s">
        <v>316</v>
      </c>
      <c r="D173" s="490" t="s">
        <v>7</v>
      </c>
      <c r="E173" s="724">
        <v>206.45</v>
      </c>
      <c r="F173" s="461">
        <f>'C.III.1.2'!G14</f>
        <v>198</v>
      </c>
      <c r="G173" s="461">
        <f>'C.III.1.2'!H14</f>
        <v>198</v>
      </c>
      <c r="H173" s="461">
        <f>'C.III.1.2'!I14</f>
        <v>198</v>
      </c>
      <c r="I173" s="461">
        <f>'C.III.1.2'!J14</f>
        <v>198</v>
      </c>
      <c r="J173" s="463"/>
      <c r="K173" s="492"/>
      <c r="L173" s="492" t="s">
        <v>833</v>
      </c>
      <c r="N173" s="400"/>
      <c r="P173" s="401"/>
    </row>
    <row r="174" spans="1:16" ht="15" customHeight="1">
      <c r="A174" s="496">
        <v>224</v>
      </c>
      <c r="B174" s="488">
        <f t="shared" si="2"/>
        <v>3</v>
      </c>
      <c r="C174" s="462" t="s">
        <v>77</v>
      </c>
      <c r="D174" s="490" t="s">
        <v>7</v>
      </c>
      <c r="E174" s="461">
        <f>+E173</f>
        <v>206.45</v>
      </c>
      <c r="F174" s="461">
        <f t="shared" ref="F174:I174" si="3">F173</f>
        <v>198</v>
      </c>
      <c r="G174" s="461">
        <f t="shared" si="3"/>
        <v>198</v>
      </c>
      <c r="H174" s="461">
        <f t="shared" si="3"/>
        <v>198</v>
      </c>
      <c r="I174" s="461">
        <f t="shared" si="3"/>
        <v>198</v>
      </c>
      <c r="J174" s="463" t="s">
        <v>677</v>
      </c>
      <c r="K174" s="492"/>
      <c r="L174" s="492" t="s">
        <v>833</v>
      </c>
      <c r="N174" s="400"/>
      <c r="P174" s="401"/>
    </row>
    <row r="175" spans="1:16">
      <c r="A175" s="496">
        <v>225</v>
      </c>
      <c r="B175" s="488">
        <f t="shared" si="2"/>
        <v>4</v>
      </c>
      <c r="C175" s="465" t="s">
        <v>317</v>
      </c>
      <c r="D175" s="490" t="s">
        <v>7</v>
      </c>
      <c r="E175" s="461">
        <v>1195.83</v>
      </c>
      <c r="F175" s="461">
        <f>'C.III.1.4'!G14</f>
        <v>1195.83</v>
      </c>
      <c r="G175" s="461">
        <f>'C.III.1.4'!H14</f>
        <v>1195.83</v>
      </c>
      <c r="H175" s="461">
        <f>'C.III.1.4'!I14</f>
        <v>1195.83</v>
      </c>
      <c r="I175" s="461">
        <f>'C.III.1.4'!J14</f>
        <v>1195.83</v>
      </c>
      <c r="J175" s="491"/>
      <c r="K175" s="492"/>
      <c r="L175" s="492" t="s">
        <v>792</v>
      </c>
      <c r="M175" s="471" t="s">
        <v>785</v>
      </c>
      <c r="N175" s="400"/>
      <c r="P175" s="401"/>
    </row>
    <row r="176" spans="1:16" hidden="1">
      <c r="A176" s="496"/>
      <c r="B176" s="488"/>
      <c r="C176" s="462" t="s">
        <v>318</v>
      </c>
      <c r="D176" s="490" t="s">
        <v>7</v>
      </c>
      <c r="E176" s="461">
        <v>0</v>
      </c>
      <c r="F176" s="461"/>
      <c r="G176" s="461"/>
      <c r="H176" s="461"/>
      <c r="I176" s="461"/>
      <c r="J176" s="491"/>
      <c r="K176" s="492"/>
      <c r="L176" s="492"/>
      <c r="N176" s="400"/>
      <c r="P176" s="401"/>
    </row>
    <row r="177" spans="1:16">
      <c r="A177" s="496">
        <v>226</v>
      </c>
      <c r="B177" s="488">
        <f>B175+1</f>
        <v>5</v>
      </c>
      <c r="C177" s="462" t="s">
        <v>319</v>
      </c>
      <c r="D177" s="490" t="s">
        <v>7</v>
      </c>
      <c r="E177" s="461">
        <v>148.94999999999999</v>
      </c>
      <c r="F177" s="461">
        <f>'C.III.1.5'!G14</f>
        <v>148.94999999999999</v>
      </c>
      <c r="G177" s="461">
        <f>'C.III.1.5'!H14</f>
        <v>148.94999999999999</v>
      </c>
      <c r="H177" s="461">
        <f>'C.III.1.5'!I14</f>
        <v>148.94999999999999</v>
      </c>
      <c r="I177" s="461">
        <f>'C.III.1.5'!J14</f>
        <v>148.94999999999999</v>
      </c>
      <c r="J177" s="491"/>
      <c r="K177" s="492"/>
      <c r="L177" s="492" t="s">
        <v>792</v>
      </c>
      <c r="M177" s="471" t="s">
        <v>788</v>
      </c>
      <c r="N177" s="400"/>
      <c r="P177" s="401"/>
    </row>
    <row r="178" spans="1:16">
      <c r="A178" s="496">
        <v>227</v>
      </c>
      <c r="B178" s="488">
        <f t="shared" si="2"/>
        <v>6</v>
      </c>
      <c r="C178" s="462" t="s">
        <v>320</v>
      </c>
      <c r="D178" s="490" t="s">
        <v>7</v>
      </c>
      <c r="E178" s="461">
        <v>31.1</v>
      </c>
      <c r="F178" s="461">
        <f>'C.III.1.6'!G12</f>
        <v>31.1</v>
      </c>
      <c r="G178" s="461">
        <f>'C.III.1.6'!H12</f>
        <v>31.1</v>
      </c>
      <c r="H178" s="461">
        <f>'C.III.1.6'!I12</f>
        <v>31.1</v>
      </c>
      <c r="I178" s="461">
        <f>'C.III.1.6'!J12</f>
        <v>31.1</v>
      </c>
      <c r="J178" s="491"/>
      <c r="K178" s="492"/>
      <c r="L178" s="492" t="s">
        <v>792</v>
      </c>
      <c r="N178" s="400"/>
      <c r="P178" s="401"/>
    </row>
    <row r="179" spans="1:16" hidden="1">
      <c r="A179" s="496" t="s">
        <v>153</v>
      </c>
      <c r="B179" s="488"/>
      <c r="C179" s="462" t="s">
        <v>321</v>
      </c>
      <c r="D179" s="490" t="s">
        <v>7</v>
      </c>
      <c r="E179" s="461">
        <v>0</v>
      </c>
      <c r="F179" s="461"/>
      <c r="G179" s="461"/>
      <c r="H179" s="461"/>
      <c r="I179" s="461"/>
      <c r="J179" s="491"/>
      <c r="K179" s="492"/>
      <c r="L179" s="492"/>
      <c r="N179" s="400"/>
      <c r="P179" s="401"/>
    </row>
    <row r="180" spans="1:16">
      <c r="A180" s="496"/>
      <c r="B180" s="493" t="s">
        <v>121</v>
      </c>
      <c r="C180" s="466" t="s">
        <v>322</v>
      </c>
      <c r="D180" s="490" t="s">
        <v>153</v>
      </c>
      <c r="E180" s="461" t="s">
        <v>326</v>
      </c>
      <c r="F180" s="461"/>
      <c r="G180" s="461"/>
      <c r="H180" s="461"/>
      <c r="I180" s="461"/>
      <c r="J180" s="491"/>
      <c r="K180" s="492"/>
      <c r="L180" s="492"/>
      <c r="N180" s="400"/>
      <c r="P180" s="401"/>
    </row>
    <row r="181" spans="1:16">
      <c r="A181" s="496">
        <v>228</v>
      </c>
      <c r="B181" s="488" t="s">
        <v>323</v>
      </c>
      <c r="C181" s="462" t="s">
        <v>225</v>
      </c>
      <c r="D181" s="490" t="s">
        <v>7</v>
      </c>
      <c r="E181" s="461">
        <v>180.05</v>
      </c>
      <c r="F181" s="461">
        <f>'C.III.2.1'!G14</f>
        <v>180.05</v>
      </c>
      <c r="G181" s="461">
        <f>'C.III.2.1'!H14</f>
        <v>180.05</v>
      </c>
      <c r="H181" s="461">
        <f>'C.III.2.1'!I14</f>
        <v>180.05</v>
      </c>
      <c r="I181" s="461">
        <f>'C.III.2.1'!J14</f>
        <v>180.05</v>
      </c>
      <c r="J181" s="491"/>
      <c r="K181" s="492"/>
      <c r="L181" s="492" t="s">
        <v>792</v>
      </c>
      <c r="N181" s="400"/>
      <c r="P181" s="401"/>
    </row>
    <row r="182" spans="1:16" ht="44.25" customHeight="1">
      <c r="B182" s="456" t="s">
        <v>128</v>
      </c>
      <c r="C182" s="457" t="s">
        <v>325</v>
      </c>
      <c r="D182" s="458"/>
      <c r="E182" s="467"/>
      <c r="F182" s="467"/>
      <c r="G182" s="467"/>
      <c r="H182" s="467"/>
      <c r="I182" s="467"/>
      <c r="J182" s="468"/>
      <c r="K182" s="469"/>
      <c r="L182" s="469"/>
      <c r="M182" s="399"/>
      <c r="N182" s="400"/>
      <c r="P182" s="401"/>
    </row>
    <row r="183" spans="1:16">
      <c r="B183" s="510"/>
      <c r="C183" s="510"/>
      <c r="D183" s="510"/>
      <c r="E183" s="510"/>
      <c r="F183" s="510"/>
      <c r="G183" s="510"/>
      <c r="H183" s="510"/>
      <c r="I183" s="510"/>
      <c r="M183" s="398"/>
    </row>
    <row r="184" spans="1:16" ht="15.75" customHeight="1">
      <c r="B184" s="542" t="s">
        <v>130</v>
      </c>
      <c r="C184" s="542"/>
      <c r="D184" s="542"/>
      <c r="E184" s="542"/>
      <c r="F184" s="542" t="s">
        <v>105</v>
      </c>
      <c r="G184" s="542"/>
      <c r="H184" s="542"/>
      <c r="I184" s="542"/>
      <c r="J184" s="542"/>
      <c r="K184" s="509"/>
      <c r="L184" s="509"/>
      <c r="M184" s="398"/>
    </row>
    <row r="185" spans="1:16">
      <c r="B185" s="510"/>
      <c r="C185" s="510"/>
      <c r="D185" s="510"/>
      <c r="E185" s="510"/>
      <c r="F185" s="510"/>
      <c r="G185" s="510"/>
      <c r="H185" s="510"/>
      <c r="I185" s="510"/>
      <c r="M185" s="398"/>
    </row>
    <row r="186" spans="1:16">
      <c r="B186" s="502"/>
      <c r="C186" s="510"/>
      <c r="D186" s="510"/>
      <c r="E186" s="510"/>
      <c r="F186" s="510"/>
      <c r="G186" s="510"/>
      <c r="H186" s="510"/>
      <c r="I186" s="510"/>
      <c r="M186" s="398"/>
    </row>
    <row r="187" spans="1:16">
      <c r="B187" s="510"/>
      <c r="C187" s="510"/>
      <c r="D187" s="510"/>
      <c r="E187" s="510"/>
      <c r="F187" s="510"/>
      <c r="G187" s="510"/>
      <c r="H187" s="510"/>
      <c r="I187" s="510"/>
      <c r="M187" s="398"/>
    </row>
    <row r="188" spans="1:16">
      <c r="B188" s="510"/>
      <c r="C188" s="510"/>
      <c r="D188" s="510"/>
      <c r="E188" s="510"/>
      <c r="F188" s="510"/>
      <c r="G188" s="510"/>
      <c r="H188" s="510"/>
      <c r="I188" s="510"/>
      <c r="M188" s="398"/>
    </row>
    <row r="189" spans="1:16">
      <c r="B189" s="511"/>
      <c r="D189" s="511"/>
      <c r="M189" s="398"/>
    </row>
    <row r="190" spans="1:16" ht="15.75" customHeight="1">
      <c r="B190" s="512"/>
      <c r="C190" s="512"/>
      <c r="D190" s="512"/>
      <c r="E190" s="512"/>
      <c r="F190" s="512"/>
      <c r="G190" s="512"/>
      <c r="H190" s="512"/>
      <c r="I190" s="512"/>
      <c r="J190" s="513"/>
      <c r="K190" s="512"/>
      <c r="L190" s="512"/>
      <c r="M190" s="398"/>
    </row>
    <row r="191" spans="1:16" s="471" customFormat="1">
      <c r="B191" s="398"/>
      <c r="C191" s="398"/>
      <c r="D191" s="398"/>
      <c r="E191" s="398"/>
      <c r="F191" s="398"/>
      <c r="G191" s="398"/>
      <c r="H191" s="398"/>
      <c r="I191" s="398"/>
      <c r="J191" s="501"/>
      <c r="K191" s="398"/>
      <c r="L191" s="398"/>
      <c r="N191" s="398"/>
      <c r="O191" s="398"/>
      <c r="P191" s="398"/>
    </row>
  </sheetData>
  <protectedRanges>
    <protectedRange sqref="B20:C20 B12:D19" name="Range1"/>
    <protectedRange sqref="C21:D181" name="Range1_1"/>
    <protectedRange sqref="B21:B181" name="Range1_1_3_2_7"/>
  </protectedRanges>
  <mergeCells count="34">
    <mergeCell ref="B184:E184"/>
    <mergeCell ref="F184:J184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J38:J42"/>
    <mergeCell ref="J147:J148"/>
    <mergeCell ref="J151:J152"/>
    <mergeCell ref="J159:J162"/>
    <mergeCell ref="J165:J166"/>
    <mergeCell ref="K151:K152"/>
    <mergeCell ref="K159:K161"/>
    <mergeCell ref="K8:K9"/>
    <mergeCell ref="B1:K2"/>
    <mergeCell ref="B3:K4"/>
    <mergeCell ref="B5:K5"/>
    <mergeCell ref="B6:K6"/>
    <mergeCell ref="K38:K42"/>
    <mergeCell ref="K93:K95"/>
    <mergeCell ref="K105:K107"/>
    <mergeCell ref="K108:K110"/>
    <mergeCell ref="L151:L152"/>
    <mergeCell ref="L159:L161"/>
    <mergeCell ref="L8:L9"/>
    <mergeCell ref="L38:L42"/>
    <mergeCell ref="L93:L95"/>
    <mergeCell ref="L105:L107"/>
    <mergeCell ref="L108:L110"/>
  </mergeCells>
  <pageMargins left="0.7" right="0.7" top="0.75" bottom="0.75" header="0.3" footer="0.3"/>
  <pageSetup paperSize="9" scale="5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CC00CC"/>
  </sheetPr>
  <dimension ref="A1:AI207"/>
  <sheetViews>
    <sheetView topLeftCell="A5" zoomScale="85" zoomScaleNormal="85" zoomScaleSheetLayoutView="85" workbookViewId="0">
      <pane xSplit="5" ySplit="6" topLeftCell="F152" activePane="bottomRight" state="frozen"/>
      <selection activeCell="A5" sqref="A5"/>
      <selection pane="topRight" activeCell="F5" sqref="F5"/>
      <selection pane="bottomLeft" activeCell="A11" sqref="A11"/>
      <selection pane="bottomRight" activeCell="Q160" sqref="Q160"/>
    </sheetView>
  </sheetViews>
  <sheetFormatPr defaultRowHeight="11.25"/>
  <cols>
    <col min="1" max="2" width="6" style="179" customWidth="1"/>
    <col min="3" max="3" width="34.28515625" style="179" customWidth="1"/>
    <col min="4" max="4" width="8.28515625" style="217" customWidth="1"/>
    <col min="5" max="5" width="11.85546875" style="218" customWidth="1"/>
    <col min="6" max="31" width="4.85546875" style="179" customWidth="1"/>
    <col min="32" max="32" width="11.7109375" style="179" customWidth="1"/>
    <col min="33" max="33" width="10.140625" style="179" customWidth="1"/>
    <col min="34" max="16384" width="9.140625" style="179"/>
  </cols>
  <sheetData>
    <row r="1" spans="1:35">
      <c r="B1" s="564" t="s">
        <v>87</v>
      </c>
      <c r="C1" s="564"/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  <c r="X1" s="564"/>
      <c r="Y1" s="564"/>
      <c r="Z1" s="564"/>
      <c r="AA1" s="564"/>
      <c r="AB1" s="564"/>
      <c r="AC1" s="564"/>
      <c r="AD1" s="564"/>
      <c r="AE1" s="564"/>
      <c r="AF1" s="564"/>
    </row>
    <row r="2" spans="1:35" s="180" customFormat="1" ht="15">
      <c r="B2" s="564"/>
      <c r="C2" s="564"/>
      <c r="D2" s="564"/>
      <c r="E2" s="564"/>
      <c r="F2" s="564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  <c r="X2" s="564"/>
      <c r="Y2" s="564"/>
      <c r="Z2" s="564"/>
      <c r="AA2" s="564"/>
      <c r="AB2" s="564"/>
      <c r="AC2" s="564"/>
      <c r="AD2" s="564"/>
      <c r="AE2" s="564"/>
      <c r="AF2" s="564"/>
      <c r="AG2" s="181"/>
      <c r="AH2" s="181"/>
      <c r="AI2" s="181"/>
    </row>
    <row r="3" spans="1:35" s="182" customFormat="1" ht="15.75">
      <c r="B3" s="564" t="s">
        <v>598</v>
      </c>
      <c r="C3" s="564"/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  <c r="X3" s="564"/>
      <c r="Y3" s="564"/>
      <c r="Z3" s="564"/>
      <c r="AA3" s="564"/>
      <c r="AB3" s="564"/>
      <c r="AC3" s="564"/>
      <c r="AD3" s="564"/>
      <c r="AE3" s="564"/>
      <c r="AF3" s="564"/>
    </row>
    <row r="4" spans="1:35" s="183" customFormat="1" ht="23.25" customHeight="1">
      <c r="B4" s="565" t="s">
        <v>131</v>
      </c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  <c r="X4" s="565"/>
      <c r="Y4" s="565"/>
      <c r="Z4" s="565"/>
      <c r="AA4" s="565"/>
      <c r="AB4" s="565"/>
      <c r="AC4" s="565"/>
      <c r="AD4" s="565"/>
      <c r="AE4" s="565"/>
      <c r="AF4" s="565"/>
    </row>
    <row r="5" spans="1:35" s="184" customFormat="1" ht="15.75">
      <c r="B5" s="564" t="s">
        <v>335</v>
      </c>
      <c r="C5" s="564"/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  <c r="X5" s="564"/>
      <c r="Y5" s="564"/>
      <c r="Z5" s="564"/>
      <c r="AA5" s="564"/>
      <c r="AB5" s="564"/>
      <c r="AC5" s="564"/>
      <c r="AD5" s="564"/>
      <c r="AE5" s="564"/>
      <c r="AF5" s="564"/>
    </row>
    <row r="6" spans="1:35" s="184" customFormat="1" ht="16.5" thickBot="1">
      <c r="B6" s="566"/>
      <c r="C6" s="566"/>
      <c r="D6" s="566"/>
      <c r="E6" s="566"/>
      <c r="F6" s="566"/>
      <c r="G6" s="566"/>
      <c r="H6" s="566"/>
      <c r="I6" s="566"/>
      <c r="J6" s="566"/>
      <c r="K6" s="566"/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  <c r="AF6" s="566"/>
    </row>
    <row r="7" spans="1:35" s="185" customFormat="1" ht="21.95" customHeight="1" thickTop="1">
      <c r="B7" s="555" t="s">
        <v>10</v>
      </c>
      <c r="C7" s="557" t="s">
        <v>132</v>
      </c>
      <c r="D7" s="559" t="s">
        <v>133</v>
      </c>
      <c r="E7" s="561" t="s">
        <v>89</v>
      </c>
      <c r="F7" s="563" t="s">
        <v>134</v>
      </c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  <c r="X7" s="563"/>
      <c r="Y7" s="563"/>
      <c r="Z7" s="563"/>
      <c r="AA7" s="563"/>
      <c r="AB7" s="563"/>
      <c r="AC7" s="563"/>
      <c r="AD7" s="563"/>
      <c r="AE7" s="563"/>
      <c r="AF7" s="548" t="s">
        <v>89</v>
      </c>
    </row>
    <row r="8" spans="1:35" s="185" customFormat="1" ht="21.95" customHeight="1">
      <c r="B8" s="556"/>
      <c r="C8" s="558"/>
      <c r="D8" s="560"/>
      <c r="E8" s="562"/>
      <c r="F8" s="550" t="s">
        <v>135</v>
      </c>
      <c r="G8" s="551"/>
      <c r="H8" s="551"/>
      <c r="I8" s="551"/>
      <c r="J8" s="551"/>
      <c r="K8" s="552" t="s">
        <v>136</v>
      </c>
      <c r="L8" s="552"/>
      <c r="M8" s="552"/>
      <c r="N8" s="552"/>
      <c r="O8" s="552"/>
      <c r="P8" s="552"/>
      <c r="Q8" s="552"/>
      <c r="R8" s="552"/>
      <c r="S8" s="552"/>
      <c r="T8" s="552"/>
      <c r="U8" s="552"/>
      <c r="V8" s="552"/>
      <c r="W8" s="550" t="s">
        <v>137</v>
      </c>
      <c r="X8" s="551"/>
      <c r="Y8" s="551"/>
      <c r="Z8" s="551"/>
      <c r="AA8" s="551"/>
      <c r="AB8" s="551"/>
      <c r="AC8" s="551"/>
      <c r="AD8" s="551"/>
      <c r="AE8" s="551"/>
      <c r="AF8" s="549"/>
    </row>
    <row r="9" spans="1:35" s="185" customFormat="1" ht="38.25">
      <c r="B9" s="556"/>
      <c r="C9" s="558"/>
      <c r="D9" s="560"/>
      <c r="E9" s="562"/>
      <c r="F9" s="186" t="s">
        <v>138</v>
      </c>
      <c r="G9" s="186" t="s">
        <v>139</v>
      </c>
      <c r="H9" s="186" t="s">
        <v>140</v>
      </c>
      <c r="I9" s="186" t="s">
        <v>141</v>
      </c>
      <c r="J9" s="186" t="s">
        <v>142</v>
      </c>
      <c r="K9" s="186" t="s">
        <v>143</v>
      </c>
      <c r="L9" s="186" t="s">
        <v>144</v>
      </c>
      <c r="M9" s="186" t="s">
        <v>145</v>
      </c>
      <c r="N9" s="186" t="s">
        <v>146</v>
      </c>
      <c r="O9" s="186" t="s">
        <v>147</v>
      </c>
      <c r="P9" s="186" t="s">
        <v>148</v>
      </c>
      <c r="Q9" s="186" t="s">
        <v>149</v>
      </c>
      <c r="R9" s="186" t="s">
        <v>138</v>
      </c>
      <c r="S9" s="186" t="s">
        <v>139</v>
      </c>
      <c r="T9" s="186" t="s">
        <v>140</v>
      </c>
      <c r="U9" s="186" t="s">
        <v>141</v>
      </c>
      <c r="V9" s="186" t="s">
        <v>142</v>
      </c>
      <c r="W9" s="186" t="s">
        <v>143</v>
      </c>
      <c r="X9" s="186" t="s">
        <v>144</v>
      </c>
      <c r="Y9" s="186" t="s">
        <v>145</v>
      </c>
      <c r="Z9" s="186" t="s">
        <v>146</v>
      </c>
      <c r="AA9" s="186" t="s">
        <v>147</v>
      </c>
      <c r="AB9" s="186" t="s">
        <v>148</v>
      </c>
      <c r="AC9" s="186" t="s">
        <v>149</v>
      </c>
      <c r="AD9" s="186" t="s">
        <v>138</v>
      </c>
      <c r="AE9" s="186" t="s">
        <v>139</v>
      </c>
      <c r="AF9" s="549"/>
    </row>
    <row r="10" spans="1:35" s="185" customFormat="1" ht="14.25" customHeight="1">
      <c r="B10" s="187"/>
      <c r="C10" s="188"/>
      <c r="D10" s="189"/>
      <c r="E10" s="190"/>
      <c r="F10" s="186">
        <v>1</v>
      </c>
      <c r="G10" s="186">
        <f>F10+1</f>
        <v>2</v>
      </c>
      <c r="H10" s="186">
        <f t="shared" ref="H10:AC10" si="0">G10+1</f>
        <v>3</v>
      </c>
      <c r="I10" s="186">
        <f t="shared" si="0"/>
        <v>4</v>
      </c>
      <c r="J10" s="186">
        <f t="shared" si="0"/>
        <v>5</v>
      </c>
      <c r="K10" s="186">
        <f t="shared" si="0"/>
        <v>6</v>
      </c>
      <c r="L10" s="186">
        <f t="shared" si="0"/>
        <v>7</v>
      </c>
      <c r="M10" s="186">
        <f t="shared" si="0"/>
        <v>8</v>
      </c>
      <c r="N10" s="186">
        <f t="shared" si="0"/>
        <v>9</v>
      </c>
      <c r="O10" s="186">
        <f t="shared" si="0"/>
        <v>10</v>
      </c>
      <c r="P10" s="186">
        <f t="shared" si="0"/>
        <v>11</v>
      </c>
      <c r="Q10" s="186">
        <f t="shared" si="0"/>
        <v>12</v>
      </c>
      <c r="R10" s="186">
        <f t="shared" si="0"/>
        <v>13</v>
      </c>
      <c r="S10" s="186">
        <f t="shared" si="0"/>
        <v>14</v>
      </c>
      <c r="T10" s="186">
        <f t="shared" si="0"/>
        <v>15</v>
      </c>
      <c r="U10" s="186">
        <f t="shared" si="0"/>
        <v>16</v>
      </c>
      <c r="V10" s="186">
        <f t="shared" si="0"/>
        <v>17</v>
      </c>
      <c r="W10" s="186">
        <f t="shared" si="0"/>
        <v>18</v>
      </c>
      <c r="X10" s="186">
        <f t="shared" si="0"/>
        <v>19</v>
      </c>
      <c r="Y10" s="186">
        <f t="shared" si="0"/>
        <v>20</v>
      </c>
      <c r="Z10" s="186">
        <f t="shared" si="0"/>
        <v>21</v>
      </c>
      <c r="AA10" s="186">
        <f t="shared" si="0"/>
        <v>22</v>
      </c>
      <c r="AB10" s="186">
        <f t="shared" si="0"/>
        <v>23</v>
      </c>
      <c r="AC10" s="186">
        <f t="shared" si="0"/>
        <v>24</v>
      </c>
      <c r="AD10" s="186">
        <f t="shared" ref="AD10" si="1">AC10+1</f>
        <v>25</v>
      </c>
      <c r="AE10" s="186">
        <f t="shared" ref="AE10" si="2">AD10+1</f>
        <v>26</v>
      </c>
      <c r="AF10" s="191"/>
    </row>
    <row r="11" spans="1:35" s="185" customFormat="1" ht="30.75" customHeight="1">
      <c r="B11" s="192" t="s">
        <v>114</v>
      </c>
      <c r="C11" s="193" t="s">
        <v>115</v>
      </c>
      <c r="D11" s="193"/>
      <c r="E11" s="194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6"/>
    </row>
    <row r="12" spans="1:35" s="185" customFormat="1" ht="15">
      <c r="A12" s="197">
        <f>THKLQT!A12</f>
        <v>0</v>
      </c>
      <c r="B12" s="233" t="s">
        <v>150</v>
      </c>
      <c r="C12" s="234" t="s">
        <v>151</v>
      </c>
      <c r="D12" s="235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</row>
    <row r="13" spans="1:35" s="185" customFormat="1" ht="15">
      <c r="A13" s="197">
        <f>THKLQT!A13</f>
        <v>0</v>
      </c>
      <c r="B13" s="236" t="s">
        <v>116</v>
      </c>
      <c r="C13" s="237" t="s">
        <v>152</v>
      </c>
      <c r="D13" s="238" t="s">
        <v>153</v>
      </c>
      <c r="E13" s="231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206"/>
    </row>
    <row r="14" spans="1:35" s="185" customFormat="1" ht="15">
      <c r="A14" s="197">
        <f>THKLQT!A14</f>
        <v>0</v>
      </c>
      <c r="B14" s="239" t="s">
        <v>154</v>
      </c>
      <c r="C14" s="240" t="s">
        <v>155</v>
      </c>
      <c r="D14" s="241" t="s">
        <v>153</v>
      </c>
      <c r="E14" s="176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77"/>
      <c r="Z14" s="177"/>
      <c r="AA14" s="177"/>
      <c r="AB14" s="177"/>
      <c r="AC14" s="177"/>
      <c r="AD14" s="177"/>
      <c r="AE14" s="177"/>
      <c r="AF14" s="206"/>
    </row>
    <row r="15" spans="1:35" s="185" customFormat="1" ht="15">
      <c r="A15" s="197">
        <f>THKLQT!A15</f>
        <v>0</v>
      </c>
      <c r="B15" s="239"/>
      <c r="C15" s="240" t="s">
        <v>156</v>
      </c>
      <c r="D15" s="241"/>
      <c r="E15" s="176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  <c r="AA15" s="177"/>
      <c r="AB15" s="177"/>
      <c r="AC15" s="177"/>
      <c r="AD15" s="177"/>
      <c r="AE15" s="177"/>
      <c r="AF15" s="206"/>
    </row>
    <row r="16" spans="1:35" s="185" customFormat="1" ht="15" hidden="1">
      <c r="A16" s="197">
        <f>THKLQT!A16</f>
        <v>0</v>
      </c>
      <c r="B16" s="242"/>
      <c r="C16" s="243" t="s">
        <v>157</v>
      </c>
      <c r="D16" s="242" t="s">
        <v>7</v>
      </c>
      <c r="E16" s="176"/>
      <c r="F16" s="177"/>
      <c r="G16" s="177"/>
      <c r="H16" s="177"/>
      <c r="I16" s="177"/>
      <c r="J16" s="177"/>
      <c r="K16" s="177"/>
      <c r="L16" s="177"/>
      <c r="M16" s="177"/>
      <c r="N16" s="177"/>
      <c r="O16" s="177"/>
      <c r="P16" s="177"/>
      <c r="Q16" s="177"/>
      <c r="R16" s="177"/>
      <c r="S16" s="177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206"/>
    </row>
    <row r="17" spans="1:33" s="185" customFormat="1" ht="30" hidden="1">
      <c r="A17" s="197">
        <f>THKLQT!A17</f>
        <v>0</v>
      </c>
      <c r="B17" s="242"/>
      <c r="C17" s="243" t="s">
        <v>158</v>
      </c>
      <c r="D17" s="242" t="s">
        <v>8</v>
      </c>
      <c r="E17" s="176"/>
      <c r="F17" s="177"/>
      <c r="G17" s="177"/>
      <c r="H17" s="177"/>
      <c r="I17" s="177"/>
      <c r="J17" s="177"/>
      <c r="K17" s="177"/>
      <c r="L17" s="177"/>
      <c r="M17" s="177"/>
      <c r="N17" s="177"/>
      <c r="O17" s="177"/>
      <c r="P17" s="177"/>
      <c r="Q17" s="177"/>
      <c r="R17" s="177"/>
      <c r="S17" s="177"/>
      <c r="T17" s="177"/>
      <c r="U17" s="177"/>
      <c r="V17" s="177"/>
      <c r="W17" s="177"/>
      <c r="X17" s="177"/>
      <c r="Y17" s="177"/>
      <c r="Z17" s="177"/>
      <c r="AA17" s="177"/>
      <c r="AB17" s="177"/>
      <c r="AC17" s="177"/>
      <c r="AD17" s="177"/>
      <c r="AE17" s="177"/>
      <c r="AF17" s="206"/>
    </row>
    <row r="18" spans="1:33" s="185" customFormat="1" ht="30" hidden="1">
      <c r="A18" s="197">
        <f>THKLQT!A18</f>
        <v>0</v>
      </c>
      <c r="B18" s="242"/>
      <c r="C18" s="243" t="s">
        <v>159</v>
      </c>
      <c r="D18" s="242" t="s">
        <v>8</v>
      </c>
      <c r="E18" s="176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  <c r="AA18" s="177"/>
      <c r="AB18" s="177"/>
      <c r="AC18" s="177"/>
      <c r="AD18" s="177"/>
      <c r="AE18" s="177"/>
      <c r="AF18" s="206"/>
    </row>
    <row r="19" spans="1:33" s="185" customFormat="1" ht="15" hidden="1">
      <c r="A19" s="197">
        <f>THKLQT!A19</f>
        <v>0</v>
      </c>
      <c r="B19" s="242"/>
      <c r="C19" s="243" t="s">
        <v>160</v>
      </c>
      <c r="D19" s="242" t="s">
        <v>8</v>
      </c>
      <c r="E19" s="176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206"/>
    </row>
    <row r="20" spans="1:33" s="185" customFormat="1" ht="15" hidden="1">
      <c r="A20" s="197">
        <f>THKLQT!A20</f>
        <v>0</v>
      </c>
      <c r="B20" s="242"/>
      <c r="C20" s="243" t="s">
        <v>161</v>
      </c>
      <c r="D20" s="242" t="s">
        <v>127</v>
      </c>
      <c r="E20" s="232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206"/>
    </row>
    <row r="21" spans="1:33" s="185" customFormat="1" ht="15" hidden="1">
      <c r="A21" s="197">
        <f>THKLQT!A21</f>
        <v>0</v>
      </c>
      <c r="B21" s="242"/>
      <c r="C21" s="243" t="s">
        <v>162</v>
      </c>
      <c r="D21" s="242" t="s">
        <v>7</v>
      </c>
      <c r="E21" s="176"/>
      <c r="F21" s="177"/>
      <c r="G21" s="177"/>
      <c r="H21" s="177"/>
      <c r="I21" s="177"/>
      <c r="J21" s="177"/>
      <c r="K21" s="177"/>
      <c r="L21" s="177"/>
      <c r="M21" s="177"/>
      <c r="N21" s="177"/>
      <c r="O21" s="177"/>
      <c r="P21" s="177"/>
      <c r="Q21" s="177"/>
      <c r="R21" s="177"/>
      <c r="S21" s="177"/>
      <c r="T21" s="177"/>
      <c r="U21" s="177"/>
      <c r="V21" s="177"/>
      <c r="W21" s="177"/>
      <c r="X21" s="177"/>
      <c r="Y21" s="177"/>
      <c r="Z21" s="177"/>
      <c r="AA21" s="177"/>
      <c r="AB21" s="177"/>
      <c r="AC21" s="177"/>
      <c r="AD21" s="177"/>
      <c r="AE21" s="177"/>
      <c r="AF21" s="206"/>
    </row>
    <row r="22" spans="1:33" s="185" customFormat="1" ht="15" hidden="1">
      <c r="A22" s="197">
        <f>THKLQT!A22</f>
        <v>0</v>
      </c>
      <c r="B22" s="242"/>
      <c r="C22" s="243" t="s">
        <v>163</v>
      </c>
      <c r="D22" s="242" t="s">
        <v>126</v>
      </c>
      <c r="E22" s="176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206"/>
    </row>
    <row r="23" spans="1:33" s="185" customFormat="1" ht="15" hidden="1">
      <c r="A23" s="197">
        <f>THKLQT!A23</f>
        <v>0</v>
      </c>
      <c r="B23" s="242"/>
      <c r="C23" s="243" t="s">
        <v>164</v>
      </c>
      <c r="D23" s="242" t="s">
        <v>126</v>
      </c>
      <c r="E23" s="176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  <c r="AA23" s="177"/>
      <c r="AB23" s="177"/>
      <c r="AC23" s="177"/>
      <c r="AD23" s="177"/>
      <c r="AE23" s="177"/>
      <c r="AF23" s="206"/>
    </row>
    <row r="24" spans="1:33" s="185" customFormat="1" ht="30">
      <c r="A24" s="197">
        <f>THKLQT!A24</f>
        <v>147</v>
      </c>
      <c r="B24" s="242">
        <v>1</v>
      </c>
      <c r="C24" s="271" t="s">
        <v>165</v>
      </c>
      <c r="D24" s="273" t="s">
        <v>166</v>
      </c>
      <c r="E24" s="274">
        <v>24</v>
      </c>
      <c r="F24" s="275">
        <f>VLOOKUP(F$10,'C.I.1.1'!$A$59:$I$84,8,0)</f>
        <v>0</v>
      </c>
      <c r="G24" s="275">
        <f>VLOOKUP(G$10,'C.I.1.1'!$A$59:$I$84,8,0)</f>
        <v>0</v>
      </c>
      <c r="H24" s="275">
        <f>VLOOKUP(H$10,'C.I.1.1'!$A$59:$I$84,8,0)</f>
        <v>0</v>
      </c>
      <c r="I24" s="275">
        <f>VLOOKUP(I$10,'C.I.1.1'!$A$59:$I$84,8,0)</f>
        <v>0</v>
      </c>
      <c r="J24" s="275">
        <f>VLOOKUP(J$10,'C.I.1.1'!$A$59:$I$84,8,0)</f>
        <v>0</v>
      </c>
      <c r="K24" s="275">
        <f>VLOOKUP(K$10,'C.I.1.1'!$A$59:$I$84,8,0)</f>
        <v>0</v>
      </c>
      <c r="L24" s="275">
        <f>VLOOKUP(L$10,'C.I.1.1'!$A$59:$I$84,8,0)</f>
        <v>0</v>
      </c>
      <c r="M24" s="275">
        <f>VLOOKUP(M$10,'C.I.1.1'!$A$59:$I$84,8,0)</f>
        <v>0</v>
      </c>
      <c r="N24" s="275">
        <f>VLOOKUP(N$10,'C.I.1.1'!$A$59:$I$84,8,0)</f>
        <v>0</v>
      </c>
      <c r="O24" s="275">
        <f>VLOOKUP(O$10,'C.I.1.1'!$A$59:$I$84,8,0)</f>
        <v>0</v>
      </c>
      <c r="P24" s="275">
        <f>VLOOKUP(P$10,'C.I.1.1'!$A$59:$I$84,8,0)</f>
        <v>0</v>
      </c>
      <c r="Q24" s="275">
        <f>VLOOKUP(Q$10,'C.I.1.1'!$A$59:$I$84,8,0)</f>
        <v>1</v>
      </c>
      <c r="R24" s="275">
        <f>VLOOKUP(R$10,'C.I.1.1'!$A$59:$I$84,8,0)</f>
        <v>4</v>
      </c>
      <c r="S24" s="275">
        <f>VLOOKUP(S$10,'C.I.1.1'!$A$59:$I$84,8,0)</f>
        <v>10</v>
      </c>
      <c r="T24" s="275">
        <f>VLOOKUP(T$10,'C.I.1.1'!$A$59:$I$84,8,0)</f>
        <v>9</v>
      </c>
      <c r="U24" s="275">
        <f>VLOOKUP(U$10,'C.I.1.1'!$A$59:$I$84,8,0)</f>
        <v>0</v>
      </c>
      <c r="V24" s="275">
        <f>VLOOKUP(V$10,'C.I.1.1'!$A$59:$I$84,8,0)</f>
        <v>0</v>
      </c>
      <c r="W24" s="275">
        <f>VLOOKUP(W$10,'C.I.1.1'!$A$59:$I$84,8,0)</f>
        <v>0</v>
      </c>
      <c r="X24" s="275">
        <f>VLOOKUP(X$10,'C.I.1.1'!$A$59:$I$84,8,0)</f>
        <v>0</v>
      </c>
      <c r="Y24" s="275">
        <f>VLOOKUP(Y$10,'C.I.1.1'!$A$59:$I$84,8,0)</f>
        <v>0</v>
      </c>
      <c r="Z24" s="275">
        <f>VLOOKUP(Z$10,'C.I.1.1'!$A$59:$I$84,8,0)</f>
        <v>0</v>
      </c>
      <c r="AA24" s="275">
        <f>VLOOKUP(AA$10,'C.I.1.1'!$A$59:$I$84,8,0)</f>
        <v>0</v>
      </c>
      <c r="AB24" s="275">
        <f>VLOOKUP(AB$10,'C.I.1.1'!$A$59:$I$84,8,0)</f>
        <v>0</v>
      </c>
      <c r="AC24" s="275">
        <f>VLOOKUP(AC$10,'C.I.1.1'!$A$59:$I$84,8,0)</f>
        <v>0</v>
      </c>
      <c r="AD24" s="275">
        <f>VLOOKUP(AD$10,'C.I.1.1'!$A$59:$I$84,8,0)</f>
        <v>0</v>
      </c>
      <c r="AE24" s="275">
        <f>VLOOKUP(AE$10,'C.I.1.1'!$A$59:$I$84,8,0)</f>
        <v>0</v>
      </c>
      <c r="AF24" s="276">
        <f>ROUND(SUM(F24:AE24),2)</f>
        <v>24</v>
      </c>
      <c r="AG24" s="279" t="s">
        <v>602</v>
      </c>
    </row>
    <row r="25" spans="1:33" s="185" customFormat="1" ht="30">
      <c r="A25" s="197">
        <f>THKLQT!A25</f>
        <v>148</v>
      </c>
      <c r="B25" s="242">
        <v>2</v>
      </c>
      <c r="C25" s="271" t="s">
        <v>167</v>
      </c>
      <c r="D25" s="273" t="s">
        <v>166</v>
      </c>
      <c r="E25" s="274">
        <v>24</v>
      </c>
      <c r="F25" s="275">
        <f>VLOOKUP(F$10,'C.I.1.2'!$A$34:$I$62,8,0)</f>
        <v>0</v>
      </c>
      <c r="G25" s="275">
        <f>VLOOKUP(G$10,'C.I.1.2'!$A$34:$I$62,8,0)</f>
        <v>0</v>
      </c>
      <c r="H25" s="275">
        <f>VLOOKUP(H$10,'C.I.1.2'!$A$34:$I$62,8,0)</f>
        <v>0</v>
      </c>
      <c r="I25" s="275">
        <f>VLOOKUP(I$10,'C.I.1.2'!$A$34:$I$62,8,0)</f>
        <v>0</v>
      </c>
      <c r="J25" s="275">
        <f>VLOOKUP(J$10,'C.I.1.2'!$A$34:$I$62,8,0)</f>
        <v>0</v>
      </c>
      <c r="K25" s="275">
        <f>VLOOKUP(K$10,'C.I.1.2'!$A$34:$I$62,8,0)</f>
        <v>0</v>
      </c>
      <c r="L25" s="275">
        <f>VLOOKUP(L$10,'C.I.1.2'!$A$34:$I$62,8,0)</f>
        <v>0</v>
      </c>
      <c r="M25" s="275">
        <f>VLOOKUP(M$10,'C.I.1.2'!$A$34:$I$62,8,0)</f>
        <v>0</v>
      </c>
      <c r="N25" s="275">
        <f>VLOOKUP(N$10,'C.I.1.2'!$A$34:$I$62,8,0)</f>
        <v>0</v>
      </c>
      <c r="O25" s="275">
        <f>VLOOKUP(O$10,'C.I.1.2'!$A$34:$I$62,8,0)</f>
        <v>0</v>
      </c>
      <c r="P25" s="275">
        <f>VLOOKUP(P$10,'C.I.1.2'!$A$34:$I$62,8,0)</f>
        <v>0</v>
      </c>
      <c r="Q25" s="275">
        <f>VLOOKUP(Q$10,'C.I.1.2'!$A$34:$I$62,8,0)</f>
        <v>0</v>
      </c>
      <c r="R25" s="275">
        <f>VLOOKUP(R$10,'C.I.1.2'!$A$34:$I$62,8,0)</f>
        <v>0</v>
      </c>
      <c r="S25" s="275">
        <f>VLOOKUP(S$10,'C.I.1.2'!$A$34:$I$62,8,0)</f>
        <v>0</v>
      </c>
      <c r="T25" s="275">
        <f>VLOOKUP(T$10,'C.I.1.2'!$A$34:$I$62,8,0)</f>
        <v>0</v>
      </c>
      <c r="U25" s="275">
        <f>VLOOKUP(U$10,'C.I.1.2'!$A$34:$I$62,8,0)</f>
        <v>0</v>
      </c>
      <c r="V25" s="275">
        <f>VLOOKUP(V$10,'C.I.1.2'!$A$34:$I$62,8,0)</f>
        <v>24</v>
      </c>
      <c r="W25" s="275">
        <f>VLOOKUP(W$10,'C.I.1.2'!$A$34:$I$62,8,0)</f>
        <v>0</v>
      </c>
      <c r="X25" s="275">
        <f>VLOOKUP(X$10,'C.I.1.2'!$A$34:$I$62,8,0)</f>
        <v>0</v>
      </c>
      <c r="Y25" s="275">
        <f>VLOOKUP(Y$10,'C.I.1.2'!$A$34:$I$62,8,0)</f>
        <v>0</v>
      </c>
      <c r="Z25" s="275">
        <f>VLOOKUP(Z$10,'C.I.1.2'!$A$34:$I$62,8,0)</f>
        <v>0</v>
      </c>
      <c r="AA25" s="275">
        <f>VLOOKUP(AA$10,'C.I.1.2'!$A$34:$I$62,8,0)</f>
        <v>0</v>
      </c>
      <c r="AB25" s="275">
        <f>VLOOKUP(AB$10,'C.I.1.2'!$A$34:$I$62,8,0)</f>
        <v>0</v>
      </c>
      <c r="AC25" s="275">
        <f>VLOOKUP(AC$10,'C.I.1.2'!$A$34:$I$62,8,0)</f>
        <v>0</v>
      </c>
      <c r="AD25" s="275">
        <f>VLOOKUP(AD$10,'C.I.1.2'!$A$34:$I$62,8,0)</f>
        <v>0</v>
      </c>
      <c r="AE25" s="275">
        <f>VLOOKUP(AE$10,'C.I.1.2'!$A$34:$I$64,8,0)</f>
        <v>0</v>
      </c>
      <c r="AF25" s="276">
        <f>ROUND(SUM(F25:AE25),2)</f>
        <v>24</v>
      </c>
      <c r="AG25" s="279" t="s">
        <v>603</v>
      </c>
    </row>
    <row r="26" spans="1:33" s="185" customFormat="1" ht="15">
      <c r="A26" s="197">
        <f>THKLQT!A26</f>
        <v>0</v>
      </c>
      <c r="B26" s="242" t="s">
        <v>153</v>
      </c>
      <c r="C26" s="272" t="s">
        <v>168</v>
      </c>
      <c r="D26" s="278" t="s">
        <v>153</v>
      </c>
      <c r="E26" s="274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6"/>
    </row>
    <row r="27" spans="1:33" s="185" customFormat="1" ht="15">
      <c r="A27" s="197">
        <f>THKLQT!A27</f>
        <v>149</v>
      </c>
      <c r="B27" s="242">
        <v>1</v>
      </c>
      <c r="C27" s="271" t="s">
        <v>169</v>
      </c>
      <c r="D27" s="273" t="s">
        <v>126</v>
      </c>
      <c r="E27" s="274">
        <v>96</v>
      </c>
      <c r="F27" s="275">
        <f>VLOOKUP(F$10,'C.I.1.3'!$A$34:$I$62,8,0)</f>
        <v>0</v>
      </c>
      <c r="G27" s="275">
        <f>VLOOKUP(G$10,'C.I.1.3'!$A$34:$I$62,8,0)</f>
        <v>0</v>
      </c>
      <c r="H27" s="275">
        <f>VLOOKUP(H$10,'C.I.1.3'!$A$34:$I$62,8,0)</f>
        <v>0</v>
      </c>
      <c r="I27" s="275">
        <f>VLOOKUP(I$10,'C.I.1.3'!$A$34:$I$62,8,0)</f>
        <v>0</v>
      </c>
      <c r="J27" s="275">
        <f>VLOOKUP(J$10,'C.I.1.3'!$A$34:$I$62,8,0)</f>
        <v>0</v>
      </c>
      <c r="K27" s="275">
        <f>VLOOKUP(K$10,'C.I.1.3'!$A$34:$I$62,8,0)</f>
        <v>0</v>
      </c>
      <c r="L27" s="275">
        <f>VLOOKUP(L$10,'C.I.1.3'!$A$34:$I$62,8,0)</f>
        <v>0</v>
      </c>
      <c r="M27" s="275">
        <f>VLOOKUP(M$10,'C.I.1.3'!$A$34:$I$62,8,0)</f>
        <v>0</v>
      </c>
      <c r="N27" s="275">
        <f>VLOOKUP(N$10,'C.I.1.3'!$A$34:$I$62,8,0)</f>
        <v>0</v>
      </c>
      <c r="O27" s="275">
        <f>VLOOKUP(O$10,'C.I.1.3'!$A$34:$I$62,8,0)</f>
        <v>0</v>
      </c>
      <c r="P27" s="275">
        <f>VLOOKUP(P$10,'C.I.1.3'!$A$34:$I$62,8,0)</f>
        <v>0</v>
      </c>
      <c r="Q27" s="275">
        <f>VLOOKUP(Q$10,'C.I.1.3'!$A$34:$I$62,8,0)</f>
        <v>0</v>
      </c>
      <c r="R27" s="275">
        <f>VLOOKUP(R$10,'C.I.1.3'!$A$34:$I$62,8,0)</f>
        <v>0</v>
      </c>
      <c r="S27" s="275">
        <f>VLOOKUP(S$10,'C.I.1.3'!$A$34:$I$62,8,0)</f>
        <v>0</v>
      </c>
      <c r="T27" s="275">
        <f>VLOOKUP(T$10,'C.I.1.3'!$A$34:$I$62,8,0)</f>
        <v>0</v>
      </c>
      <c r="U27" s="275">
        <f>VLOOKUP(U$10,'C.I.1.3'!$A$34:$I$62,8,0)</f>
        <v>0</v>
      </c>
      <c r="V27" s="275">
        <f>VLOOKUP(V$10,'C.I.1.3'!$A$34:$I$62,8,0)</f>
        <v>96</v>
      </c>
      <c r="W27" s="275">
        <f>VLOOKUP(W$10,'C.I.1.3'!$A$34:$I$62,8,0)</f>
        <v>0</v>
      </c>
      <c r="X27" s="275">
        <f>VLOOKUP(X$10,'C.I.1.3'!$A$34:$I$62,8,0)</f>
        <v>0</v>
      </c>
      <c r="Y27" s="275">
        <f>VLOOKUP(Y$10,'C.I.1.3'!$A$34:$I$62,8,0)</f>
        <v>0</v>
      </c>
      <c r="Z27" s="275">
        <f>VLOOKUP(Z$10,'C.I.1.3'!$A$34:$I$62,8,0)</f>
        <v>0</v>
      </c>
      <c r="AA27" s="275">
        <f>VLOOKUP(AA$10,'C.I.1.3'!$A$34:$I$62,8,0)</f>
        <v>0</v>
      </c>
      <c r="AB27" s="275">
        <f>VLOOKUP(AB$10,'C.I.1.3'!$A$34:$I$62,8,0)</f>
        <v>0</v>
      </c>
      <c r="AC27" s="275">
        <f>VLOOKUP(AC$10,'C.I.1.3'!$A$34:$I$62,8,0)</f>
        <v>0</v>
      </c>
      <c r="AD27" s="275">
        <f>VLOOKUP(AD$10,'C.I.1.3'!$A$34:$I$62,8,0)</f>
        <v>0</v>
      </c>
      <c r="AE27" s="275">
        <f>VLOOKUP(AE$10,'C.I.1.3'!$A$34:$I$64,8,0)</f>
        <v>0</v>
      </c>
      <c r="AF27" s="276">
        <f>ROUND(SUM(F27:AE27),2)</f>
        <v>96</v>
      </c>
      <c r="AG27" s="279" t="s">
        <v>604</v>
      </c>
    </row>
    <row r="28" spans="1:33" s="185" customFormat="1" ht="15">
      <c r="A28" s="197">
        <f>THKLQT!A28</f>
        <v>150</v>
      </c>
      <c r="B28" s="242">
        <v>2</v>
      </c>
      <c r="C28" s="271" t="s">
        <v>170</v>
      </c>
      <c r="D28" s="273" t="s">
        <v>7</v>
      </c>
      <c r="E28" s="274">
        <v>0.39</v>
      </c>
      <c r="F28" s="177">
        <f>VLOOKUP(F$10,'C.I.1.4'!$A$34:$I$61,8,0)</f>
        <v>0</v>
      </c>
      <c r="G28" s="177">
        <f>VLOOKUP(G$10,'C.I.1.4'!$A$34:$I$61,8,0)</f>
        <v>0</v>
      </c>
      <c r="H28" s="177">
        <f>VLOOKUP(H$10,'C.I.1.4'!$A$34:$I$61,8,0)</f>
        <v>0</v>
      </c>
      <c r="I28" s="177">
        <f>VLOOKUP(I$10,'C.I.1.4'!$A$34:$I$61,8,0)</f>
        <v>0</v>
      </c>
      <c r="J28" s="177">
        <f>VLOOKUP(J$10,'C.I.1.4'!$A$34:$I$61,8,0)</f>
        <v>0</v>
      </c>
      <c r="K28" s="177">
        <f>VLOOKUP(K$10,'C.I.1.4'!$A$34:$I$61,8,0)</f>
        <v>0</v>
      </c>
      <c r="L28" s="177">
        <f>VLOOKUP(L$10,'C.I.1.4'!$A$34:$I$61,8,0)</f>
        <v>0</v>
      </c>
      <c r="M28" s="177">
        <f>VLOOKUP(M$10,'C.I.1.4'!$A$34:$I$61,8,0)</f>
        <v>0</v>
      </c>
      <c r="N28" s="177">
        <f>VLOOKUP(N$10,'C.I.1.4'!$A$34:$I$61,8,0)</f>
        <v>0</v>
      </c>
      <c r="O28" s="177">
        <f>VLOOKUP(O$10,'C.I.1.4'!$A$34:$I$61,8,0)</f>
        <v>0</v>
      </c>
      <c r="P28" s="177">
        <f>VLOOKUP(P$10,'C.I.1.4'!$A$34:$I$61,8,0)</f>
        <v>0</v>
      </c>
      <c r="Q28" s="177">
        <f>VLOOKUP(Q$10,'C.I.1.4'!$A$34:$I$61,8,0)</f>
        <v>0</v>
      </c>
      <c r="R28" s="177">
        <f>VLOOKUP(R$10,'C.I.1.4'!$A$34:$I$61,8,0)</f>
        <v>0</v>
      </c>
      <c r="S28" s="177">
        <f>VLOOKUP(S$10,'C.I.1.4'!$A$34:$I$61,8,0)</f>
        <v>0</v>
      </c>
      <c r="T28" s="177">
        <f>VLOOKUP(T$10,'C.I.1.4'!$A$34:$I$61,8,0)</f>
        <v>0</v>
      </c>
      <c r="U28" s="177">
        <f>VLOOKUP(U$10,'C.I.1.4'!$A$34:$I$61,8,0)</f>
        <v>0.48</v>
      </c>
      <c r="V28" s="177">
        <f>VLOOKUP(V$10,'C.I.1.4'!$A$34:$I$61,8,0)</f>
        <v>0</v>
      </c>
      <c r="W28" s="177">
        <f>VLOOKUP(W$10,'C.I.1.4'!$A$34:$I$61,8,0)</f>
        <v>0</v>
      </c>
      <c r="X28" s="177">
        <f>VLOOKUP(X$10,'C.I.1.4'!$A$34:$I$61,8,0)</f>
        <v>0</v>
      </c>
      <c r="Y28" s="177">
        <f>VLOOKUP(Y$10,'C.I.1.4'!$A$34:$I$61,8,0)</f>
        <v>0</v>
      </c>
      <c r="Z28" s="177">
        <f>VLOOKUP(Z$10,'C.I.1.4'!$A$34:$I$61,8,0)</f>
        <v>0</v>
      </c>
      <c r="AA28" s="177">
        <f>VLOOKUP(AA$10,'C.I.1.4'!$A$34:$I$61,8,0)</f>
        <v>0</v>
      </c>
      <c r="AB28" s="177">
        <f>VLOOKUP(AB$10,'C.I.1.4'!$A$34:$I$61,8,0)</f>
        <v>0</v>
      </c>
      <c r="AC28" s="177">
        <f>VLOOKUP(AC$10,'C.I.1.4'!$A$34:$I$61,8,0)</f>
        <v>0</v>
      </c>
      <c r="AD28" s="177">
        <f>VLOOKUP(AD$10,'C.I.1.4'!$A$34:$I$61,8,0)</f>
        <v>0</v>
      </c>
      <c r="AE28" s="177">
        <f>VLOOKUP(AE$10,'C.I.1.4'!$A$34:$I$64,8,0)</f>
        <v>0</v>
      </c>
      <c r="AF28" s="206">
        <f>ROUND(SUM(F28:AE28),2)</f>
        <v>0.48</v>
      </c>
      <c r="AG28" s="279" t="s">
        <v>605</v>
      </c>
    </row>
    <row r="29" spans="1:33" s="185" customFormat="1" ht="15">
      <c r="A29" s="197">
        <f>THKLQT!A29</f>
        <v>0</v>
      </c>
      <c r="B29" s="242">
        <v>3</v>
      </c>
      <c r="C29" s="243" t="s">
        <v>171</v>
      </c>
      <c r="D29" s="242" t="s">
        <v>126</v>
      </c>
      <c r="E29" s="176">
        <v>0</v>
      </c>
      <c r="F29" s="177"/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77"/>
      <c r="Z29" s="177"/>
      <c r="AA29" s="177"/>
      <c r="AB29" s="177"/>
      <c r="AC29" s="177"/>
      <c r="AD29" s="177"/>
      <c r="AE29" s="177"/>
      <c r="AF29" s="206"/>
    </row>
    <row r="30" spans="1:33" s="185" customFormat="1" ht="15">
      <c r="A30" s="197">
        <f>THKLQT!A30</f>
        <v>0</v>
      </c>
      <c r="B30" s="242" t="s">
        <v>153</v>
      </c>
      <c r="C30" s="240" t="s">
        <v>172</v>
      </c>
      <c r="D30" s="241" t="s">
        <v>153</v>
      </c>
      <c r="E30" s="176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206"/>
    </row>
    <row r="31" spans="1:33" s="185" customFormat="1" ht="15">
      <c r="A31" s="197">
        <f>THKLQT!A31</f>
        <v>151</v>
      </c>
      <c r="B31" s="242">
        <v>1</v>
      </c>
      <c r="C31" s="271" t="s">
        <v>173</v>
      </c>
      <c r="D31" s="273" t="s">
        <v>7</v>
      </c>
      <c r="E31" s="274">
        <v>95</v>
      </c>
      <c r="F31" s="275">
        <f>VLOOKUP(F$10,'C.I.1.5'!$A$34:$I$61,8,0)</f>
        <v>0</v>
      </c>
      <c r="G31" s="275">
        <f>VLOOKUP(G$10,'C.I.1.5'!$A$34:$I$61,8,0)</f>
        <v>0</v>
      </c>
      <c r="H31" s="275">
        <f>VLOOKUP(H$10,'C.I.1.5'!$A$34:$I$61,8,0)</f>
        <v>0</v>
      </c>
      <c r="I31" s="275">
        <f>VLOOKUP(I$10,'C.I.1.5'!$A$34:$I$61,8,0)</f>
        <v>0</v>
      </c>
      <c r="J31" s="275">
        <f>VLOOKUP(J$10,'C.I.1.5'!$A$34:$I$61,8,0)</f>
        <v>0</v>
      </c>
      <c r="K31" s="275">
        <f>VLOOKUP(K$10,'C.I.1.5'!$A$34:$I$61,8,0)</f>
        <v>0</v>
      </c>
      <c r="L31" s="275">
        <f>VLOOKUP(L$10,'C.I.1.5'!$A$34:$I$61,8,0)</f>
        <v>0</v>
      </c>
      <c r="M31" s="275">
        <f>VLOOKUP(M$10,'C.I.1.5'!$A$34:$I$61,8,0)</f>
        <v>0</v>
      </c>
      <c r="N31" s="275">
        <f>VLOOKUP(N$10,'C.I.1.5'!$A$34:$I$61,8,0)</f>
        <v>0</v>
      </c>
      <c r="O31" s="275">
        <f>VLOOKUP(O$10,'C.I.1.5'!$A$34:$I$61,8,0)</f>
        <v>0</v>
      </c>
      <c r="P31" s="275">
        <f>VLOOKUP(P$10,'C.I.1.5'!$A$34:$I$61,8,0)</f>
        <v>0</v>
      </c>
      <c r="Q31" s="275">
        <f>VLOOKUP(Q$10,'C.I.1.5'!$A$34:$I$61,8,0)</f>
        <v>0</v>
      </c>
      <c r="R31" s="275">
        <f>VLOOKUP(R$10,'C.I.1.5'!$A$34:$I$61,8,0)</f>
        <v>0</v>
      </c>
      <c r="S31" s="275">
        <f>VLOOKUP(S$10,'C.I.1.5'!$A$34:$I$61,8,0)</f>
        <v>0</v>
      </c>
      <c r="T31" s="275">
        <f>VLOOKUP(T$10,'C.I.1.5'!$A$34:$I$61,8,0)</f>
        <v>0</v>
      </c>
      <c r="U31" s="275">
        <f>VLOOKUP(U$10,'C.I.1.5'!$A$34:$I$61,8,0)</f>
        <v>0</v>
      </c>
      <c r="V31" s="275">
        <f>VLOOKUP(V$10,'C.I.1.5'!$A$34:$I$61,8,0)</f>
        <v>94.503</v>
      </c>
      <c r="W31" s="275">
        <f>VLOOKUP(W$10,'C.I.1.5'!$A$34:$I$61,8,0)</f>
        <v>0</v>
      </c>
      <c r="X31" s="275">
        <f>VLOOKUP(X$10,'C.I.1.5'!$A$34:$I$61,8,0)</f>
        <v>0</v>
      </c>
      <c r="Y31" s="275">
        <f>VLOOKUP(Y$10,'C.I.1.5'!$A$34:$I$61,8,0)</f>
        <v>0</v>
      </c>
      <c r="Z31" s="275">
        <f>VLOOKUP(Z$10,'C.I.1.5'!$A$34:$I$61,8,0)</f>
        <v>0</v>
      </c>
      <c r="AA31" s="275">
        <f>VLOOKUP(AA$10,'C.I.1.5'!$A$34:$I$61,8,0)</f>
        <v>0</v>
      </c>
      <c r="AB31" s="275">
        <f>VLOOKUP(AB$10,'C.I.1.5'!$A$34:$I$61,8,0)</f>
        <v>0</v>
      </c>
      <c r="AC31" s="275">
        <f>VLOOKUP(AC$10,'C.I.1.5'!$A$34:$I$61,8,0)</f>
        <v>0</v>
      </c>
      <c r="AD31" s="275">
        <f>VLOOKUP(AD$10,'C.I.1.5'!$A$34:$I$61,8,0)</f>
        <v>0</v>
      </c>
      <c r="AE31" s="275">
        <f>VLOOKUP(AE$10,'C.I.1.5'!$A$34:$I$64,8,0)</f>
        <v>0</v>
      </c>
      <c r="AF31" s="276">
        <f>ROUND(SUM(F31:AE31),2)</f>
        <v>94.5</v>
      </c>
      <c r="AG31" s="279" t="s">
        <v>606</v>
      </c>
    </row>
    <row r="32" spans="1:33" s="185" customFormat="1" ht="30">
      <c r="A32" s="197">
        <f>THKLQT!A32</f>
        <v>152</v>
      </c>
      <c r="B32" s="242">
        <v>2</v>
      </c>
      <c r="C32" s="271" t="s">
        <v>174</v>
      </c>
      <c r="D32" s="273" t="s">
        <v>8</v>
      </c>
      <c r="E32" s="274">
        <v>10.97</v>
      </c>
      <c r="F32" s="275">
        <f>VLOOKUP(F$10,'C.I.1.6'!$A$34:$I$61,8,0)</f>
        <v>0</v>
      </c>
      <c r="G32" s="275">
        <f>VLOOKUP(G$10,'C.I.1.6'!$A$34:$I$61,8,0)</f>
        <v>0</v>
      </c>
      <c r="H32" s="275">
        <f>VLOOKUP(H$10,'C.I.1.6'!$A$34:$I$61,8,0)</f>
        <v>0</v>
      </c>
      <c r="I32" s="275">
        <f>VLOOKUP(I$10,'C.I.1.6'!$A$34:$I$61,8,0)</f>
        <v>0</v>
      </c>
      <c r="J32" s="275">
        <f>VLOOKUP(J$10,'C.I.1.6'!$A$34:$I$61,8,0)</f>
        <v>0</v>
      </c>
      <c r="K32" s="275">
        <f>VLOOKUP(K$10,'C.I.1.6'!$A$34:$I$61,8,0)</f>
        <v>0</v>
      </c>
      <c r="L32" s="275">
        <f>VLOOKUP(L$10,'C.I.1.6'!$A$34:$I$61,8,0)</f>
        <v>0</v>
      </c>
      <c r="M32" s="275">
        <f>VLOOKUP(M$10,'C.I.1.6'!$A$34:$I$61,8,0)</f>
        <v>0</v>
      </c>
      <c r="N32" s="275">
        <f>VLOOKUP(N$10,'C.I.1.6'!$A$34:$I$61,8,0)</f>
        <v>0</v>
      </c>
      <c r="O32" s="275">
        <f>VLOOKUP(O$10,'C.I.1.6'!$A$34:$I$61,8,0)</f>
        <v>0</v>
      </c>
      <c r="P32" s="275">
        <f>VLOOKUP(P$10,'C.I.1.6'!$A$34:$I$61,8,0)</f>
        <v>0</v>
      </c>
      <c r="Q32" s="275">
        <f>VLOOKUP(Q$10,'C.I.1.6'!$A$34:$I$61,8,0)</f>
        <v>0</v>
      </c>
      <c r="R32" s="275">
        <f>VLOOKUP(R$10,'C.I.1.6'!$A$34:$I$61,8,0)</f>
        <v>0</v>
      </c>
      <c r="S32" s="275">
        <f>VLOOKUP(S$10,'C.I.1.6'!$A$34:$I$61,8,0)</f>
        <v>0</v>
      </c>
      <c r="T32" s="275">
        <f>VLOOKUP(T$10,'C.I.1.6'!$A$34:$I$61,8,0)</f>
        <v>0</v>
      </c>
      <c r="U32" s="275">
        <f>VLOOKUP(U$10,'C.I.1.6'!$A$34:$I$61,8,0)</f>
        <v>0</v>
      </c>
      <c r="V32" s="275">
        <f>VLOOKUP(V$10,'C.I.1.6'!$A$34:$I$61,8,0)</f>
        <v>20.369</v>
      </c>
      <c r="W32" s="275">
        <f>VLOOKUP(W$10,'C.I.1.6'!$A$34:$I$61,8,0)</f>
        <v>0</v>
      </c>
      <c r="X32" s="275">
        <f>VLOOKUP(X$10,'C.I.1.6'!$A$34:$I$61,8,0)</f>
        <v>0</v>
      </c>
      <c r="Y32" s="275">
        <f>VLOOKUP(Y$10,'C.I.1.6'!$A$34:$I$61,8,0)</f>
        <v>0</v>
      </c>
      <c r="Z32" s="275">
        <f>VLOOKUP(Z$10,'C.I.1.6'!$A$34:$I$61,8,0)</f>
        <v>0</v>
      </c>
      <c r="AA32" s="275">
        <f>VLOOKUP(AA$10,'C.I.1.6'!$A$34:$I$61,8,0)</f>
        <v>0</v>
      </c>
      <c r="AB32" s="275">
        <f>VLOOKUP(AB$10,'C.I.1.6'!$A$34:$I$61,8,0)</f>
        <v>0</v>
      </c>
      <c r="AC32" s="275">
        <f>VLOOKUP(AC$10,'C.I.1.6'!$A$34:$I$61,8,0)</f>
        <v>0</v>
      </c>
      <c r="AD32" s="275">
        <f>VLOOKUP(AD$10,'C.I.1.6'!$A$34:$I$61,8,0)</f>
        <v>0</v>
      </c>
      <c r="AE32" s="275">
        <f>VLOOKUP(AE$10,'C.I.1.6'!$A$34:$I$64,8,0)</f>
        <v>0</v>
      </c>
      <c r="AF32" s="276">
        <f>ROUND(SUM(F32:AE32),2)</f>
        <v>20.37</v>
      </c>
      <c r="AG32" s="279" t="s">
        <v>607</v>
      </c>
    </row>
    <row r="33" spans="1:33" s="185" customFormat="1" ht="42.75">
      <c r="A33" s="197">
        <f>THKLQT!A33</f>
        <v>0</v>
      </c>
      <c r="B33" s="239" t="s">
        <v>175</v>
      </c>
      <c r="C33" s="240" t="s">
        <v>176</v>
      </c>
      <c r="D33" s="241" t="s">
        <v>153</v>
      </c>
      <c r="E33" s="176"/>
      <c r="F33" s="177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206"/>
    </row>
    <row r="34" spans="1:33" s="185" customFormat="1" ht="15">
      <c r="A34" s="197">
        <f>THKLQT!A34</f>
        <v>0</v>
      </c>
      <c r="B34" s="242" t="s">
        <v>153</v>
      </c>
      <c r="C34" s="240" t="s">
        <v>177</v>
      </c>
      <c r="D34" s="241" t="s">
        <v>153</v>
      </c>
      <c r="E34" s="176" t="s">
        <v>326</v>
      </c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206"/>
    </row>
    <row r="35" spans="1:33" s="185" customFormat="1" ht="15">
      <c r="A35" s="197">
        <f>THKLQT!A35</f>
        <v>153</v>
      </c>
      <c r="B35" s="242">
        <v>1</v>
      </c>
      <c r="C35" s="271" t="s">
        <v>178</v>
      </c>
      <c r="D35" s="273" t="s">
        <v>0</v>
      </c>
      <c r="E35" s="274">
        <v>56.08</v>
      </c>
      <c r="F35" s="275">
        <f>VLOOKUP(F$10,'C.I.2.1.1'!$A$37:$I$65,8,0)</f>
        <v>0</v>
      </c>
      <c r="G35" s="275">
        <f>VLOOKUP(G$10,'C.I.2.1.1'!$A$37:$I$65,8,0)</f>
        <v>0</v>
      </c>
      <c r="H35" s="275">
        <f>VLOOKUP(H$10,'C.I.2.1.1'!$A$37:$I$65,8,0)</f>
        <v>0</v>
      </c>
      <c r="I35" s="275">
        <f>VLOOKUP(I$10,'C.I.2.1.1'!$A$37:$I$65,8,0)</f>
        <v>0</v>
      </c>
      <c r="J35" s="275">
        <f>VLOOKUP(J$10,'C.I.2.1.1'!$A$37:$I$65,8,0)</f>
        <v>0</v>
      </c>
      <c r="K35" s="275">
        <f>VLOOKUP(K$10,'C.I.2.1.1'!$A$37:$I$65,8,0)</f>
        <v>0</v>
      </c>
      <c r="L35" s="275">
        <f>VLOOKUP(L$10,'C.I.2.1.1'!$A$37:$I$65,8,0)</f>
        <v>0</v>
      </c>
      <c r="M35" s="275">
        <f>VLOOKUP(M$10,'C.I.2.1.1'!$A$37:$I$65,8,0)</f>
        <v>0</v>
      </c>
      <c r="N35" s="275">
        <f>VLOOKUP(N$10,'C.I.2.1.1'!$A$37:$I$65,8,0)</f>
        <v>0</v>
      </c>
      <c r="O35" s="275">
        <f>VLOOKUP(O$10,'C.I.2.1.1'!$A$37:$I$65,8,0)</f>
        <v>0</v>
      </c>
      <c r="P35" s="275">
        <f>VLOOKUP(P$10,'C.I.2.1.1'!$A$37:$I$65,8,0)</f>
        <v>0</v>
      </c>
      <c r="Q35" s="275">
        <f>VLOOKUP(Q$10,'C.I.2.1.1'!$A$37:$I$65,8,0)</f>
        <v>0</v>
      </c>
      <c r="R35" s="275">
        <f>VLOOKUP(R$10,'C.I.2.1.1'!$A$37:$I$65,8,0)</f>
        <v>0</v>
      </c>
      <c r="S35" s="275">
        <f>VLOOKUP(S$10,'C.I.2.1.1'!$A$37:$I$65,8,0)</f>
        <v>0</v>
      </c>
      <c r="T35" s="275">
        <f>VLOOKUP(T$10,'C.I.2.1.1'!$A$37:$I$65,8,0)</f>
        <v>0</v>
      </c>
      <c r="U35" s="275">
        <f>VLOOKUP(U$10,'C.I.2.1.1'!$A$37:$I$65,8,0)</f>
        <v>0</v>
      </c>
      <c r="V35" s="275">
        <f>VLOOKUP(V$10,'C.I.2.1.1'!$A$37:$I$65,8,0)</f>
        <v>0</v>
      </c>
      <c r="W35" s="275">
        <f>VLOOKUP(W$10,'C.I.2.1.1'!$A$37:$I$65,8,0)</f>
        <v>0</v>
      </c>
      <c r="X35" s="275">
        <f>VLOOKUP(X$10,'C.I.2.1.1'!$A$37:$I$65,8,0)</f>
        <v>0</v>
      </c>
      <c r="Y35" s="275">
        <f>VLOOKUP(Y$10,'C.I.2.1.1'!$A$37:$I$65,8,0)</f>
        <v>0</v>
      </c>
      <c r="Z35" s="275">
        <f>VLOOKUP(Z$10,'C.I.2.1.1'!$A$37:$I$65,8,0)</f>
        <v>0</v>
      </c>
      <c r="AA35" s="275">
        <f>VLOOKUP(AA$10,'C.I.2.1.1'!$A$37:$I$65,8,0)</f>
        <v>0</v>
      </c>
      <c r="AB35" s="275">
        <f>VLOOKUP(AB$10,'C.I.2.1.1'!$A$37:$I$65,8,0)</f>
        <v>0</v>
      </c>
      <c r="AC35" s="275">
        <f>VLOOKUP(AC$10,'C.I.2.1.1'!$A$37:$I$65,8,0)</f>
        <v>0</v>
      </c>
      <c r="AD35" s="275">
        <f>VLOOKUP(AD$10,'C.I.2.1.1'!$A$37:$I$65,8,0)</f>
        <v>0</v>
      </c>
      <c r="AE35" s="275">
        <f>VLOOKUP(AE$10,'C.I.2.1.1'!$A$37:$I$65,8,0)</f>
        <v>59.838000000000001</v>
      </c>
      <c r="AF35" s="276">
        <f>ROUND(SUM(F35:AE35),2)</f>
        <v>59.84</v>
      </c>
      <c r="AG35" s="279" t="s">
        <v>650</v>
      </c>
    </row>
    <row r="36" spans="1:33" s="185" customFormat="1" ht="15">
      <c r="A36" s="197">
        <f>THKLQT!A36</f>
        <v>0</v>
      </c>
      <c r="B36" s="242" t="s">
        <v>153</v>
      </c>
      <c r="C36" s="272" t="s">
        <v>179</v>
      </c>
      <c r="D36" s="241" t="s">
        <v>153</v>
      </c>
      <c r="E36" s="176" t="s">
        <v>326</v>
      </c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206">
        <f t="shared" ref="AF36:AF99" si="3">ROUND(SUM(F36:AE36),2)</f>
        <v>0</v>
      </c>
    </row>
    <row r="37" spans="1:33" s="185" customFormat="1" ht="15">
      <c r="A37" s="197">
        <f>THKLQT!A37</f>
        <v>154</v>
      </c>
      <c r="B37" s="242">
        <v>1</v>
      </c>
      <c r="C37" s="271" t="s">
        <v>180</v>
      </c>
      <c r="D37" s="273" t="s">
        <v>0</v>
      </c>
      <c r="E37" s="274">
        <v>36</v>
      </c>
      <c r="F37" s="275">
        <f>VLOOKUP(F$10,'C.I.2.2.1'!$A$38:$I$65,8,0)</f>
        <v>0</v>
      </c>
      <c r="G37" s="275">
        <f>VLOOKUP(G$10,'C.I.2.2.1'!$A$38:$I$65,8,0)</f>
        <v>0</v>
      </c>
      <c r="H37" s="275">
        <f>VLOOKUP(H$10,'C.I.2.2.1'!$A$38:$I$65,8,0)</f>
        <v>0</v>
      </c>
      <c r="I37" s="275">
        <f>VLOOKUP(I$10,'C.I.2.2.1'!$A$38:$I$65,8,0)</f>
        <v>0</v>
      </c>
      <c r="J37" s="275">
        <f>VLOOKUP(J$10,'C.I.2.2.1'!$A$38:$I$65,8,0)</f>
        <v>0</v>
      </c>
      <c r="K37" s="275">
        <f>VLOOKUP(K$10,'C.I.2.2.1'!$A$38:$I$65,8,0)</f>
        <v>0</v>
      </c>
      <c r="L37" s="275">
        <f>VLOOKUP(L$10,'C.I.2.2.1'!$A$38:$I$65,8,0)</f>
        <v>0</v>
      </c>
      <c r="M37" s="275">
        <f>VLOOKUP(M$10,'C.I.2.2.1'!$A$38:$I$65,8,0)</f>
        <v>0</v>
      </c>
      <c r="N37" s="275">
        <f>VLOOKUP(N$10,'C.I.2.2.1'!$A$38:$I$65,8,0)</f>
        <v>0</v>
      </c>
      <c r="O37" s="275">
        <f>VLOOKUP(O$10,'C.I.2.2.1'!$A$38:$I$65,8,0)</f>
        <v>0</v>
      </c>
      <c r="P37" s="275">
        <f>VLOOKUP(P$10,'C.I.2.2.1'!$A$38:$I$65,8,0)</f>
        <v>0</v>
      </c>
      <c r="Q37" s="275">
        <f>VLOOKUP(Q$10,'C.I.2.2.1'!$A$38:$I$65,8,0)</f>
        <v>0</v>
      </c>
      <c r="R37" s="275">
        <f>VLOOKUP(R$10,'C.I.2.2.1'!$A$38:$I$65,8,0)</f>
        <v>0</v>
      </c>
      <c r="S37" s="275">
        <f>VLOOKUP(S$10,'C.I.2.2.1'!$A$38:$I$65,8,0)</f>
        <v>0</v>
      </c>
      <c r="T37" s="275">
        <f>VLOOKUP(T$10,'C.I.2.2.1'!$A$38:$I$65,8,0)</f>
        <v>0</v>
      </c>
      <c r="U37" s="275">
        <f>VLOOKUP(U$10,'C.I.2.2.1'!$A$38:$I$65,8,0)</f>
        <v>0</v>
      </c>
      <c r="V37" s="275">
        <f>VLOOKUP(V$10,'C.I.2.2.1'!$A$38:$I$65,8,0)</f>
        <v>0</v>
      </c>
      <c r="W37" s="275">
        <f>VLOOKUP(W$10,'C.I.2.2.1'!$A$38:$I$65,8,0)</f>
        <v>0</v>
      </c>
      <c r="X37" s="275">
        <f>VLOOKUP(X$10,'C.I.2.2.1'!$A$38:$I$65,8,0)</f>
        <v>0</v>
      </c>
      <c r="Y37" s="275">
        <f>VLOOKUP(Y$10,'C.I.2.2.1'!$A$38:$I$65,8,0)</f>
        <v>35.909999999999997</v>
      </c>
      <c r="Z37" s="275">
        <f>VLOOKUP(Z$10,'C.I.2.2.1'!$A$38:$I$65,8,0)</f>
        <v>0</v>
      </c>
      <c r="AA37" s="275">
        <f>VLOOKUP(AA$10,'C.I.2.2.1'!$A$38:$I$65,8,0)</f>
        <v>0</v>
      </c>
      <c r="AB37" s="275">
        <f>VLOOKUP(AB$10,'C.I.2.2.1'!$A$38:$I$65,8,0)</f>
        <v>0</v>
      </c>
      <c r="AC37" s="275">
        <f>VLOOKUP(AC$10,'C.I.2.2.1'!$A$38:$I$65,8,0)</f>
        <v>0</v>
      </c>
      <c r="AD37" s="275">
        <f>VLOOKUP(AD$10,'C.I.2.2.1'!$A$38:$I$65,8,0)</f>
        <v>0</v>
      </c>
      <c r="AE37" s="275">
        <f>VLOOKUP(AE$10,'C.I.2.2.1'!$A$38:$I$66,8,0)</f>
        <v>0</v>
      </c>
      <c r="AF37" s="276">
        <f t="shared" si="3"/>
        <v>35.909999999999997</v>
      </c>
      <c r="AG37" s="279" t="s">
        <v>608</v>
      </c>
    </row>
    <row r="38" spans="1:33" s="185" customFormat="1" ht="15">
      <c r="A38" s="197">
        <f>THKLQT!A38</f>
        <v>155</v>
      </c>
      <c r="B38" s="242">
        <v>2</v>
      </c>
      <c r="C38" s="256" t="s">
        <v>181</v>
      </c>
      <c r="D38" s="242" t="s">
        <v>0</v>
      </c>
      <c r="E38" s="176">
        <v>22.52</v>
      </c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>
        <f>'C.I.2.2.2'!H58</f>
        <v>22.52</v>
      </c>
      <c r="AA38" s="177"/>
      <c r="AB38" s="177"/>
      <c r="AC38" s="177"/>
      <c r="AD38" s="177"/>
      <c r="AE38" s="177"/>
      <c r="AF38" s="206">
        <f t="shared" si="3"/>
        <v>22.52</v>
      </c>
    </row>
    <row r="39" spans="1:33" s="185" customFormat="1" ht="30">
      <c r="A39" s="197">
        <f>THKLQT!A39</f>
        <v>156</v>
      </c>
      <c r="B39" s="242">
        <v>3</v>
      </c>
      <c r="C39" s="256" t="s">
        <v>182</v>
      </c>
      <c r="D39" s="242" t="s">
        <v>126</v>
      </c>
      <c r="E39" s="176">
        <v>4</v>
      </c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>
        <f>'C.I.2.2.3'!H58</f>
        <v>4</v>
      </c>
      <c r="AA39" s="177"/>
      <c r="AB39" s="177"/>
      <c r="AC39" s="177"/>
      <c r="AD39" s="177"/>
      <c r="AE39" s="177"/>
      <c r="AF39" s="206">
        <f t="shared" si="3"/>
        <v>4</v>
      </c>
    </row>
    <row r="40" spans="1:33" s="185" customFormat="1" ht="15">
      <c r="A40" s="197" t="str">
        <f>THKLQT!A40</f>
        <v/>
      </c>
      <c r="B40" s="242">
        <v>4</v>
      </c>
      <c r="C40" s="256" t="s">
        <v>183</v>
      </c>
      <c r="D40" s="242" t="s">
        <v>346</v>
      </c>
      <c r="E40" s="176">
        <v>0</v>
      </c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206">
        <f t="shared" si="3"/>
        <v>0</v>
      </c>
    </row>
    <row r="41" spans="1:33" s="185" customFormat="1" ht="30">
      <c r="A41" s="197">
        <f>THKLQT!A41</f>
        <v>157</v>
      </c>
      <c r="B41" s="242">
        <v>5</v>
      </c>
      <c r="C41" s="256" t="s">
        <v>184</v>
      </c>
      <c r="D41" s="242" t="s">
        <v>8</v>
      </c>
      <c r="E41" s="176">
        <v>0.02</v>
      </c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>
        <f>'C.I.2.2.5'!H58</f>
        <v>1.6E-2</v>
      </c>
      <c r="AA41" s="177"/>
      <c r="AB41" s="177"/>
      <c r="AC41" s="177"/>
      <c r="AD41" s="177"/>
      <c r="AE41" s="177"/>
      <c r="AF41" s="206">
        <f t="shared" si="3"/>
        <v>0.02</v>
      </c>
    </row>
    <row r="42" spans="1:33" s="185" customFormat="1" ht="15">
      <c r="A42" s="197">
        <f>THKLQT!A42</f>
        <v>158</v>
      </c>
      <c r="B42" s="242">
        <v>6</v>
      </c>
      <c r="C42" s="256" t="s">
        <v>185</v>
      </c>
      <c r="D42" s="242" t="s">
        <v>186</v>
      </c>
      <c r="E42" s="176">
        <v>96</v>
      </c>
      <c r="F42" s="177"/>
      <c r="G42" s="177"/>
      <c r="H42" s="177"/>
      <c r="I42" s="177"/>
      <c r="J42" s="177"/>
      <c r="K42" s="177"/>
      <c r="L42" s="177"/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>
        <f>'C.I.2.2.6'!H58</f>
        <v>24</v>
      </c>
      <c r="AA42" s="177"/>
      <c r="AB42" s="177"/>
      <c r="AC42" s="177"/>
      <c r="AD42" s="177"/>
      <c r="AE42" s="177"/>
      <c r="AF42" s="206">
        <f t="shared" si="3"/>
        <v>24</v>
      </c>
    </row>
    <row r="43" spans="1:33" s="185" customFormat="1" ht="15" hidden="1">
      <c r="A43" s="197">
        <f>THKLQT!A43</f>
        <v>0</v>
      </c>
      <c r="B43" s="242"/>
      <c r="C43" s="243" t="s">
        <v>187</v>
      </c>
      <c r="D43" s="242" t="s">
        <v>346</v>
      </c>
      <c r="E43" s="176">
        <v>0</v>
      </c>
      <c r="F43" s="177"/>
      <c r="G43" s="177"/>
      <c r="H43" s="177"/>
      <c r="I43" s="177"/>
      <c r="J43" s="177"/>
      <c r="K43" s="177"/>
      <c r="L43" s="177"/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206">
        <f t="shared" si="3"/>
        <v>0</v>
      </c>
    </row>
    <row r="44" spans="1:33" s="185" customFormat="1" ht="15" hidden="1">
      <c r="A44" s="197">
        <f>THKLQT!A44</f>
        <v>0</v>
      </c>
      <c r="B44" s="242"/>
      <c r="C44" s="243" t="s">
        <v>188</v>
      </c>
      <c r="D44" s="242" t="s">
        <v>8</v>
      </c>
      <c r="E44" s="176">
        <v>0</v>
      </c>
      <c r="F44" s="177"/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206">
        <f t="shared" si="3"/>
        <v>0</v>
      </c>
    </row>
    <row r="45" spans="1:33" s="185" customFormat="1" ht="15" hidden="1">
      <c r="A45" s="197">
        <f>THKLQT!A45</f>
        <v>0</v>
      </c>
      <c r="B45" s="242"/>
      <c r="C45" s="243" t="s">
        <v>189</v>
      </c>
      <c r="D45" s="242" t="s">
        <v>8</v>
      </c>
      <c r="E45" s="176">
        <v>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206">
        <f t="shared" si="3"/>
        <v>0</v>
      </c>
    </row>
    <row r="46" spans="1:33" s="185" customFormat="1" ht="15" hidden="1">
      <c r="A46" s="197">
        <f>THKLQT!A46</f>
        <v>0</v>
      </c>
      <c r="B46" s="242"/>
      <c r="C46" s="243" t="s">
        <v>190</v>
      </c>
      <c r="D46" s="242" t="s">
        <v>8</v>
      </c>
      <c r="E46" s="176">
        <v>0</v>
      </c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206">
        <f t="shared" si="3"/>
        <v>0</v>
      </c>
    </row>
    <row r="47" spans="1:33" s="185" customFormat="1" ht="15" hidden="1">
      <c r="A47" s="197">
        <f>THKLQT!A47</f>
        <v>0</v>
      </c>
      <c r="B47" s="242"/>
      <c r="C47" s="243" t="s">
        <v>191</v>
      </c>
      <c r="D47" s="242" t="s">
        <v>9</v>
      </c>
      <c r="E47" s="176">
        <v>0</v>
      </c>
      <c r="F47" s="177"/>
      <c r="G47" s="177"/>
      <c r="H47" s="177"/>
      <c r="I47" s="177"/>
      <c r="J47" s="177"/>
      <c r="K47" s="177"/>
      <c r="L47" s="17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206">
        <f t="shared" si="3"/>
        <v>0</v>
      </c>
    </row>
    <row r="48" spans="1:33" s="185" customFormat="1" ht="15">
      <c r="A48" s="197">
        <f>THKLQT!A48</f>
        <v>159</v>
      </c>
      <c r="B48" s="273">
        <v>7</v>
      </c>
      <c r="C48" s="271" t="s">
        <v>192</v>
      </c>
      <c r="D48" s="273" t="s">
        <v>7</v>
      </c>
      <c r="E48" s="274">
        <v>7.6</v>
      </c>
      <c r="F48" s="275">
        <f>VLOOKUP(F$10,'C.I.2.2.7'!$A$37:$I$64,8,0)</f>
        <v>0</v>
      </c>
      <c r="G48" s="275">
        <f>VLOOKUP(G$10,'C.I.2.2.7'!$A$37:$I$64,8,0)</f>
        <v>0</v>
      </c>
      <c r="H48" s="275">
        <f>VLOOKUP(H$10,'C.I.2.2.7'!$A$37:$I$64,8,0)</f>
        <v>0</v>
      </c>
      <c r="I48" s="275">
        <f>VLOOKUP(I$10,'C.I.2.2.7'!$A$37:$I$64,8,0)</f>
        <v>0</v>
      </c>
      <c r="J48" s="275">
        <f>VLOOKUP(J$10,'C.I.2.2.7'!$A$37:$I$64,8,0)</f>
        <v>0</v>
      </c>
      <c r="K48" s="275">
        <f>VLOOKUP(K$10,'C.I.2.2.7'!$A$37:$I$64,8,0)</f>
        <v>0</v>
      </c>
      <c r="L48" s="275">
        <f>VLOOKUP(L$10,'C.I.2.2.7'!$A$37:$I$64,8,0)</f>
        <v>0</v>
      </c>
      <c r="M48" s="275">
        <f>VLOOKUP(M$10,'C.I.2.2.7'!$A$37:$I$64,8,0)</f>
        <v>0</v>
      </c>
      <c r="N48" s="275">
        <f>VLOOKUP(N$10,'C.I.2.2.7'!$A$37:$I$64,8,0)</f>
        <v>0</v>
      </c>
      <c r="O48" s="275">
        <f>VLOOKUP(O$10,'C.I.2.2.7'!$A$37:$I$64,8,0)</f>
        <v>0</v>
      </c>
      <c r="P48" s="275">
        <f>VLOOKUP(P$10,'C.I.2.2.7'!$A$37:$I$64,8,0)</f>
        <v>0</v>
      </c>
      <c r="Q48" s="275">
        <f>VLOOKUP(Q$10,'C.I.2.2.7'!$A$37:$I$64,8,0)</f>
        <v>0</v>
      </c>
      <c r="R48" s="275">
        <f>VLOOKUP(R$10,'C.I.2.2.7'!$A$37:$I$64,8,0)</f>
        <v>0</v>
      </c>
      <c r="S48" s="275">
        <f>VLOOKUP(S$10,'C.I.2.2.7'!$A$37:$I$64,8,0)</f>
        <v>0</v>
      </c>
      <c r="T48" s="275">
        <f>VLOOKUP(T$10,'C.I.2.2.7'!$A$37:$I$64,8,0)</f>
        <v>0</v>
      </c>
      <c r="U48" s="275">
        <f>VLOOKUP(U$10,'C.I.2.2.7'!$A$37:$I$64,8,0)</f>
        <v>0</v>
      </c>
      <c r="V48" s="275">
        <f>VLOOKUP(V$10,'C.I.2.2.7'!$A$37:$I$64,8,0)</f>
        <v>0</v>
      </c>
      <c r="W48" s="275">
        <f>VLOOKUP(W$10,'C.I.2.2.7'!$A$37:$I$64,8,0)</f>
        <v>0</v>
      </c>
      <c r="X48" s="275">
        <f>VLOOKUP(X$10,'C.I.2.2.7'!$A$37:$I$64,8,0)</f>
        <v>0</v>
      </c>
      <c r="Y48" s="275">
        <f>VLOOKUP(Y$10,'C.I.2.2.7'!$A$37:$I$64,8,0)</f>
        <v>0</v>
      </c>
      <c r="Z48" s="275">
        <f>VLOOKUP(Z$10,'C.I.2.2.7'!$A$37:$I$64,8,0)</f>
        <v>7.28</v>
      </c>
      <c r="AA48" s="275">
        <f>VLOOKUP(AA$10,'C.I.2.2.7'!$A$37:$I$64,8,0)</f>
        <v>0</v>
      </c>
      <c r="AB48" s="275">
        <f>VLOOKUP(AB$10,'C.I.2.2.7'!$A$37:$I$64,8,0)</f>
        <v>0</v>
      </c>
      <c r="AC48" s="275">
        <f>VLOOKUP(AC$10,'C.I.2.2.7'!$A$37:$I$64,8,0)</f>
        <v>0</v>
      </c>
      <c r="AD48" s="275">
        <f>VLOOKUP(AD$10,'C.I.2.2.7'!$A$37:$I$64,8,0)</f>
        <v>0</v>
      </c>
      <c r="AE48" s="275">
        <f>VLOOKUP(AE$10,'C.I.2.2.7'!$A$37:$I$66,8,0)</f>
        <v>0</v>
      </c>
      <c r="AF48" s="276">
        <f t="shared" si="3"/>
        <v>7.28</v>
      </c>
      <c r="AG48" s="279" t="s">
        <v>609</v>
      </c>
    </row>
    <row r="49" spans="1:33" s="185" customFormat="1" ht="30">
      <c r="A49" s="197">
        <f>THKLQT!A49</f>
        <v>160</v>
      </c>
      <c r="B49" s="273">
        <v>8</v>
      </c>
      <c r="C49" s="271" t="s">
        <v>193</v>
      </c>
      <c r="D49" s="273" t="s">
        <v>8</v>
      </c>
      <c r="E49" s="274">
        <v>0.25</v>
      </c>
      <c r="F49" s="275">
        <f>VLOOKUP(F$10,'C.I.2.2.8'!$A$37:$I$64,8,0)</f>
        <v>0</v>
      </c>
      <c r="G49" s="275">
        <f>VLOOKUP(G$10,'C.I.2.2.8'!$A$37:$I$64,8,0)</f>
        <v>0</v>
      </c>
      <c r="H49" s="275">
        <f>VLOOKUP(H$10,'C.I.2.2.8'!$A$37:$I$64,8,0)</f>
        <v>0</v>
      </c>
      <c r="I49" s="275">
        <f>VLOOKUP(I$10,'C.I.2.2.8'!$A$37:$I$64,8,0)</f>
        <v>0</v>
      </c>
      <c r="J49" s="275">
        <f>VLOOKUP(J$10,'C.I.2.2.8'!$A$37:$I$64,8,0)</f>
        <v>0</v>
      </c>
      <c r="K49" s="275">
        <f>VLOOKUP(K$10,'C.I.2.2.8'!$A$37:$I$64,8,0)</f>
        <v>0</v>
      </c>
      <c r="L49" s="275">
        <f>VLOOKUP(L$10,'C.I.2.2.8'!$A$37:$I$64,8,0)</f>
        <v>0</v>
      </c>
      <c r="M49" s="275">
        <f>VLOOKUP(M$10,'C.I.2.2.8'!$A$37:$I$64,8,0)</f>
        <v>0</v>
      </c>
      <c r="N49" s="275">
        <f>VLOOKUP(N$10,'C.I.2.2.8'!$A$37:$I$64,8,0)</f>
        <v>0</v>
      </c>
      <c r="O49" s="275">
        <f>VLOOKUP(O$10,'C.I.2.2.8'!$A$37:$I$64,8,0)</f>
        <v>0</v>
      </c>
      <c r="P49" s="275">
        <f>VLOOKUP(P$10,'C.I.2.2.8'!$A$37:$I$64,8,0)</f>
        <v>0</v>
      </c>
      <c r="Q49" s="275">
        <f>VLOOKUP(Q$10,'C.I.2.2.8'!$A$37:$I$64,8,0)</f>
        <v>0</v>
      </c>
      <c r="R49" s="275">
        <f>VLOOKUP(R$10,'C.I.2.2.8'!$A$37:$I$64,8,0)</f>
        <v>0</v>
      </c>
      <c r="S49" s="275">
        <f>VLOOKUP(S$10,'C.I.2.2.8'!$A$37:$I$64,8,0)</f>
        <v>0</v>
      </c>
      <c r="T49" s="275">
        <f>VLOOKUP(T$10,'C.I.2.2.8'!$A$37:$I$64,8,0)</f>
        <v>0</v>
      </c>
      <c r="U49" s="275">
        <f>VLOOKUP(U$10,'C.I.2.2.8'!$A$37:$I$64,8,0)</f>
        <v>0</v>
      </c>
      <c r="V49" s="275">
        <f>VLOOKUP(V$10,'C.I.2.2.8'!$A$37:$I$64,8,0)</f>
        <v>0</v>
      </c>
      <c r="W49" s="275">
        <f>VLOOKUP(W$10,'C.I.2.2.8'!$A$37:$I$64,8,0)</f>
        <v>0</v>
      </c>
      <c r="X49" s="275">
        <f>VLOOKUP(X$10,'C.I.2.2.8'!$A$37:$I$64,8,0)</f>
        <v>0</v>
      </c>
      <c r="Y49" s="275">
        <f>VLOOKUP(Y$10,'C.I.2.2.8'!$A$37:$I$64,8,0)</f>
        <v>0</v>
      </c>
      <c r="Z49" s="275">
        <f>VLOOKUP(Z$10,'C.I.2.2.8'!$A$37:$I$64,8,0)</f>
        <v>0.248</v>
      </c>
      <c r="AA49" s="275">
        <f>VLOOKUP(AA$10,'C.I.2.2.8'!$A$37:$I$64,8,0)</f>
        <v>0</v>
      </c>
      <c r="AB49" s="275">
        <f>VLOOKUP(AB$10,'C.I.2.2.8'!$A$37:$I$64,8,0)</f>
        <v>0</v>
      </c>
      <c r="AC49" s="275">
        <f>VLOOKUP(AC$10,'C.I.2.2.8'!$A$37:$I$64,8,0)</f>
        <v>0</v>
      </c>
      <c r="AD49" s="275">
        <f>VLOOKUP(AD$10,'C.I.2.2.8'!$A$37:$I$64,8,0)</f>
        <v>0</v>
      </c>
      <c r="AE49" s="275">
        <f>VLOOKUP(AE$10,'C.I.2.2.8'!$A$37:$I$66,8,0)</f>
        <v>0</v>
      </c>
      <c r="AF49" s="276">
        <f t="shared" si="3"/>
        <v>0.25</v>
      </c>
      <c r="AG49" s="279" t="s">
        <v>610</v>
      </c>
    </row>
    <row r="50" spans="1:33" s="185" customFormat="1" ht="30">
      <c r="A50" s="197">
        <f>THKLQT!A50</f>
        <v>161</v>
      </c>
      <c r="B50" s="273">
        <v>9</v>
      </c>
      <c r="C50" s="271" t="s">
        <v>194</v>
      </c>
      <c r="D50" s="273" t="s">
        <v>8</v>
      </c>
      <c r="E50" s="274">
        <v>1.75</v>
      </c>
      <c r="F50" s="275">
        <f>VLOOKUP(F$10,'C.I.2.2.9'!$A$37:$I$64,8,0)</f>
        <v>0</v>
      </c>
      <c r="G50" s="275">
        <f>VLOOKUP(G$10,'C.I.2.2.9'!$A$37:$I$64,8,0)</f>
        <v>0</v>
      </c>
      <c r="H50" s="275">
        <f>VLOOKUP(H$10,'C.I.2.2.9'!$A$37:$I$64,8,0)</f>
        <v>0</v>
      </c>
      <c r="I50" s="275">
        <f>VLOOKUP(I$10,'C.I.2.2.9'!$A$37:$I$64,8,0)</f>
        <v>0</v>
      </c>
      <c r="J50" s="275">
        <f>VLOOKUP(J$10,'C.I.2.2.9'!$A$37:$I$64,8,0)</f>
        <v>0</v>
      </c>
      <c r="K50" s="275">
        <f>VLOOKUP(K$10,'C.I.2.2.9'!$A$37:$I$64,8,0)</f>
        <v>0</v>
      </c>
      <c r="L50" s="275">
        <f>VLOOKUP(L$10,'C.I.2.2.9'!$A$37:$I$64,8,0)</f>
        <v>0</v>
      </c>
      <c r="M50" s="275">
        <f>VLOOKUP(M$10,'C.I.2.2.9'!$A$37:$I$64,8,0)</f>
        <v>0</v>
      </c>
      <c r="N50" s="275">
        <f>VLOOKUP(N$10,'C.I.2.2.9'!$A$37:$I$64,8,0)</f>
        <v>0</v>
      </c>
      <c r="O50" s="275">
        <f>VLOOKUP(O$10,'C.I.2.2.9'!$A$37:$I$64,8,0)</f>
        <v>0</v>
      </c>
      <c r="P50" s="275">
        <f>VLOOKUP(P$10,'C.I.2.2.9'!$A$37:$I$64,8,0)</f>
        <v>0</v>
      </c>
      <c r="Q50" s="275">
        <f>VLOOKUP(Q$10,'C.I.2.2.9'!$A$37:$I$64,8,0)</f>
        <v>0</v>
      </c>
      <c r="R50" s="275">
        <f>VLOOKUP(R$10,'C.I.2.2.9'!$A$37:$I$64,8,0)</f>
        <v>0</v>
      </c>
      <c r="S50" s="275">
        <f>VLOOKUP(S$10,'C.I.2.2.9'!$A$37:$I$64,8,0)</f>
        <v>0</v>
      </c>
      <c r="T50" s="275">
        <f>VLOOKUP(T$10,'C.I.2.2.9'!$A$37:$I$64,8,0)</f>
        <v>0</v>
      </c>
      <c r="U50" s="275">
        <f>VLOOKUP(U$10,'C.I.2.2.9'!$A$37:$I$64,8,0)</f>
        <v>0</v>
      </c>
      <c r="V50" s="275">
        <f>VLOOKUP(V$10,'C.I.2.2.9'!$A$37:$I$64,8,0)</f>
        <v>0</v>
      </c>
      <c r="W50" s="275">
        <f>VLOOKUP(W$10,'C.I.2.2.9'!$A$37:$I$64,8,0)</f>
        <v>0</v>
      </c>
      <c r="X50" s="275">
        <f>VLOOKUP(X$10,'C.I.2.2.9'!$A$37:$I$64,8,0)</f>
        <v>0</v>
      </c>
      <c r="Y50" s="275">
        <f>VLOOKUP(Y$10,'C.I.2.2.9'!$A$37:$I$64,8,0)</f>
        <v>0</v>
      </c>
      <c r="Z50" s="275">
        <f>VLOOKUP(Z$10,'C.I.2.2.9'!$A$37:$I$64,8,0)</f>
        <v>1.724</v>
      </c>
      <c r="AA50" s="275">
        <f>VLOOKUP(AA$10,'C.I.2.2.9'!$A$37:$I$64,8,0)</f>
        <v>0</v>
      </c>
      <c r="AB50" s="275">
        <f>VLOOKUP(AB$10,'C.I.2.2.9'!$A$37:$I$64,8,0)</f>
        <v>0</v>
      </c>
      <c r="AC50" s="275">
        <f>VLOOKUP(AC$10,'C.I.2.2.9'!$A$37:$I$64,8,0)</f>
        <v>0</v>
      </c>
      <c r="AD50" s="275">
        <f>VLOOKUP(AD$10,'C.I.2.2.9'!$A$37:$I$64,8,0)</f>
        <v>0</v>
      </c>
      <c r="AE50" s="275">
        <f>VLOOKUP(AE$10,'C.I.2.2.9'!$A$37:$I$66,8,0)</f>
        <v>0</v>
      </c>
      <c r="AF50" s="276">
        <f t="shared" si="3"/>
        <v>1.72</v>
      </c>
      <c r="AG50" s="279" t="s">
        <v>611</v>
      </c>
    </row>
    <row r="51" spans="1:33" s="185" customFormat="1" ht="15" hidden="1">
      <c r="A51" s="197">
        <f>THKLQT!A51</f>
        <v>0</v>
      </c>
      <c r="B51" s="242"/>
      <c r="C51" s="243" t="s">
        <v>195</v>
      </c>
      <c r="D51" s="242" t="s">
        <v>7</v>
      </c>
      <c r="E51" s="176">
        <v>0</v>
      </c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  <c r="AF51" s="206">
        <f t="shared" si="3"/>
        <v>0</v>
      </c>
    </row>
    <row r="52" spans="1:33" s="185" customFormat="1" ht="15" hidden="1">
      <c r="A52" s="197">
        <f>THKLQT!A52</f>
        <v>0</v>
      </c>
      <c r="B52" s="242"/>
      <c r="C52" s="243" t="s">
        <v>196</v>
      </c>
      <c r="D52" s="242" t="s">
        <v>7</v>
      </c>
      <c r="E52" s="176">
        <v>0</v>
      </c>
      <c r="F52" s="247"/>
      <c r="G52" s="247"/>
      <c r="H52" s="247"/>
      <c r="I52" s="247"/>
      <c r="J52" s="247"/>
      <c r="K52" s="247"/>
      <c r="L52" s="247"/>
      <c r="M52" s="247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  <c r="AF52" s="206">
        <f t="shared" si="3"/>
        <v>0</v>
      </c>
    </row>
    <row r="53" spans="1:33" s="185" customFormat="1" ht="15" hidden="1">
      <c r="A53" s="197">
        <f>THKLQT!A53</f>
        <v>0</v>
      </c>
      <c r="B53" s="242"/>
      <c r="C53" s="243" t="s">
        <v>197</v>
      </c>
      <c r="D53" s="242" t="s">
        <v>8</v>
      </c>
      <c r="E53" s="176">
        <v>0</v>
      </c>
      <c r="F53" s="247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7"/>
      <c r="AF53" s="206">
        <f t="shared" si="3"/>
        <v>0</v>
      </c>
    </row>
    <row r="54" spans="1:33" s="185" customFormat="1" ht="30" hidden="1">
      <c r="A54" s="197">
        <f>THKLQT!A54</f>
        <v>0</v>
      </c>
      <c r="B54" s="242"/>
      <c r="C54" s="243" t="s">
        <v>198</v>
      </c>
      <c r="D54" s="242" t="s">
        <v>8</v>
      </c>
      <c r="E54" s="176">
        <v>0</v>
      </c>
      <c r="F54" s="247"/>
      <c r="G54" s="247"/>
      <c r="H54" s="247"/>
      <c r="I54" s="247"/>
      <c r="J54" s="247"/>
      <c r="K54" s="247"/>
      <c r="L54" s="247"/>
      <c r="M54" s="247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  <c r="AF54" s="206">
        <f t="shared" si="3"/>
        <v>0</v>
      </c>
    </row>
    <row r="55" spans="1:33" s="185" customFormat="1" ht="30" hidden="1">
      <c r="A55" s="197">
        <f>THKLQT!A55</f>
        <v>0</v>
      </c>
      <c r="B55" s="242"/>
      <c r="C55" s="243" t="s">
        <v>199</v>
      </c>
      <c r="D55" s="242" t="s">
        <v>8</v>
      </c>
      <c r="E55" s="176">
        <v>0</v>
      </c>
      <c r="F55" s="247"/>
      <c r="G55" s="247"/>
      <c r="H55" s="247"/>
      <c r="I55" s="247"/>
      <c r="J55" s="247"/>
      <c r="K55" s="247"/>
      <c r="L55" s="247"/>
      <c r="M55" s="247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47"/>
      <c r="Y55" s="247"/>
      <c r="Z55" s="247"/>
      <c r="AA55" s="247"/>
      <c r="AB55" s="247"/>
      <c r="AC55" s="247"/>
      <c r="AD55" s="247"/>
      <c r="AE55" s="247"/>
      <c r="AF55" s="206">
        <f t="shared" si="3"/>
        <v>0</v>
      </c>
    </row>
    <row r="56" spans="1:33" s="185" customFormat="1" ht="15" hidden="1">
      <c r="A56" s="197">
        <f>THKLQT!A56</f>
        <v>0</v>
      </c>
      <c r="B56" s="242"/>
      <c r="C56" s="243" t="s">
        <v>200</v>
      </c>
      <c r="D56" s="242" t="s">
        <v>8</v>
      </c>
      <c r="E56" s="176">
        <v>0</v>
      </c>
      <c r="F56" s="247"/>
      <c r="G56" s="247"/>
      <c r="H56" s="247"/>
      <c r="I56" s="247"/>
      <c r="J56" s="247"/>
      <c r="K56" s="247"/>
      <c r="L56" s="247"/>
      <c r="M56" s="247"/>
      <c r="N56" s="247"/>
      <c r="O56" s="247"/>
      <c r="P56" s="247"/>
      <c r="Q56" s="247"/>
      <c r="R56" s="247"/>
      <c r="S56" s="247"/>
      <c r="T56" s="247"/>
      <c r="U56" s="247"/>
      <c r="V56" s="247"/>
      <c r="W56" s="247"/>
      <c r="X56" s="247"/>
      <c r="Y56" s="247"/>
      <c r="Z56" s="247"/>
      <c r="AA56" s="247"/>
      <c r="AB56" s="247"/>
      <c r="AC56" s="247"/>
      <c r="AD56" s="247"/>
      <c r="AE56" s="247"/>
      <c r="AF56" s="206">
        <f t="shared" si="3"/>
        <v>0</v>
      </c>
    </row>
    <row r="57" spans="1:33" s="185" customFormat="1" ht="30" hidden="1">
      <c r="A57" s="197">
        <f>THKLQT!A57</f>
        <v>0</v>
      </c>
      <c r="B57" s="242"/>
      <c r="C57" s="243" t="s">
        <v>201</v>
      </c>
      <c r="D57" s="242" t="s">
        <v>8</v>
      </c>
      <c r="E57" s="176">
        <v>0</v>
      </c>
      <c r="F57" s="247"/>
      <c r="G57" s="247"/>
      <c r="H57" s="247"/>
      <c r="I57" s="247"/>
      <c r="J57" s="247"/>
      <c r="K57" s="247"/>
      <c r="L57" s="247"/>
      <c r="M57" s="247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  <c r="AF57" s="206">
        <f t="shared" si="3"/>
        <v>0</v>
      </c>
    </row>
    <row r="58" spans="1:33" s="185" customFormat="1" ht="15">
      <c r="A58" s="197">
        <f>THKLQT!A58</f>
        <v>162</v>
      </c>
      <c r="B58" s="273">
        <v>10</v>
      </c>
      <c r="C58" s="271" t="s">
        <v>202</v>
      </c>
      <c r="D58" s="281" t="s">
        <v>125</v>
      </c>
      <c r="E58" s="274">
        <v>48</v>
      </c>
      <c r="F58" s="275">
        <f>VLOOKUP(F$10,'C.I.2.2.10'!$A$37:$I$64,8,0)</f>
        <v>0</v>
      </c>
      <c r="G58" s="275">
        <f>VLOOKUP(G$10,'C.I.2.2.10'!$A$37:$I$64,8,0)</f>
        <v>0</v>
      </c>
      <c r="H58" s="275">
        <f>VLOOKUP(H$10,'C.I.2.2.10'!$A$37:$I$64,8,0)</f>
        <v>0</v>
      </c>
      <c r="I58" s="275">
        <f>VLOOKUP(I$10,'C.I.2.2.10'!$A$37:$I$64,8,0)</f>
        <v>0</v>
      </c>
      <c r="J58" s="275">
        <f>VLOOKUP(J$10,'C.I.2.2.10'!$A$37:$I$64,8,0)</f>
        <v>0</v>
      </c>
      <c r="K58" s="275">
        <f>VLOOKUP(K$10,'C.I.2.2.10'!$A$37:$I$64,8,0)</f>
        <v>0</v>
      </c>
      <c r="L58" s="275">
        <f>VLOOKUP(L$10,'C.I.2.2.10'!$A$37:$I$64,8,0)</f>
        <v>0</v>
      </c>
      <c r="M58" s="275">
        <f>VLOOKUP(M$10,'C.I.2.2.10'!$A$37:$I$64,8,0)</f>
        <v>0</v>
      </c>
      <c r="N58" s="275">
        <f>VLOOKUP(N$10,'C.I.2.2.10'!$A$37:$I$64,8,0)</f>
        <v>0</v>
      </c>
      <c r="O58" s="275">
        <f>VLOOKUP(O$10,'C.I.2.2.10'!$A$37:$I$64,8,0)</f>
        <v>0</v>
      </c>
      <c r="P58" s="275">
        <f>VLOOKUP(P$10,'C.I.2.2.10'!$A$37:$I$64,8,0)</f>
        <v>0</v>
      </c>
      <c r="Q58" s="275">
        <f>VLOOKUP(Q$10,'C.I.2.2.10'!$A$37:$I$64,8,0)</f>
        <v>0</v>
      </c>
      <c r="R58" s="275">
        <f>VLOOKUP(R$10,'C.I.2.2.10'!$A$37:$I$64,8,0)</f>
        <v>0</v>
      </c>
      <c r="S58" s="275">
        <f>VLOOKUP(S$10,'C.I.2.2.10'!$A$37:$I$64,8,0)</f>
        <v>0</v>
      </c>
      <c r="T58" s="275">
        <f>VLOOKUP(T$10,'C.I.2.2.10'!$A$37:$I$64,8,0)</f>
        <v>0</v>
      </c>
      <c r="U58" s="275">
        <f>VLOOKUP(U$10,'C.I.2.2.10'!$A$37:$I$64,8,0)</f>
        <v>0</v>
      </c>
      <c r="V58" s="275">
        <f>VLOOKUP(V$10,'C.I.2.2.10'!$A$37:$I$64,8,0)</f>
        <v>0</v>
      </c>
      <c r="W58" s="275">
        <f>VLOOKUP(W$10,'C.I.2.2.10'!$A$37:$I$64,8,0)</f>
        <v>0</v>
      </c>
      <c r="X58" s="275">
        <f>VLOOKUP(X$10,'C.I.2.2.10'!$A$37:$I$64,8,0)</f>
        <v>0</v>
      </c>
      <c r="Y58" s="275">
        <f>VLOOKUP(Y$10,'C.I.2.2.10'!$A$37:$I$64,8,0)</f>
        <v>0</v>
      </c>
      <c r="Z58" s="275">
        <f>VLOOKUP(Z$10,'C.I.2.2.10'!$A$37:$I$64,8,0)</f>
        <v>48</v>
      </c>
      <c r="AA58" s="275">
        <f>VLOOKUP(AA$10,'C.I.2.2.10'!$A$37:$I$64,8,0)</f>
        <v>0</v>
      </c>
      <c r="AB58" s="275">
        <f>VLOOKUP(AB$10,'C.I.2.2.10'!$A$37:$I$64,8,0)</f>
        <v>0</v>
      </c>
      <c r="AC58" s="275">
        <f>VLOOKUP(AC$10,'C.I.2.2.10'!$A$37:$I$64,8,0)</f>
        <v>0</v>
      </c>
      <c r="AD58" s="275">
        <f>VLOOKUP(AD$10,'C.I.2.2.10'!$A$37:$I$64,8,0)</f>
        <v>0</v>
      </c>
      <c r="AE58" s="275">
        <f>VLOOKUP(AE$10,'C.I.2.2.10'!$A$37:$I$66,8,0)</f>
        <v>0</v>
      </c>
      <c r="AF58" s="276">
        <f t="shared" si="3"/>
        <v>48</v>
      </c>
      <c r="AG58" s="279" t="s">
        <v>612</v>
      </c>
    </row>
    <row r="59" spans="1:33" s="185" customFormat="1" ht="15">
      <c r="A59" s="197">
        <f>THKLQT!A59</f>
        <v>0</v>
      </c>
      <c r="B59" s="242" t="s">
        <v>153</v>
      </c>
      <c r="C59" s="240" t="s">
        <v>203</v>
      </c>
      <c r="D59" s="241" t="s">
        <v>153</v>
      </c>
      <c r="E59" s="176" t="s">
        <v>326</v>
      </c>
      <c r="F59" s="177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206">
        <f t="shared" si="3"/>
        <v>0</v>
      </c>
    </row>
    <row r="60" spans="1:33" s="185" customFormat="1" ht="15">
      <c r="A60" s="197">
        <f>THKLQT!A60</f>
        <v>163</v>
      </c>
      <c r="B60" s="273">
        <v>1</v>
      </c>
      <c r="C60" s="271" t="s">
        <v>204</v>
      </c>
      <c r="D60" s="273" t="s">
        <v>27</v>
      </c>
      <c r="E60" s="274">
        <v>414</v>
      </c>
      <c r="F60" s="275">
        <f>VLOOKUP(F$10,'C.I.2.3.1'!$A$34:$I$61,8,0)</f>
        <v>0</v>
      </c>
      <c r="G60" s="275">
        <f>VLOOKUP(G$10,'C.I.2.3.1'!$A$34:$I$61,8,0)</f>
        <v>0</v>
      </c>
      <c r="H60" s="275">
        <f>VLOOKUP(H$10,'C.I.2.3.1'!$A$34:$I$61,8,0)</f>
        <v>0</v>
      </c>
      <c r="I60" s="275">
        <f>VLOOKUP(I$10,'C.I.2.3.1'!$A$34:$I$61,8,0)</f>
        <v>0</v>
      </c>
      <c r="J60" s="275">
        <f>VLOOKUP(J$10,'C.I.2.3.1'!$A$34:$I$61,8,0)</f>
        <v>0</v>
      </c>
      <c r="K60" s="275">
        <f>VLOOKUP(K$10,'C.I.2.3.1'!$A$34:$I$61,8,0)</f>
        <v>0</v>
      </c>
      <c r="L60" s="275">
        <f>VLOOKUP(L$10,'C.I.2.3.1'!$A$34:$I$61,8,0)</f>
        <v>0</v>
      </c>
      <c r="M60" s="275">
        <f>VLOOKUP(M$10,'C.I.2.3.1'!$A$34:$I$61,8,0)</f>
        <v>0</v>
      </c>
      <c r="N60" s="275">
        <f>VLOOKUP(N$10,'C.I.2.3.1'!$A$34:$I$61,8,0)</f>
        <v>0</v>
      </c>
      <c r="O60" s="275">
        <f>VLOOKUP(O$10,'C.I.2.3.1'!$A$34:$I$61,8,0)</f>
        <v>0</v>
      </c>
      <c r="P60" s="275">
        <f>VLOOKUP(P$10,'C.I.2.3.1'!$A$34:$I$61,8,0)</f>
        <v>0</v>
      </c>
      <c r="Q60" s="275">
        <f>VLOOKUP(Q$10,'C.I.2.3.1'!$A$34:$I$61,8,0)</f>
        <v>0</v>
      </c>
      <c r="R60" s="275">
        <f>VLOOKUP(R$10,'C.I.2.3.1'!$A$34:$I$61,8,0)</f>
        <v>0</v>
      </c>
      <c r="S60" s="275">
        <f>VLOOKUP(S$10,'C.I.2.3.1'!$A$34:$I$61,8,0)</f>
        <v>0</v>
      </c>
      <c r="T60" s="275">
        <f>VLOOKUP(T$10,'C.I.2.3.1'!$A$34:$I$61,8,0)</f>
        <v>0</v>
      </c>
      <c r="U60" s="275">
        <f>VLOOKUP(U$10,'C.I.2.3.1'!$A$34:$I$61,8,0)</f>
        <v>0</v>
      </c>
      <c r="V60" s="275">
        <f>VLOOKUP(V$10,'C.I.2.3.1'!$A$34:$I$61,8,0)</f>
        <v>0</v>
      </c>
      <c r="W60" s="275">
        <f>VLOOKUP(W$10,'C.I.2.3.1'!$A$34:$I$61,8,0)</f>
        <v>0</v>
      </c>
      <c r="X60" s="275">
        <f>VLOOKUP(X$10,'C.I.2.3.1'!$A$34:$I$61,8,0)</f>
        <v>0</v>
      </c>
      <c r="Y60" s="275">
        <f>VLOOKUP(Y$10,'C.I.2.3.1'!$A$34:$I$61,8,0)</f>
        <v>0</v>
      </c>
      <c r="Z60" s="275">
        <f>VLOOKUP(Z$10,'C.I.2.3.1'!$A$34:$I$61,8,0)</f>
        <v>0</v>
      </c>
      <c r="AA60" s="275">
        <f>VLOOKUP(AA$10,'C.I.2.3.1'!$A$34:$I$61,8,0)</f>
        <v>414</v>
      </c>
      <c r="AB60" s="275">
        <f>VLOOKUP(AB$10,'C.I.2.3.1'!$A$34:$I$61,8,0)</f>
        <v>0</v>
      </c>
      <c r="AC60" s="275">
        <f>VLOOKUP(AC$10,'C.I.2.3.1'!$A$34:$I$61,8,0)</f>
        <v>0</v>
      </c>
      <c r="AD60" s="275">
        <f>VLOOKUP(AD$10,'C.I.2.3.1'!$A$34:$I$61,8,0)</f>
        <v>0</v>
      </c>
      <c r="AE60" s="275">
        <f>VLOOKUP(AE$10,'C.I.2.3.1'!$A$34:$I$63,8,0)</f>
        <v>0</v>
      </c>
      <c r="AF60" s="276">
        <f t="shared" si="3"/>
        <v>414</v>
      </c>
      <c r="AG60" s="279" t="s">
        <v>613</v>
      </c>
    </row>
    <row r="61" spans="1:33" s="185" customFormat="1" ht="15">
      <c r="A61" s="197">
        <f>THKLQT!A61</f>
        <v>0</v>
      </c>
      <c r="B61" s="239" t="s">
        <v>205</v>
      </c>
      <c r="C61" s="240" t="s">
        <v>206</v>
      </c>
      <c r="D61" s="241" t="s">
        <v>153</v>
      </c>
      <c r="E61" s="176" t="s">
        <v>326</v>
      </c>
      <c r="F61" s="177"/>
      <c r="G61" s="177"/>
      <c r="H61" s="177"/>
      <c r="I61" s="177"/>
      <c r="J61" s="177"/>
      <c r="K61" s="177"/>
      <c r="L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206">
        <f t="shared" si="3"/>
        <v>0</v>
      </c>
    </row>
    <row r="62" spans="1:33" s="185" customFormat="1" ht="15">
      <c r="A62" s="197">
        <f>THKLQT!A62</f>
        <v>0</v>
      </c>
      <c r="B62" s="242" t="s">
        <v>153</v>
      </c>
      <c r="C62" s="246" t="s">
        <v>207</v>
      </c>
      <c r="D62" s="241" t="s">
        <v>153</v>
      </c>
      <c r="E62" s="176" t="s">
        <v>326</v>
      </c>
      <c r="F62" s="177"/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206">
        <f t="shared" si="3"/>
        <v>0</v>
      </c>
    </row>
    <row r="63" spans="1:33" s="185" customFormat="1" ht="30" hidden="1">
      <c r="A63" s="197">
        <f>THKLQT!A63</f>
        <v>0</v>
      </c>
      <c r="B63" s="242"/>
      <c r="C63" s="243" t="s">
        <v>208</v>
      </c>
      <c r="D63" s="242" t="s">
        <v>209</v>
      </c>
      <c r="E63" s="176">
        <v>0</v>
      </c>
      <c r="F63" s="177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206">
        <f t="shared" si="3"/>
        <v>0</v>
      </c>
    </row>
    <row r="64" spans="1:33" s="185" customFormat="1" ht="15" hidden="1">
      <c r="A64" s="197">
        <f>THKLQT!A64</f>
        <v>0</v>
      </c>
      <c r="B64" s="242"/>
      <c r="C64" s="243" t="s">
        <v>210</v>
      </c>
      <c r="D64" s="242" t="s">
        <v>209</v>
      </c>
      <c r="E64" s="176">
        <v>0</v>
      </c>
      <c r="F64" s="177"/>
      <c r="G64" s="177"/>
      <c r="H64" s="177"/>
      <c r="I64" s="177"/>
      <c r="J64" s="177"/>
      <c r="K64" s="177"/>
      <c r="L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206">
        <f t="shared" si="3"/>
        <v>0</v>
      </c>
    </row>
    <row r="65" spans="1:33" s="185" customFormat="1" ht="30" hidden="1">
      <c r="A65" s="197">
        <f>THKLQT!A65</f>
        <v>0</v>
      </c>
      <c r="B65" s="242"/>
      <c r="C65" s="243" t="s">
        <v>211</v>
      </c>
      <c r="D65" s="242" t="s">
        <v>209</v>
      </c>
      <c r="E65" s="176">
        <v>0</v>
      </c>
      <c r="F65" s="177"/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206">
        <f t="shared" si="3"/>
        <v>0</v>
      </c>
    </row>
    <row r="66" spans="1:33" s="185" customFormat="1" ht="15" hidden="1">
      <c r="A66" s="197">
        <f>THKLQT!A66</f>
        <v>0</v>
      </c>
      <c r="B66" s="242"/>
      <c r="C66" s="243" t="s">
        <v>212</v>
      </c>
      <c r="D66" s="242" t="s">
        <v>209</v>
      </c>
      <c r="E66" s="176">
        <v>0</v>
      </c>
      <c r="F66" s="177"/>
      <c r="G66" s="177"/>
      <c r="H66" s="177"/>
      <c r="I66" s="177"/>
      <c r="J66" s="177"/>
      <c r="K66" s="177"/>
      <c r="L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206">
        <f t="shared" si="3"/>
        <v>0</v>
      </c>
    </row>
    <row r="67" spans="1:33" s="185" customFormat="1" ht="15">
      <c r="A67" s="197">
        <f>THKLQT!A67</f>
        <v>164</v>
      </c>
      <c r="B67" s="273">
        <v>1</v>
      </c>
      <c r="C67" s="280" t="s">
        <v>213</v>
      </c>
      <c r="D67" s="281" t="s">
        <v>214</v>
      </c>
      <c r="E67" s="274">
        <v>1</v>
      </c>
      <c r="F67" s="275">
        <f>VLOOKUP(F$10,'C.I.3.1'!$A$34:$I$63,8,0)</f>
        <v>0</v>
      </c>
      <c r="G67" s="275">
        <f>VLOOKUP(G$10,'C.I.3.1'!$A$34:$I$63,8,0)</f>
        <v>0</v>
      </c>
      <c r="H67" s="275">
        <f>VLOOKUP(H$10,'C.I.3.1'!$A$34:$I$63,8,0)</f>
        <v>0</v>
      </c>
      <c r="I67" s="275">
        <f>VLOOKUP(I$10,'C.I.3.1'!$A$34:$I$63,8,0)</f>
        <v>0</v>
      </c>
      <c r="J67" s="275">
        <f>VLOOKUP(J$10,'C.I.3.1'!$A$34:$I$63,8,0)</f>
        <v>0</v>
      </c>
      <c r="K67" s="275">
        <f>VLOOKUP(K$10,'C.I.3.1'!$A$34:$I$63,8,0)</f>
        <v>0</v>
      </c>
      <c r="L67" s="275">
        <f>VLOOKUP(L$10,'C.I.3.1'!$A$34:$I$63,8,0)</f>
        <v>0</v>
      </c>
      <c r="M67" s="275">
        <f>VLOOKUP(M$10,'C.I.3.1'!$A$34:$I$63,8,0)</f>
        <v>0</v>
      </c>
      <c r="N67" s="275">
        <f>VLOOKUP(N$10,'C.I.3.1'!$A$34:$I$63,8,0)</f>
        <v>0</v>
      </c>
      <c r="O67" s="275">
        <f>VLOOKUP(O$10,'C.I.3.1'!$A$34:$I$63,8,0)</f>
        <v>0</v>
      </c>
      <c r="P67" s="275">
        <f>VLOOKUP(P$10,'C.I.3.1'!$A$34:$I$63,8,0)</f>
        <v>0</v>
      </c>
      <c r="Q67" s="275">
        <f>VLOOKUP(Q$10,'C.I.3.1'!$A$34:$I$63,8,0)</f>
        <v>1</v>
      </c>
      <c r="R67" s="275">
        <f>VLOOKUP(R$10,'C.I.3.1'!$A$34:$I$63,8,0)</f>
        <v>0</v>
      </c>
      <c r="S67" s="275">
        <f>VLOOKUP(S$10,'C.I.3.1'!$A$34:$I$63,8,0)</f>
        <v>0</v>
      </c>
      <c r="T67" s="275">
        <f>VLOOKUP(T$10,'C.I.3.1'!$A$34:$I$63,8,0)</f>
        <v>0</v>
      </c>
      <c r="U67" s="275">
        <f>VLOOKUP(U$10,'C.I.3.1'!$A$34:$I$63,8,0)</f>
        <v>0</v>
      </c>
      <c r="V67" s="275">
        <f>VLOOKUP(V$10,'C.I.3.1'!$A$34:$I$63,8,0)</f>
        <v>0</v>
      </c>
      <c r="W67" s="275">
        <f>VLOOKUP(W$10,'C.I.3.1'!$A$34:$I$63,8,0)</f>
        <v>0</v>
      </c>
      <c r="X67" s="275">
        <f>VLOOKUP(X$10,'C.I.3.1'!$A$34:$I$63,8,0)</f>
        <v>0</v>
      </c>
      <c r="Y67" s="275">
        <f>VLOOKUP(Y$10,'C.I.3.1'!$A$34:$I$63,8,0)</f>
        <v>0</v>
      </c>
      <c r="Z67" s="275">
        <f>VLOOKUP(Z$10,'C.I.3.1'!$A$34:$I$63,8,0)</f>
        <v>0</v>
      </c>
      <c r="AA67" s="275">
        <f>VLOOKUP(AA$10,'C.I.3.1'!$A$34:$I$63,8,0)</f>
        <v>0</v>
      </c>
      <c r="AB67" s="275">
        <f>VLOOKUP(AB$10,'C.I.3.1'!$A$34:$I$63,8,0)</f>
        <v>0</v>
      </c>
      <c r="AC67" s="275">
        <f>VLOOKUP(AC$10,'C.I.3.1'!$A$34:$I$63,8,0)</f>
        <v>0</v>
      </c>
      <c r="AD67" s="275">
        <f>VLOOKUP(AD$10,'C.I.3.1'!$A$34:$I$63,8,0)</f>
        <v>0</v>
      </c>
      <c r="AE67" s="275">
        <f>VLOOKUP(AE$10,'C.I.3.1'!$A$34:$I$63,8,0)</f>
        <v>0</v>
      </c>
      <c r="AF67" s="276">
        <f t="shared" si="3"/>
        <v>1</v>
      </c>
      <c r="AG67" s="279" t="s">
        <v>614</v>
      </c>
    </row>
    <row r="68" spans="1:33" s="185" customFormat="1" ht="15" hidden="1">
      <c r="A68" s="197">
        <f>THKLQT!A68</f>
        <v>0</v>
      </c>
      <c r="B68" s="273"/>
      <c r="C68" s="271" t="s">
        <v>215</v>
      </c>
      <c r="D68" s="273" t="s">
        <v>7</v>
      </c>
      <c r="E68" s="274">
        <v>0</v>
      </c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6">
        <f t="shared" si="3"/>
        <v>0</v>
      </c>
    </row>
    <row r="69" spans="1:33" s="185" customFormat="1" ht="15" hidden="1">
      <c r="A69" s="197">
        <f>THKLQT!A69</f>
        <v>0</v>
      </c>
      <c r="B69" s="273"/>
      <c r="C69" s="271" t="s">
        <v>216</v>
      </c>
      <c r="D69" s="273" t="s">
        <v>7</v>
      </c>
      <c r="E69" s="274">
        <v>0</v>
      </c>
      <c r="F69" s="275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5"/>
      <c r="AE69" s="275"/>
      <c r="AF69" s="276">
        <f t="shared" si="3"/>
        <v>0</v>
      </c>
    </row>
    <row r="70" spans="1:33" s="185" customFormat="1" ht="15" hidden="1">
      <c r="A70" s="197">
        <f>THKLQT!A70</f>
        <v>0</v>
      </c>
      <c r="B70" s="273"/>
      <c r="C70" s="271" t="s">
        <v>217</v>
      </c>
      <c r="D70" s="273" t="s">
        <v>9</v>
      </c>
      <c r="E70" s="274">
        <v>0</v>
      </c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6">
        <f t="shared" si="3"/>
        <v>0</v>
      </c>
    </row>
    <row r="71" spans="1:33" s="185" customFormat="1" ht="15" hidden="1">
      <c r="A71" s="197">
        <f>THKLQT!A71</f>
        <v>0</v>
      </c>
      <c r="B71" s="273"/>
      <c r="C71" s="271" t="s">
        <v>218</v>
      </c>
      <c r="D71" s="273" t="s">
        <v>27</v>
      </c>
      <c r="E71" s="274">
        <v>0</v>
      </c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6">
        <f t="shared" si="3"/>
        <v>0</v>
      </c>
    </row>
    <row r="72" spans="1:33" s="185" customFormat="1" ht="15" hidden="1">
      <c r="A72" s="197">
        <f>THKLQT!A72</f>
        <v>0</v>
      </c>
      <c r="B72" s="273"/>
      <c r="C72" s="271" t="s">
        <v>219</v>
      </c>
      <c r="D72" s="273" t="s">
        <v>7</v>
      </c>
      <c r="E72" s="274">
        <v>0</v>
      </c>
      <c r="F72" s="275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5"/>
      <c r="AE72" s="275"/>
      <c r="AF72" s="276">
        <f t="shared" si="3"/>
        <v>0</v>
      </c>
    </row>
    <row r="73" spans="1:33" s="185" customFormat="1" ht="15" hidden="1">
      <c r="A73" s="197">
        <f>THKLQT!A73</f>
        <v>0</v>
      </c>
      <c r="B73" s="273"/>
      <c r="C73" s="271" t="s">
        <v>220</v>
      </c>
      <c r="D73" s="273" t="s">
        <v>7</v>
      </c>
      <c r="E73" s="274">
        <v>0</v>
      </c>
      <c r="F73" s="275"/>
      <c r="G73" s="275"/>
      <c r="H73" s="275"/>
      <c r="I73" s="275"/>
      <c r="J73" s="275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5"/>
      <c r="AE73" s="275"/>
      <c r="AF73" s="276">
        <f t="shared" si="3"/>
        <v>0</v>
      </c>
    </row>
    <row r="74" spans="1:33" s="185" customFormat="1" ht="15" hidden="1">
      <c r="A74" s="197">
        <f>THKLQT!A74</f>
        <v>0</v>
      </c>
      <c r="B74" s="273"/>
      <c r="C74" s="271" t="s">
        <v>221</v>
      </c>
      <c r="D74" s="273" t="s">
        <v>7</v>
      </c>
      <c r="E74" s="274">
        <v>0</v>
      </c>
      <c r="F74" s="275"/>
      <c r="G74" s="275"/>
      <c r="H74" s="275"/>
      <c r="I74" s="275"/>
      <c r="J74" s="275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5"/>
      <c r="AE74" s="275"/>
      <c r="AF74" s="276">
        <f t="shared" si="3"/>
        <v>0</v>
      </c>
    </row>
    <row r="75" spans="1:33" s="185" customFormat="1" ht="15" hidden="1">
      <c r="A75" s="197">
        <f>THKLQT!A75</f>
        <v>0</v>
      </c>
      <c r="B75" s="273"/>
      <c r="C75" s="271" t="s">
        <v>124</v>
      </c>
      <c r="D75" s="273" t="s">
        <v>7</v>
      </c>
      <c r="E75" s="274">
        <v>0</v>
      </c>
      <c r="F75" s="275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5"/>
      <c r="AE75" s="275"/>
      <c r="AF75" s="276">
        <f t="shared" si="3"/>
        <v>0</v>
      </c>
    </row>
    <row r="76" spans="1:33" s="185" customFormat="1" ht="15" hidden="1">
      <c r="A76" s="197">
        <f>THKLQT!A76</f>
        <v>0</v>
      </c>
      <c r="B76" s="273"/>
      <c r="C76" s="271" t="s">
        <v>222</v>
      </c>
      <c r="D76" s="273" t="s">
        <v>8</v>
      </c>
      <c r="E76" s="274">
        <v>0</v>
      </c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6">
        <f t="shared" si="3"/>
        <v>0</v>
      </c>
    </row>
    <row r="77" spans="1:33" s="185" customFormat="1" ht="15" hidden="1">
      <c r="A77" s="197">
        <f>THKLQT!A77</f>
        <v>0</v>
      </c>
      <c r="B77" s="273"/>
      <c r="C77" s="271" t="s">
        <v>223</v>
      </c>
      <c r="D77" s="273" t="s">
        <v>8</v>
      </c>
      <c r="E77" s="274">
        <v>0</v>
      </c>
      <c r="F77" s="275"/>
      <c r="G77" s="275"/>
      <c r="H77" s="275"/>
      <c r="I77" s="275"/>
      <c r="J77" s="275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275"/>
      <c r="AA77" s="275"/>
      <c r="AB77" s="275"/>
      <c r="AC77" s="275"/>
      <c r="AD77" s="275"/>
      <c r="AE77" s="275"/>
      <c r="AF77" s="276">
        <f t="shared" si="3"/>
        <v>0</v>
      </c>
    </row>
    <row r="78" spans="1:33" s="185" customFormat="1" ht="30" hidden="1">
      <c r="A78" s="197">
        <f>THKLQT!A78</f>
        <v>0</v>
      </c>
      <c r="B78" s="273"/>
      <c r="C78" s="271" t="s">
        <v>224</v>
      </c>
      <c r="D78" s="273" t="s">
        <v>8</v>
      </c>
      <c r="E78" s="274">
        <v>0</v>
      </c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6">
        <f t="shared" si="3"/>
        <v>0</v>
      </c>
    </row>
    <row r="79" spans="1:33" s="185" customFormat="1" ht="15" hidden="1">
      <c r="A79" s="197">
        <f>THKLQT!A79</f>
        <v>0</v>
      </c>
      <c r="B79" s="273"/>
      <c r="C79" s="271" t="s">
        <v>225</v>
      </c>
      <c r="D79" s="273" t="s">
        <v>7</v>
      </c>
      <c r="E79" s="274">
        <v>0</v>
      </c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6">
        <f t="shared" si="3"/>
        <v>0</v>
      </c>
    </row>
    <row r="80" spans="1:33" s="185" customFormat="1" ht="15" hidden="1">
      <c r="A80" s="197">
        <f>THKLQT!A80</f>
        <v>0</v>
      </c>
      <c r="B80" s="273"/>
      <c r="C80" s="271" t="s">
        <v>226</v>
      </c>
      <c r="D80" s="273" t="s">
        <v>7</v>
      </c>
      <c r="E80" s="274">
        <v>0</v>
      </c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6">
        <f t="shared" si="3"/>
        <v>0</v>
      </c>
    </row>
    <row r="81" spans="1:33" s="185" customFormat="1" ht="15">
      <c r="A81" s="197">
        <f>THKLQT!A81</f>
        <v>165</v>
      </c>
      <c r="B81" s="281">
        <v>2</v>
      </c>
      <c r="C81" s="280" t="s">
        <v>227</v>
      </c>
      <c r="D81" s="281" t="s">
        <v>214</v>
      </c>
      <c r="E81" s="274">
        <v>1</v>
      </c>
      <c r="F81" s="275">
        <f>VLOOKUP(F$10,'C.I.3.2'!$A$34:$I$63,8,0)</f>
        <v>0</v>
      </c>
      <c r="G81" s="275">
        <f>VLOOKUP(G$10,'C.I.3.2'!$A$34:$I$63,8,0)</f>
        <v>0</v>
      </c>
      <c r="H81" s="275">
        <f>VLOOKUP(H$10,'C.I.3.2'!$A$34:$I$63,8,0)</f>
        <v>0</v>
      </c>
      <c r="I81" s="275">
        <f>VLOOKUP(I$10,'C.I.3.2'!$A$34:$I$63,8,0)</f>
        <v>0</v>
      </c>
      <c r="J81" s="275">
        <f>VLOOKUP(J$10,'C.I.3.2'!$A$34:$I$63,8,0)</f>
        <v>0</v>
      </c>
      <c r="K81" s="275">
        <f>VLOOKUP(K$10,'C.I.3.2'!$A$34:$I$63,8,0)</f>
        <v>0</v>
      </c>
      <c r="L81" s="275">
        <f>VLOOKUP(L$10,'C.I.3.2'!$A$34:$I$63,8,0)</f>
        <v>0</v>
      </c>
      <c r="M81" s="275">
        <f>VLOOKUP(M$10,'C.I.3.2'!$A$34:$I$63,8,0)</f>
        <v>0</v>
      </c>
      <c r="N81" s="275">
        <f>VLOOKUP(N$10,'C.I.3.2'!$A$34:$I$63,8,0)</f>
        <v>0</v>
      </c>
      <c r="O81" s="275">
        <f>VLOOKUP(O$10,'C.I.3.2'!$A$34:$I$63,8,0)</f>
        <v>0</v>
      </c>
      <c r="P81" s="275">
        <f>VLOOKUP(P$10,'C.I.3.2'!$A$34:$I$63,8,0)</f>
        <v>1</v>
      </c>
      <c r="Q81" s="275">
        <f>VLOOKUP(Q$10,'C.I.3.2'!$A$34:$I$63,8,0)</f>
        <v>0</v>
      </c>
      <c r="R81" s="275">
        <f>VLOOKUP(R$10,'C.I.3.2'!$A$34:$I$63,8,0)</f>
        <v>0</v>
      </c>
      <c r="S81" s="275">
        <f>VLOOKUP(S$10,'C.I.3.2'!$A$34:$I$63,8,0)</f>
        <v>0</v>
      </c>
      <c r="T81" s="275">
        <f>VLOOKUP(T$10,'C.I.3.2'!$A$34:$I$63,8,0)</f>
        <v>0</v>
      </c>
      <c r="U81" s="275">
        <f>VLOOKUP(U$10,'C.I.3.2'!$A$34:$I$63,8,0)</f>
        <v>0</v>
      </c>
      <c r="V81" s="275">
        <f>VLOOKUP(V$10,'C.I.3.2'!$A$34:$I$63,8,0)</f>
        <v>0</v>
      </c>
      <c r="W81" s="275">
        <f>VLOOKUP(W$10,'C.I.3.2'!$A$34:$I$63,8,0)</f>
        <v>0</v>
      </c>
      <c r="X81" s="275">
        <f>VLOOKUP(X$10,'C.I.3.2'!$A$34:$I$63,8,0)</f>
        <v>0</v>
      </c>
      <c r="Y81" s="275">
        <f>VLOOKUP(Y$10,'C.I.3.2'!$A$34:$I$63,8,0)</f>
        <v>0</v>
      </c>
      <c r="Z81" s="275">
        <f>VLOOKUP(Z$10,'C.I.3.2'!$A$34:$I$63,8,0)</f>
        <v>0</v>
      </c>
      <c r="AA81" s="275">
        <f>VLOOKUP(AA$10,'C.I.3.2'!$A$34:$I$63,8,0)</f>
        <v>0</v>
      </c>
      <c r="AB81" s="275">
        <f>VLOOKUP(AB$10,'C.I.3.2'!$A$34:$I$63,8,0)</f>
        <v>0</v>
      </c>
      <c r="AC81" s="275">
        <f>VLOOKUP(AC$10,'C.I.3.2'!$A$34:$I$63,8,0)</f>
        <v>0</v>
      </c>
      <c r="AD81" s="275">
        <f>VLOOKUP(AD$10,'C.I.3.2'!$A$34:$I$63,8,0)</f>
        <v>0</v>
      </c>
      <c r="AE81" s="275">
        <f>VLOOKUP(AE$10,'C.I.3.2'!$A$34:$I$63,8,0)</f>
        <v>0</v>
      </c>
      <c r="AF81" s="276">
        <f t="shared" si="3"/>
        <v>1</v>
      </c>
      <c r="AG81" s="279" t="s">
        <v>615</v>
      </c>
    </row>
    <row r="82" spans="1:33" s="185" customFormat="1" ht="15" hidden="1">
      <c r="A82" s="197">
        <f>THKLQT!A82</f>
        <v>0</v>
      </c>
      <c r="B82" s="242"/>
      <c r="C82" s="243" t="s">
        <v>215</v>
      </c>
      <c r="D82" s="242" t="s">
        <v>7</v>
      </c>
      <c r="E82" s="176">
        <v>0</v>
      </c>
      <c r="F82" s="177"/>
      <c r="G82" s="177"/>
      <c r="H82" s="177"/>
      <c r="I82" s="177"/>
      <c r="J82" s="177"/>
      <c r="K82" s="177"/>
      <c r="L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206">
        <f t="shared" si="3"/>
        <v>0</v>
      </c>
    </row>
    <row r="83" spans="1:33" s="185" customFormat="1" ht="30" hidden="1">
      <c r="A83" s="197">
        <f>THKLQT!A83</f>
        <v>0</v>
      </c>
      <c r="B83" s="242"/>
      <c r="C83" s="243" t="s">
        <v>228</v>
      </c>
      <c r="D83" s="242" t="s">
        <v>7</v>
      </c>
      <c r="E83" s="176">
        <v>0</v>
      </c>
      <c r="F83" s="177"/>
      <c r="G83" s="177"/>
      <c r="H83" s="177"/>
      <c r="I83" s="177"/>
      <c r="J83" s="177"/>
      <c r="K83" s="177"/>
      <c r="L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206">
        <f t="shared" si="3"/>
        <v>0</v>
      </c>
    </row>
    <row r="84" spans="1:33" s="185" customFormat="1" ht="15" hidden="1">
      <c r="A84" s="197">
        <f>THKLQT!A84</f>
        <v>0</v>
      </c>
      <c r="B84" s="242"/>
      <c r="C84" s="243" t="s">
        <v>229</v>
      </c>
      <c r="D84" s="242" t="s">
        <v>0</v>
      </c>
      <c r="E84" s="176">
        <v>0</v>
      </c>
      <c r="F84" s="177"/>
      <c r="G84" s="177"/>
      <c r="H84" s="177"/>
      <c r="I84" s="177"/>
      <c r="J84" s="177"/>
      <c r="K84" s="177"/>
      <c r="L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206">
        <f t="shared" si="3"/>
        <v>0</v>
      </c>
    </row>
    <row r="85" spans="1:33" s="185" customFormat="1" ht="15" hidden="1">
      <c r="A85" s="197">
        <f>THKLQT!A85</f>
        <v>0</v>
      </c>
      <c r="B85" s="242"/>
      <c r="C85" s="243" t="s">
        <v>124</v>
      </c>
      <c r="D85" s="242" t="s">
        <v>7</v>
      </c>
      <c r="E85" s="176">
        <v>0</v>
      </c>
      <c r="F85" s="177"/>
      <c r="G85" s="177"/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206">
        <f t="shared" si="3"/>
        <v>0</v>
      </c>
    </row>
    <row r="86" spans="1:33" s="185" customFormat="1" ht="15" hidden="1">
      <c r="A86" s="197">
        <f>THKLQT!A86</f>
        <v>0</v>
      </c>
      <c r="B86" s="242"/>
      <c r="C86" s="243" t="s">
        <v>230</v>
      </c>
      <c r="D86" s="242" t="s">
        <v>7</v>
      </c>
      <c r="E86" s="176">
        <v>0</v>
      </c>
      <c r="F86" s="177"/>
      <c r="G86" s="177"/>
      <c r="H86" s="177"/>
      <c r="I86" s="177"/>
      <c r="J86" s="177"/>
      <c r="K86" s="177"/>
      <c r="L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206">
        <f t="shared" si="3"/>
        <v>0</v>
      </c>
    </row>
    <row r="87" spans="1:33" s="185" customFormat="1" ht="15" hidden="1">
      <c r="A87" s="197">
        <f>THKLQT!A87</f>
        <v>0</v>
      </c>
      <c r="B87" s="242"/>
      <c r="C87" s="243" t="s">
        <v>231</v>
      </c>
      <c r="D87" s="242" t="s">
        <v>232</v>
      </c>
      <c r="E87" s="176">
        <v>0</v>
      </c>
      <c r="F87" s="177"/>
      <c r="G87" s="177"/>
      <c r="H87" s="177"/>
      <c r="I87" s="177"/>
      <c r="J87" s="177"/>
      <c r="K87" s="177"/>
      <c r="L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206">
        <f t="shared" si="3"/>
        <v>0</v>
      </c>
    </row>
    <row r="88" spans="1:33" s="185" customFormat="1" ht="15" hidden="1">
      <c r="A88" s="197">
        <f>THKLQT!A88</f>
        <v>0</v>
      </c>
      <c r="B88" s="242"/>
      <c r="C88" s="243" t="s">
        <v>233</v>
      </c>
      <c r="D88" s="242" t="s">
        <v>234</v>
      </c>
      <c r="E88" s="176">
        <v>0</v>
      </c>
      <c r="F88" s="177"/>
      <c r="G88" s="177"/>
      <c r="H88" s="177"/>
      <c r="I88" s="177"/>
      <c r="J88" s="177"/>
      <c r="K88" s="177"/>
      <c r="L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206">
        <f t="shared" si="3"/>
        <v>0</v>
      </c>
    </row>
    <row r="89" spans="1:33" s="185" customFormat="1" ht="15" hidden="1">
      <c r="A89" s="197">
        <f>THKLQT!A89</f>
        <v>0</v>
      </c>
      <c r="B89" s="242"/>
      <c r="C89" s="243" t="s">
        <v>235</v>
      </c>
      <c r="D89" s="242" t="s">
        <v>234</v>
      </c>
      <c r="E89" s="176">
        <v>0</v>
      </c>
      <c r="F89" s="177"/>
      <c r="G89" s="177"/>
      <c r="H89" s="177"/>
      <c r="I89" s="177"/>
      <c r="J89" s="177"/>
      <c r="K89" s="177"/>
      <c r="L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206">
        <f t="shared" si="3"/>
        <v>0</v>
      </c>
    </row>
    <row r="90" spans="1:33" s="185" customFormat="1" ht="30" hidden="1">
      <c r="A90" s="197">
        <f>THKLQT!A90</f>
        <v>0</v>
      </c>
      <c r="B90" s="242"/>
      <c r="C90" s="243" t="s">
        <v>236</v>
      </c>
      <c r="D90" s="242" t="s">
        <v>234</v>
      </c>
      <c r="E90" s="176">
        <v>0</v>
      </c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206">
        <f t="shared" si="3"/>
        <v>0</v>
      </c>
    </row>
    <row r="91" spans="1:33" s="185" customFormat="1" ht="30" hidden="1">
      <c r="A91" s="197">
        <f>THKLQT!A91</f>
        <v>0</v>
      </c>
      <c r="B91" s="242"/>
      <c r="C91" s="243" t="s">
        <v>237</v>
      </c>
      <c r="D91" s="242" t="s">
        <v>7</v>
      </c>
      <c r="E91" s="176">
        <v>0</v>
      </c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206">
        <f t="shared" si="3"/>
        <v>0</v>
      </c>
    </row>
    <row r="92" spans="1:33" s="185" customFormat="1" ht="15">
      <c r="A92" s="197">
        <f>THKLQT!A92</f>
        <v>0</v>
      </c>
      <c r="B92" s="242" t="s">
        <v>153</v>
      </c>
      <c r="C92" s="240" t="s">
        <v>172</v>
      </c>
      <c r="D92" s="241" t="s">
        <v>153</v>
      </c>
      <c r="E92" s="176">
        <v>0</v>
      </c>
      <c r="F92" s="177"/>
      <c r="G92" s="177"/>
      <c r="H92" s="177"/>
      <c r="I92" s="177"/>
      <c r="J92" s="177"/>
      <c r="K92" s="177"/>
      <c r="L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206">
        <f t="shared" si="3"/>
        <v>0</v>
      </c>
    </row>
    <row r="93" spans="1:33" s="185" customFormat="1" ht="30">
      <c r="A93" s="197">
        <f>THKLQT!A93</f>
        <v>166</v>
      </c>
      <c r="B93" s="273">
        <v>1</v>
      </c>
      <c r="C93" s="271" t="s">
        <v>238</v>
      </c>
      <c r="D93" s="273" t="s">
        <v>234</v>
      </c>
      <c r="E93" s="274">
        <v>0.26</v>
      </c>
      <c r="F93" s="275">
        <f>VLOOKUP(F$10,'C.I.3.3'!$A$34:$I$63,8,0)</f>
        <v>0</v>
      </c>
      <c r="G93" s="275">
        <f>VLOOKUP(G$10,'C.I.3.3'!$A$34:$I$63,8,0)</f>
        <v>0</v>
      </c>
      <c r="H93" s="275">
        <f>VLOOKUP(H$10,'C.I.3.3'!$A$34:$I$63,8,0)</f>
        <v>0</v>
      </c>
      <c r="I93" s="275">
        <f>VLOOKUP(I$10,'C.I.3.3'!$A$34:$I$63,8,0)</f>
        <v>0</v>
      </c>
      <c r="J93" s="275">
        <f>VLOOKUP(J$10,'C.I.3.3'!$A$34:$I$63,8,0)</f>
        <v>0</v>
      </c>
      <c r="K93" s="275">
        <f>VLOOKUP(K$10,'C.I.3.3'!$A$34:$I$63,8,0)</f>
        <v>0</v>
      </c>
      <c r="L93" s="275">
        <f>VLOOKUP(L$10,'C.I.3.3'!$A$34:$I$63,8,0)</f>
        <v>0</v>
      </c>
      <c r="M93" s="275">
        <f>VLOOKUP(M$10,'C.I.3.3'!$A$34:$I$63,8,0)</f>
        <v>0</v>
      </c>
      <c r="N93" s="275">
        <f>VLOOKUP(N$10,'C.I.3.3'!$A$34:$I$63,8,0)</f>
        <v>0</v>
      </c>
      <c r="O93" s="275">
        <f>VLOOKUP(O$10,'C.I.3.3'!$A$34:$I$63,8,0)</f>
        <v>0</v>
      </c>
      <c r="P93" s="275">
        <f>VLOOKUP(P$10,'C.I.3.3'!$A$34:$I$63,8,0)</f>
        <v>0</v>
      </c>
      <c r="Q93" s="275">
        <f>VLOOKUP(Q$10,'C.I.3.3'!$A$34:$I$63,8,0)</f>
        <v>0</v>
      </c>
      <c r="R93" s="275">
        <f>VLOOKUP(R$10,'C.I.3.3'!$A$34:$I$63,8,0)</f>
        <v>0</v>
      </c>
      <c r="S93" s="275">
        <f>VLOOKUP(S$10,'C.I.3.3'!$A$34:$I$63,8,0)</f>
        <v>0</v>
      </c>
      <c r="T93" s="275">
        <f>VLOOKUP(T$10,'C.I.3.3'!$A$34:$I$63,8,0)</f>
        <v>0</v>
      </c>
      <c r="U93" s="275">
        <f>VLOOKUP(U$10,'C.I.3.3'!$A$34:$I$63,8,0)</f>
        <v>0</v>
      </c>
      <c r="V93" s="275">
        <f>VLOOKUP(V$10,'C.I.3.3'!$A$34:$I$63,8,0)</f>
        <v>0.26</v>
      </c>
      <c r="W93" s="275">
        <f>VLOOKUP(W$10,'C.I.3.3'!$A$34:$I$63,8,0)</f>
        <v>0</v>
      </c>
      <c r="X93" s="275">
        <f>VLOOKUP(X$10,'C.I.3.3'!$A$34:$I$63,8,0)</f>
        <v>0</v>
      </c>
      <c r="Y93" s="275">
        <f>VLOOKUP(Y$10,'C.I.3.3'!$A$34:$I$63,8,0)</f>
        <v>0</v>
      </c>
      <c r="Z93" s="275">
        <f>VLOOKUP(Z$10,'C.I.3.3'!$A$34:$I$63,8,0)</f>
        <v>0</v>
      </c>
      <c r="AA93" s="275">
        <f>VLOOKUP(AA$10,'C.I.3.3'!$A$34:$I$63,8,0)</f>
        <v>0</v>
      </c>
      <c r="AB93" s="275">
        <f>VLOOKUP(AB$10,'C.I.3.3'!$A$34:$I$63,8,0)</f>
        <v>0</v>
      </c>
      <c r="AC93" s="275">
        <f>VLOOKUP(AC$10,'C.I.3.3'!$A$34:$I$63,8,0)</f>
        <v>0</v>
      </c>
      <c r="AD93" s="275">
        <f>VLOOKUP(AD$10,'C.I.3.3'!$A$34:$I$63,8,0)</f>
        <v>0</v>
      </c>
      <c r="AE93" s="275">
        <f>VLOOKUP(AE$10,'C.I.3.3'!$A$34:$I$63,8,0)</f>
        <v>0</v>
      </c>
      <c r="AF93" s="206">
        <f t="shared" si="3"/>
        <v>0.26</v>
      </c>
      <c r="AG93" s="279" t="s">
        <v>670</v>
      </c>
    </row>
    <row r="94" spans="1:33" s="185" customFormat="1" ht="15" hidden="1">
      <c r="A94" s="197">
        <f>THKLQT!A94</f>
        <v>0</v>
      </c>
      <c r="B94" s="273"/>
      <c r="C94" s="292" t="s">
        <v>239</v>
      </c>
      <c r="D94" s="273" t="s">
        <v>234</v>
      </c>
      <c r="E94" s="274">
        <v>0</v>
      </c>
      <c r="F94" s="177"/>
      <c r="G94" s="177"/>
      <c r="H94" s="177"/>
      <c r="I94" s="177"/>
      <c r="J94" s="177"/>
      <c r="K94" s="177"/>
      <c r="L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206">
        <f t="shared" si="3"/>
        <v>0</v>
      </c>
    </row>
    <row r="95" spans="1:33" s="185" customFormat="1" ht="15">
      <c r="A95" s="197">
        <f>THKLQT!A95</f>
        <v>167</v>
      </c>
      <c r="B95" s="273">
        <v>2</v>
      </c>
      <c r="C95" s="271" t="s">
        <v>240</v>
      </c>
      <c r="D95" s="273" t="s">
        <v>241</v>
      </c>
      <c r="E95" s="274">
        <v>0.43</v>
      </c>
      <c r="F95" s="275">
        <f>VLOOKUP(F$10,'C.I.3.4'!$A$34:$I$63,8,0)</f>
        <v>0</v>
      </c>
      <c r="G95" s="275">
        <f>VLOOKUP(G$10,'C.I.3.4'!$A$34:$I$63,8,0)</f>
        <v>0</v>
      </c>
      <c r="H95" s="275">
        <f>VLOOKUP(H$10,'C.I.3.4'!$A$34:$I$63,8,0)</f>
        <v>0</v>
      </c>
      <c r="I95" s="275">
        <f>VLOOKUP(I$10,'C.I.3.4'!$A$34:$I$63,8,0)</f>
        <v>0</v>
      </c>
      <c r="J95" s="275">
        <f>VLOOKUP(J$10,'C.I.3.4'!$A$34:$I$63,8,0)</f>
        <v>0</v>
      </c>
      <c r="K95" s="275">
        <f>VLOOKUP(K$10,'C.I.3.4'!$A$34:$I$63,8,0)</f>
        <v>0</v>
      </c>
      <c r="L95" s="275">
        <f>VLOOKUP(L$10,'C.I.3.4'!$A$34:$I$63,8,0)</f>
        <v>0</v>
      </c>
      <c r="M95" s="275">
        <f>VLOOKUP(M$10,'C.I.3.4'!$A$34:$I$63,8,0)</f>
        <v>0</v>
      </c>
      <c r="N95" s="275">
        <f>VLOOKUP(N$10,'C.I.3.4'!$A$34:$I$63,8,0)</f>
        <v>0</v>
      </c>
      <c r="O95" s="275">
        <f>VLOOKUP(O$10,'C.I.3.4'!$A$34:$I$63,8,0)</f>
        <v>0</v>
      </c>
      <c r="P95" s="275">
        <f>VLOOKUP(P$10,'C.I.3.4'!$A$34:$I$63,8,0)</f>
        <v>0</v>
      </c>
      <c r="Q95" s="275">
        <f>VLOOKUP(Q$10,'C.I.3.4'!$A$34:$I$63,8,0)</f>
        <v>0</v>
      </c>
      <c r="R95" s="275">
        <f>VLOOKUP(R$10,'C.I.3.4'!$A$34:$I$63,8,0)</f>
        <v>0</v>
      </c>
      <c r="S95" s="275">
        <f>VLOOKUP(S$10,'C.I.3.4'!$A$34:$I$63,8,0)</f>
        <v>0</v>
      </c>
      <c r="T95" s="275">
        <f>VLOOKUP(T$10,'C.I.3.4'!$A$34:$I$63,8,0)</f>
        <v>0</v>
      </c>
      <c r="U95" s="275">
        <f>VLOOKUP(U$10,'C.I.3.4'!$A$34:$I$63,8,0)</f>
        <v>0</v>
      </c>
      <c r="V95" s="275">
        <f>VLOOKUP(V$10,'C.I.3.4'!$A$34:$I$63,8,0)</f>
        <v>0.43</v>
      </c>
      <c r="W95" s="275">
        <f>VLOOKUP(W$10,'C.I.3.4'!$A$34:$I$63,8,0)</f>
        <v>0</v>
      </c>
      <c r="X95" s="275">
        <f>VLOOKUP(X$10,'C.I.3.4'!$A$34:$I$63,8,0)</f>
        <v>0</v>
      </c>
      <c r="Y95" s="275">
        <f>VLOOKUP(Y$10,'C.I.3.4'!$A$34:$I$63,8,0)</f>
        <v>0</v>
      </c>
      <c r="Z95" s="275">
        <f>VLOOKUP(Z$10,'C.I.3.4'!$A$34:$I$63,8,0)</f>
        <v>0</v>
      </c>
      <c r="AA95" s="275">
        <f>VLOOKUP(AA$10,'C.I.3.4'!$A$34:$I$63,8,0)</f>
        <v>0</v>
      </c>
      <c r="AB95" s="275">
        <f>VLOOKUP(AB$10,'C.I.3.4'!$A$34:$I$63,8,0)</f>
        <v>0</v>
      </c>
      <c r="AC95" s="275">
        <f>VLOOKUP(AC$10,'C.I.3.4'!$A$34:$I$63,8,0)</f>
        <v>0</v>
      </c>
      <c r="AD95" s="275">
        <f>VLOOKUP(AD$10,'C.I.3.4'!$A$34:$I$63,8,0)</f>
        <v>0</v>
      </c>
      <c r="AE95" s="275">
        <f>VLOOKUP(AE$10,'C.I.3.4'!$A$34:$I$63,8,0)</f>
        <v>0</v>
      </c>
      <c r="AF95" s="206">
        <f t="shared" si="3"/>
        <v>0.43</v>
      </c>
      <c r="AG95" s="279" t="s">
        <v>671</v>
      </c>
    </row>
    <row r="96" spans="1:33" s="185" customFormat="1" ht="15">
      <c r="A96" s="197">
        <f>THKLQT!A96</f>
        <v>0</v>
      </c>
      <c r="B96" s="239" t="s">
        <v>117</v>
      </c>
      <c r="C96" s="240" t="s">
        <v>242</v>
      </c>
      <c r="D96" s="241" t="s">
        <v>153</v>
      </c>
      <c r="E96" s="176"/>
      <c r="F96" s="177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206">
        <f t="shared" si="3"/>
        <v>0</v>
      </c>
    </row>
    <row r="97" spans="1:33" s="185" customFormat="1" ht="15">
      <c r="A97" s="197">
        <f>THKLQT!A97</f>
        <v>0</v>
      </c>
      <c r="B97" s="239" t="s">
        <v>118</v>
      </c>
      <c r="C97" s="240" t="s">
        <v>155</v>
      </c>
      <c r="D97" s="241" t="s">
        <v>153</v>
      </c>
      <c r="E97" s="176"/>
      <c r="F97" s="177"/>
      <c r="G97" s="177"/>
      <c r="H97" s="177"/>
      <c r="I97" s="177"/>
      <c r="J97" s="177"/>
      <c r="K97" s="177"/>
      <c r="L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206">
        <f t="shared" si="3"/>
        <v>0</v>
      </c>
    </row>
    <row r="98" spans="1:33" s="185" customFormat="1" ht="15">
      <c r="A98" s="197">
        <f>THKLQT!A98</f>
        <v>0</v>
      </c>
      <c r="B98" s="239" t="s">
        <v>243</v>
      </c>
      <c r="C98" s="240" t="s">
        <v>244</v>
      </c>
      <c r="D98" s="241"/>
      <c r="E98" s="176"/>
      <c r="F98" s="177"/>
      <c r="G98" s="177"/>
      <c r="H98" s="177"/>
      <c r="I98" s="177"/>
      <c r="J98" s="177"/>
      <c r="K98" s="177"/>
      <c r="L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206">
        <f t="shared" si="3"/>
        <v>0</v>
      </c>
    </row>
    <row r="99" spans="1:33" s="185" customFormat="1" ht="15">
      <c r="A99" s="197">
        <f>THKLQT!A99</f>
        <v>168</v>
      </c>
      <c r="B99" s="273">
        <v>1</v>
      </c>
      <c r="C99" s="271" t="s">
        <v>245</v>
      </c>
      <c r="D99" s="273" t="s">
        <v>7</v>
      </c>
      <c r="E99" s="274">
        <v>1310.3</v>
      </c>
      <c r="F99" s="275">
        <f>VLOOKUP(F$10,'C.II.1.1.1'!$A$41:$I$68,8,0)</f>
        <v>0</v>
      </c>
      <c r="G99" s="275">
        <f>VLOOKUP(G$10,'C.II.1.1.1'!$A$41:$I$68,8,0)</f>
        <v>0</v>
      </c>
      <c r="H99" s="275">
        <f>VLOOKUP(H$10,'C.II.1.1.1'!$A$41:$I$68,8,0)</f>
        <v>0</v>
      </c>
      <c r="I99" s="275">
        <f>VLOOKUP(I$10,'C.II.1.1.1'!$A$41:$I$68,8,0)</f>
        <v>0</v>
      </c>
      <c r="J99" s="275">
        <f>VLOOKUP(J$10,'C.II.1.1.1'!$A$41:$I$68,8,0)</f>
        <v>0</v>
      </c>
      <c r="K99" s="275">
        <f>VLOOKUP(K$10,'C.II.1.1.1'!$A$41:$I$68,8,0)</f>
        <v>0</v>
      </c>
      <c r="L99" s="275">
        <f>VLOOKUP(L$10,'C.II.1.1.1'!$A$41:$I$68,8,0)</f>
        <v>0</v>
      </c>
      <c r="M99" s="275">
        <f>VLOOKUP(M$10,'C.II.1.1.1'!$A$41:$I$68,8,0)</f>
        <v>0</v>
      </c>
      <c r="N99" s="275">
        <f>VLOOKUP(N$10,'C.II.1.1.1'!$A$41:$I$68,8,0)</f>
        <v>0</v>
      </c>
      <c r="O99" s="275">
        <f>VLOOKUP(O$10,'C.II.1.1.1'!$A$41:$I$68,8,0)</f>
        <v>0</v>
      </c>
      <c r="P99" s="275">
        <f>VLOOKUP(P$10,'C.II.1.1.1'!$A$41:$I$68,8,0)</f>
        <v>0</v>
      </c>
      <c r="Q99" s="275">
        <f>VLOOKUP(Q$10,'C.II.1.1.1'!$A$41:$I$68,8,0)</f>
        <v>0</v>
      </c>
      <c r="R99" s="275">
        <f>VLOOKUP(R$10,'C.II.1.1.1'!$A$41:$I$68,8,0)</f>
        <v>372.26</v>
      </c>
      <c r="S99" s="275">
        <f>VLOOKUP(S$10,'C.II.1.1.1'!$A$41:$I$68,8,0)</f>
        <v>239.80500000000001</v>
      </c>
      <c r="T99" s="275">
        <f>VLOOKUP(T$10,'C.II.1.1.1'!$A$41:$I$68,8,0)</f>
        <v>560.62108999999998</v>
      </c>
      <c r="U99" s="275">
        <f>VLOOKUP(U$10,'C.II.1.1.1'!$A$41:$I$68,8,0)</f>
        <v>139.349335</v>
      </c>
      <c r="V99" s="275">
        <f>VLOOKUP(V$10,'C.II.1.1.1'!$A$41:$I$68,8,0)</f>
        <v>0</v>
      </c>
      <c r="W99" s="275">
        <f>VLOOKUP(W$10,'C.II.1.1.1'!$A$41:$I$68,8,0)</f>
        <v>0</v>
      </c>
      <c r="X99" s="275">
        <f>VLOOKUP(X$10,'C.II.1.1.1'!$A$41:$I$68,8,0)</f>
        <v>0</v>
      </c>
      <c r="Y99" s="275">
        <f>VLOOKUP(Y$10,'C.II.1.1.1'!$A$41:$I$68,8,0)</f>
        <v>0</v>
      </c>
      <c r="Z99" s="275">
        <f>VLOOKUP(Z$10,'C.II.1.1.1'!$A$41:$I$68,8,0)</f>
        <v>0</v>
      </c>
      <c r="AA99" s="275">
        <f>VLOOKUP(AA$10,'C.II.1.1.1'!$A$41:$I$68,8,0)</f>
        <v>0</v>
      </c>
      <c r="AB99" s="275">
        <f>VLOOKUP(AB$10,'C.II.1.1.1'!$A$41:$I$68,8,0)</f>
        <v>0</v>
      </c>
      <c r="AC99" s="275">
        <f>VLOOKUP(AC$10,'C.II.1.1.1'!$A$41:$I$68,8,0)</f>
        <v>0</v>
      </c>
      <c r="AD99" s="275">
        <f>VLOOKUP(AD$10,'C.II.1.1.1'!$A$41:$I$68,8,0)</f>
        <v>0</v>
      </c>
      <c r="AE99" s="275">
        <f>VLOOKUP(AE$10,'C.II.1.1.1'!$A$41:$I$70,8,0)</f>
        <v>0</v>
      </c>
      <c r="AF99" s="276">
        <f t="shared" si="3"/>
        <v>1312.04</v>
      </c>
      <c r="AG99" s="279" t="s">
        <v>601</v>
      </c>
    </row>
    <row r="100" spans="1:33" s="185" customFormat="1" ht="15" hidden="1">
      <c r="A100" s="197">
        <f>THKLQT!A100</f>
        <v>0</v>
      </c>
      <c r="B100" s="273"/>
      <c r="C100" s="271" t="s">
        <v>246</v>
      </c>
      <c r="D100" s="278" t="s">
        <v>153</v>
      </c>
      <c r="E100" s="274">
        <v>0</v>
      </c>
      <c r="F100" s="177"/>
      <c r="G100" s="177"/>
      <c r="H100" s="177"/>
      <c r="I100" s="177"/>
      <c r="J100" s="177"/>
      <c r="K100" s="177"/>
      <c r="L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206">
        <f t="shared" ref="AF100:AF163" si="4">ROUND(SUM(F100:AE100),2)</f>
        <v>0</v>
      </c>
    </row>
    <row r="101" spans="1:33" s="185" customFormat="1" ht="15">
      <c r="A101" s="197">
        <f>THKLQT!A101</f>
        <v>169</v>
      </c>
      <c r="B101" s="273">
        <v>2</v>
      </c>
      <c r="C101" s="271" t="s">
        <v>247</v>
      </c>
      <c r="D101" s="273" t="s">
        <v>7</v>
      </c>
      <c r="E101" s="274">
        <v>113.4</v>
      </c>
      <c r="F101" s="275">
        <f>VLOOKUP(F$10,'C.II.1.1.2'!$A$37:$I$64,8,0)</f>
        <v>0</v>
      </c>
      <c r="G101" s="275">
        <f>VLOOKUP(G$10,'C.II.1.1.2'!$A$37:$I$64,8,0)</f>
        <v>0</v>
      </c>
      <c r="H101" s="275">
        <f>VLOOKUP(H$10,'C.II.1.1.2'!$A$37:$I$64,8,0)</f>
        <v>0</v>
      </c>
      <c r="I101" s="275">
        <f>VLOOKUP(I$10,'C.II.1.1.2'!$A$37:$I$64,8,0)</f>
        <v>0</v>
      </c>
      <c r="J101" s="275">
        <f>VLOOKUP(J$10,'C.II.1.1.2'!$A$37:$I$64,8,0)</f>
        <v>0</v>
      </c>
      <c r="K101" s="275">
        <f>VLOOKUP(K$10,'C.II.1.1.2'!$A$37:$I$64,8,0)</f>
        <v>0</v>
      </c>
      <c r="L101" s="275">
        <f>VLOOKUP(L$10,'C.II.1.1.2'!$A$37:$I$64,8,0)</f>
        <v>0</v>
      </c>
      <c r="M101" s="275">
        <f>VLOOKUP(M$10,'C.II.1.1.2'!$A$37:$I$64,8,0)</f>
        <v>0</v>
      </c>
      <c r="N101" s="275">
        <f>VLOOKUP(N$10,'C.II.1.1.2'!$A$37:$I$64,8,0)</f>
        <v>0</v>
      </c>
      <c r="O101" s="275">
        <f>VLOOKUP(O$10,'C.II.1.1.2'!$A$37:$I$64,8,0)</f>
        <v>0</v>
      </c>
      <c r="P101" s="275">
        <f>VLOOKUP(P$10,'C.II.1.1.2'!$A$37:$I$64,8,0)</f>
        <v>0</v>
      </c>
      <c r="Q101" s="275">
        <f>VLOOKUP(Q$10,'C.II.1.1.2'!$A$37:$I$64,8,0)</f>
        <v>0</v>
      </c>
      <c r="R101" s="275">
        <f>VLOOKUP(R$10,'C.II.1.1.2'!$A$37:$I$64,8,0)</f>
        <v>0</v>
      </c>
      <c r="S101" s="275">
        <f>VLOOKUP(S$10,'C.II.1.1.2'!$A$37:$I$64,8,0)</f>
        <v>0</v>
      </c>
      <c r="T101" s="275">
        <f>VLOOKUP(T$10,'C.II.1.1.2'!$A$37:$I$64,8,0)</f>
        <v>0</v>
      </c>
      <c r="U101" s="275">
        <f>VLOOKUP(U$10,'C.II.1.1.2'!$A$37:$I$64,8,0)</f>
        <v>0</v>
      </c>
      <c r="V101" s="275">
        <f>VLOOKUP(V$10,'C.II.1.1.2'!$A$37:$I$64,8,0)</f>
        <v>0</v>
      </c>
      <c r="W101" s="275">
        <f>VLOOKUP(W$10,'C.II.1.1.2'!$A$37:$I$64,8,0)</f>
        <v>0</v>
      </c>
      <c r="X101" s="275">
        <f>VLOOKUP(X$10,'C.II.1.1.2'!$A$37:$I$64,8,0)</f>
        <v>0</v>
      </c>
      <c r="Y101" s="275">
        <f>VLOOKUP(Y$10,'C.II.1.1.2'!$A$37:$I$64,8,0)</f>
        <v>0</v>
      </c>
      <c r="Z101" s="275">
        <f>VLOOKUP(Z$10,'C.II.1.1.2'!$A$37:$I$64,8,0)</f>
        <v>114.92</v>
      </c>
      <c r="AA101" s="275">
        <f>VLOOKUP(AA$10,'C.II.1.1.2'!$A$37:$I$64,8,0)</f>
        <v>0</v>
      </c>
      <c r="AB101" s="275">
        <f>VLOOKUP(AB$10,'C.II.1.1.2'!$A$37:$I$64,8,0)</f>
        <v>0</v>
      </c>
      <c r="AC101" s="275">
        <f>VLOOKUP(AC$10,'C.II.1.1.2'!$A$37:$I$64,8,0)</f>
        <v>0</v>
      </c>
      <c r="AD101" s="275">
        <f>VLOOKUP(AD$10,'C.II.1.1.2'!$A$37:$I$64,8,0)</f>
        <v>0</v>
      </c>
      <c r="AE101" s="275">
        <f>VLOOKUP(AE$10,'C.II.1.1.2'!$A$37:$I$66,8,0)</f>
        <v>0</v>
      </c>
      <c r="AF101" s="276">
        <f t="shared" si="4"/>
        <v>114.92</v>
      </c>
      <c r="AG101" s="279" t="s">
        <v>600</v>
      </c>
    </row>
    <row r="102" spans="1:33" s="185" customFormat="1" ht="30">
      <c r="A102" s="197">
        <f>THKLQT!A102</f>
        <v>170</v>
      </c>
      <c r="B102" s="273">
        <v>3</v>
      </c>
      <c r="C102" s="271" t="s">
        <v>248</v>
      </c>
      <c r="D102" s="273" t="s">
        <v>7</v>
      </c>
      <c r="E102" s="274">
        <v>62.5</v>
      </c>
      <c r="F102" s="275">
        <f>VLOOKUP(F$10,'C.II.1.1.3'!$A$39:$I$66,8,0)</f>
        <v>0</v>
      </c>
      <c r="G102" s="275">
        <f>VLOOKUP(G$10,'C.II.1.1.3'!$A$39:$I$66,8,0)</f>
        <v>0</v>
      </c>
      <c r="H102" s="275">
        <f>VLOOKUP(H$10,'C.II.1.1.3'!$A$39:$I$66,8,0)</f>
        <v>0</v>
      </c>
      <c r="I102" s="275">
        <f>VLOOKUP(I$10,'C.II.1.1.3'!$A$39:$I$66,8,0)</f>
        <v>0</v>
      </c>
      <c r="J102" s="275">
        <f>VLOOKUP(J$10,'C.II.1.1.3'!$A$39:$I$66,8,0)</f>
        <v>0</v>
      </c>
      <c r="K102" s="275">
        <f>VLOOKUP(K$10,'C.II.1.1.3'!$A$39:$I$66,8,0)</f>
        <v>0</v>
      </c>
      <c r="L102" s="275">
        <f>VLOOKUP(L$10,'C.II.1.1.3'!$A$39:$I$66,8,0)</f>
        <v>0</v>
      </c>
      <c r="M102" s="275">
        <f>VLOOKUP(M$10,'C.II.1.1.3'!$A$39:$I$66,8,0)</f>
        <v>0</v>
      </c>
      <c r="N102" s="275">
        <f>VLOOKUP(N$10,'C.II.1.1.3'!$A$39:$I$66,8,0)</f>
        <v>0</v>
      </c>
      <c r="O102" s="275">
        <f>VLOOKUP(O$10,'C.II.1.1.3'!$A$39:$I$66,8,0)</f>
        <v>0</v>
      </c>
      <c r="P102" s="275">
        <f>VLOOKUP(P$10,'C.II.1.1.3'!$A$39:$I$66,8,0)</f>
        <v>0</v>
      </c>
      <c r="Q102" s="275">
        <f>VLOOKUP(Q$10,'C.II.1.1.3'!$A$39:$I$66,8,0)</f>
        <v>0</v>
      </c>
      <c r="R102" s="275">
        <f>VLOOKUP(R$10,'C.II.1.1.3'!$A$39:$I$66,8,0)</f>
        <v>19.399999999999999</v>
      </c>
      <c r="S102" s="275">
        <f>VLOOKUP(S$10,'C.II.1.1.3'!$A$39:$I$66,8,0)</f>
        <v>16.765000000000001</v>
      </c>
      <c r="T102" s="275">
        <f>VLOOKUP(T$10,'C.II.1.1.3'!$A$39:$I$66,8,0)</f>
        <v>0</v>
      </c>
      <c r="U102" s="275">
        <f>VLOOKUP(U$10,'C.II.1.1.3'!$A$39:$I$66,8,0)</f>
        <v>0</v>
      </c>
      <c r="V102" s="275">
        <f>VLOOKUP(V$10,'C.II.1.1.3'!$A$39:$I$66,8,0)</f>
        <v>0</v>
      </c>
      <c r="W102" s="275">
        <f>VLOOKUP(W$10,'C.II.1.1.3'!$A$39:$I$66,8,0)</f>
        <v>0</v>
      </c>
      <c r="X102" s="275">
        <f>VLOOKUP(X$10,'C.II.1.1.3'!$A$39:$I$66,8,0)</f>
        <v>0</v>
      </c>
      <c r="Y102" s="275">
        <f>VLOOKUP(Y$10,'C.II.1.1.3'!$A$39:$I$66,8,0)</f>
        <v>0</v>
      </c>
      <c r="Z102" s="275">
        <f>VLOOKUP(Z$10,'C.II.1.1.3'!$A$39:$I$66,8,0)</f>
        <v>20.84169605984</v>
      </c>
      <c r="AA102" s="275">
        <f>VLOOKUP(AA$10,'C.II.1.1.3'!$A$39:$I$66,8,0)</f>
        <v>0</v>
      </c>
      <c r="AB102" s="275">
        <f>VLOOKUP(AB$10,'C.II.1.1.3'!$A$39:$I$66,8,0)</f>
        <v>0</v>
      </c>
      <c r="AC102" s="275">
        <f>VLOOKUP(AC$10,'C.II.1.1.3'!$A$39:$I$66,8,0)</f>
        <v>0</v>
      </c>
      <c r="AD102" s="275">
        <f>VLOOKUP(AD$10,'C.II.1.1.3'!$A$39:$I$66,8,0)</f>
        <v>0</v>
      </c>
      <c r="AE102" s="275">
        <f>VLOOKUP(AE$10,'C.II.1.1.3'!$A$39:$I$68,8,0)</f>
        <v>0</v>
      </c>
      <c r="AF102" s="276">
        <f t="shared" si="4"/>
        <v>57.01</v>
      </c>
      <c r="AG102" s="279" t="s">
        <v>638</v>
      </c>
    </row>
    <row r="103" spans="1:33" s="185" customFormat="1" ht="15">
      <c r="A103" s="197">
        <f>THKLQT!A103</f>
        <v>171</v>
      </c>
      <c r="B103" s="242">
        <f>B102+1</f>
        <v>4</v>
      </c>
      <c r="C103" s="256" t="s">
        <v>249</v>
      </c>
      <c r="D103" s="242" t="s">
        <v>7</v>
      </c>
      <c r="E103" s="176">
        <v>0.5</v>
      </c>
      <c r="F103" s="177"/>
      <c r="G103" s="177"/>
      <c r="H103" s="177"/>
      <c r="I103" s="177"/>
      <c r="J103" s="177"/>
      <c r="K103" s="177"/>
      <c r="L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206">
        <f t="shared" si="4"/>
        <v>0</v>
      </c>
    </row>
    <row r="104" spans="1:33" s="185" customFormat="1" ht="15">
      <c r="A104" s="197">
        <f>THKLQT!A104</f>
        <v>0</v>
      </c>
      <c r="B104" s="242">
        <f t="shared" ref="B104:B145" si="5">B103+1</f>
        <v>5</v>
      </c>
      <c r="C104" s="243" t="s">
        <v>250</v>
      </c>
      <c r="D104" s="242" t="s">
        <v>7</v>
      </c>
      <c r="E104" s="176">
        <v>0</v>
      </c>
      <c r="F104" s="177"/>
      <c r="G104" s="177"/>
      <c r="H104" s="177"/>
      <c r="I104" s="177"/>
      <c r="J104" s="177"/>
      <c r="K104" s="177"/>
      <c r="L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206">
        <f t="shared" si="4"/>
        <v>0</v>
      </c>
    </row>
    <row r="105" spans="1:33" s="185" customFormat="1" ht="30">
      <c r="A105" s="197">
        <f>THKLQT!A105</f>
        <v>172</v>
      </c>
      <c r="B105" s="273">
        <f>B103+1</f>
        <v>5</v>
      </c>
      <c r="C105" s="271" t="s">
        <v>251</v>
      </c>
      <c r="D105" s="273" t="s">
        <v>234</v>
      </c>
      <c r="E105" s="274">
        <v>0.14000000000000001</v>
      </c>
      <c r="F105" s="275">
        <f>VLOOKUP(F$10,'C.II.1.1.5'!$A$61:$I$88,8,0)</f>
        <v>0</v>
      </c>
      <c r="G105" s="275">
        <f>VLOOKUP(G$10,'C.II.1.1.5'!$A$61:$I$88,8,0)</f>
        <v>0</v>
      </c>
      <c r="H105" s="275">
        <f>VLOOKUP(H$10,'C.II.1.1.5'!$A$61:$I$88,8,0)</f>
        <v>0</v>
      </c>
      <c r="I105" s="275">
        <f>VLOOKUP(I$10,'C.II.1.1.5'!$A$61:$I$88,8,0)</f>
        <v>0</v>
      </c>
      <c r="J105" s="275">
        <f>VLOOKUP(J$10,'C.II.1.1.5'!$A$61:$I$88,8,0)</f>
        <v>0</v>
      </c>
      <c r="K105" s="275">
        <f>VLOOKUP(K$10,'C.II.1.1.5'!$A$61:$I$88,8,0)</f>
        <v>0</v>
      </c>
      <c r="L105" s="275">
        <f>VLOOKUP(L$10,'C.II.1.1.5'!$A$61:$I$88,8,0)</f>
        <v>0</v>
      </c>
      <c r="M105" s="275">
        <f>VLOOKUP(M$10,'C.II.1.1.5'!$A$61:$I$88,8,0)</f>
        <v>0</v>
      </c>
      <c r="N105" s="275">
        <f>VLOOKUP(N$10,'C.II.1.1.5'!$A$61:$I$88,8,0)</f>
        <v>0</v>
      </c>
      <c r="O105" s="275">
        <f>VLOOKUP(O$10,'C.II.1.1.5'!$A$61:$I$88,8,0)</f>
        <v>0</v>
      </c>
      <c r="P105" s="275">
        <f>VLOOKUP(P$10,'C.II.1.1.5'!$A$61:$I$88,8,0)</f>
        <v>0</v>
      </c>
      <c r="Q105" s="275">
        <f>VLOOKUP(Q$10,'C.II.1.1.5'!$A$61:$I$88,8,0)</f>
        <v>0.20607800000000001</v>
      </c>
      <c r="R105" s="275">
        <f>VLOOKUP(R$10,'C.II.1.1.5'!$A$61:$I$88,8,0)</f>
        <v>0.85377250000000005</v>
      </c>
      <c r="S105" s="275">
        <f>VLOOKUP(S$10,'C.II.1.1.5'!$A$61:$I$88,8,0)</f>
        <v>0.72442122999999992</v>
      </c>
      <c r="T105" s="275">
        <f>VLOOKUP(T$10,'C.II.1.1.5'!$A$61:$I$88,8,0)</f>
        <v>0.11094507000000001</v>
      </c>
      <c r="U105" s="275">
        <f>VLOOKUP(U$10,'C.II.1.1.5'!$A$61:$I$88,8,0)</f>
        <v>0.18541440000000003</v>
      </c>
      <c r="V105" s="275">
        <f>VLOOKUP(V$10,'C.II.1.1.5'!$A$61:$I$88,8,0)</f>
        <v>0</v>
      </c>
      <c r="W105" s="275">
        <f>VLOOKUP(W$10,'C.II.1.1.5'!$A$61:$I$88,8,0)</f>
        <v>0</v>
      </c>
      <c r="X105" s="275">
        <f>VLOOKUP(X$10,'C.II.1.1.5'!$A$61:$I$88,8,0)</f>
        <v>0</v>
      </c>
      <c r="Y105" s="275">
        <f>VLOOKUP(Y$10,'C.II.1.1.5'!$A$61:$I$88,8,0)</f>
        <v>0</v>
      </c>
      <c r="Z105" s="275">
        <f>VLOOKUP(Z$10,'C.II.1.1.5'!$A$61:$I$88,8,0)</f>
        <v>0</v>
      </c>
      <c r="AA105" s="275">
        <f>VLOOKUP(AA$10,'C.II.1.1.5'!$A$61:$I$88,8,0)</f>
        <v>0</v>
      </c>
      <c r="AB105" s="275">
        <f>VLOOKUP(AB$10,'C.II.1.1.5'!$A$61:$I$88,8,0)</f>
        <v>0</v>
      </c>
      <c r="AC105" s="275">
        <f>VLOOKUP(AC$10,'C.II.1.1.5'!$A$61:$I$88,8,0)</f>
        <v>0</v>
      </c>
      <c r="AD105" s="275">
        <f>VLOOKUP(AD$10,'C.II.1.1.5'!$A$61:$I$88,8,0)</f>
        <v>0</v>
      </c>
      <c r="AE105" s="275">
        <f>VLOOKUP(AE$10,'C.II.1.1.5'!$A$61:$I$90,8,0)</f>
        <v>0</v>
      </c>
      <c r="AF105" s="276">
        <f t="shared" si="4"/>
        <v>2.08</v>
      </c>
      <c r="AG105" s="279" t="s">
        <v>652</v>
      </c>
    </row>
    <row r="106" spans="1:33" s="185" customFormat="1" ht="30">
      <c r="A106" s="197">
        <f>THKLQT!A106</f>
        <v>173</v>
      </c>
      <c r="B106" s="273">
        <f t="shared" si="5"/>
        <v>6</v>
      </c>
      <c r="C106" s="271" t="s">
        <v>252</v>
      </c>
      <c r="D106" s="273" t="s">
        <v>234</v>
      </c>
      <c r="E106" s="274">
        <v>52.63</v>
      </c>
      <c r="F106" s="275">
        <f>VLOOKUP(F$10,'C.II.1.1.6'!$A$63:$I$90,8,0)</f>
        <v>0</v>
      </c>
      <c r="G106" s="275">
        <f>VLOOKUP(G$10,'C.II.1.1.6'!$A$63:$I$90,8,0)</f>
        <v>0</v>
      </c>
      <c r="H106" s="275">
        <f>VLOOKUP(H$10,'C.II.1.1.6'!$A$63:$I$90,8,0)</f>
        <v>0</v>
      </c>
      <c r="I106" s="275">
        <f>VLOOKUP(I$10,'C.II.1.1.6'!$A$63:$I$90,8,0)</f>
        <v>0</v>
      </c>
      <c r="J106" s="275">
        <f>VLOOKUP(J$10,'C.II.1.1.6'!$A$63:$I$90,8,0)</f>
        <v>0</v>
      </c>
      <c r="K106" s="275">
        <f>VLOOKUP(K$10,'C.II.1.1.6'!$A$63:$I$90,8,0)</f>
        <v>0</v>
      </c>
      <c r="L106" s="275">
        <f>VLOOKUP(L$10,'C.II.1.1.6'!$A$63:$I$90,8,0)</f>
        <v>0</v>
      </c>
      <c r="M106" s="275">
        <f>VLOOKUP(M$10,'C.II.1.1.6'!$A$63:$I$90,8,0)</f>
        <v>0</v>
      </c>
      <c r="N106" s="275">
        <f>VLOOKUP(N$10,'C.II.1.1.6'!$A$63:$I$90,8,0)</f>
        <v>0</v>
      </c>
      <c r="O106" s="275">
        <f>VLOOKUP(O$10,'C.II.1.1.6'!$A$63:$I$90,8,0)</f>
        <v>0</v>
      </c>
      <c r="P106" s="275">
        <f>VLOOKUP(P$10,'C.II.1.1.6'!$A$63:$I$90,8,0)</f>
        <v>0</v>
      </c>
      <c r="Q106" s="275">
        <f>VLOOKUP(Q$10,'C.II.1.1.6'!$A$63:$I$90,8,0)</f>
        <v>7.7024851600000002</v>
      </c>
      <c r="R106" s="275">
        <f>VLOOKUP(R$10,'C.II.1.1.6'!$A$63:$I$90,8,0)</f>
        <v>22.335743519999998</v>
      </c>
      <c r="S106" s="275">
        <f>VLOOKUP(S$10,'C.II.1.1.6'!$A$63:$I$90,8,0)</f>
        <v>21.131915279999998</v>
      </c>
      <c r="T106" s="275">
        <f>VLOOKUP(T$10,'C.II.1.1.6'!$A$63:$I$90,8,0)</f>
        <v>2.7389999999999999</v>
      </c>
      <c r="U106" s="275">
        <f>VLOOKUP(U$10,'C.II.1.1.6'!$A$63:$I$90,8,0)</f>
        <v>0</v>
      </c>
      <c r="V106" s="275">
        <f>VLOOKUP(V$10,'C.II.1.1.6'!$A$63:$I$90,8,0)</f>
        <v>0</v>
      </c>
      <c r="W106" s="275">
        <f>VLOOKUP(W$10,'C.II.1.1.6'!$A$63:$I$90,8,0)</f>
        <v>0</v>
      </c>
      <c r="X106" s="275">
        <f>VLOOKUP(X$10,'C.II.1.1.6'!$A$63:$I$90,8,0)</f>
        <v>0</v>
      </c>
      <c r="Y106" s="275">
        <f>VLOOKUP(Y$10,'C.II.1.1.6'!$A$63:$I$90,8,0)</f>
        <v>0</v>
      </c>
      <c r="Z106" s="275">
        <f>VLOOKUP(Z$10,'C.II.1.1.6'!$A$63:$I$90,8,0)</f>
        <v>0</v>
      </c>
      <c r="AA106" s="275">
        <f>VLOOKUP(AA$10,'C.II.1.1.6'!$A$63:$I$90,8,0)</f>
        <v>0</v>
      </c>
      <c r="AB106" s="275">
        <f>VLOOKUP(AB$10,'C.II.1.1.6'!$A$63:$I$90,8,0)</f>
        <v>0</v>
      </c>
      <c r="AC106" s="275">
        <f>VLOOKUP(AC$10,'C.II.1.1.6'!$A$63:$I$90,8,0)</f>
        <v>0</v>
      </c>
      <c r="AD106" s="275">
        <f>VLOOKUP(AD$10,'C.II.1.1.6'!$A$63:$I$90,8,0)</f>
        <v>0</v>
      </c>
      <c r="AE106" s="275">
        <f>VLOOKUP(AE$10,'C.II.1.1.6'!$A$63:$I$92,8,0)</f>
        <v>0</v>
      </c>
      <c r="AF106" s="276">
        <f t="shared" si="4"/>
        <v>53.91</v>
      </c>
      <c r="AG106" s="279" t="s">
        <v>653</v>
      </c>
    </row>
    <row r="107" spans="1:33" s="185" customFormat="1" ht="30">
      <c r="A107" s="197">
        <f>THKLQT!A107</f>
        <v>174</v>
      </c>
      <c r="B107" s="273">
        <f t="shared" si="5"/>
        <v>7</v>
      </c>
      <c r="C107" s="271" t="s">
        <v>253</v>
      </c>
      <c r="D107" s="273" t="s">
        <v>234</v>
      </c>
      <c r="E107" s="274">
        <v>66.790000000000006</v>
      </c>
      <c r="F107" s="275">
        <f>VLOOKUP(F$10,'C.II.1.1.7'!$A$63:$I$90,8,0)</f>
        <v>0</v>
      </c>
      <c r="G107" s="275">
        <f>VLOOKUP(G$10,'C.II.1.1.7'!$A$63:$I$90,8,0)</f>
        <v>0</v>
      </c>
      <c r="H107" s="275">
        <f>VLOOKUP(H$10,'C.II.1.1.7'!$A$63:$I$90,8,0)</f>
        <v>0</v>
      </c>
      <c r="I107" s="275">
        <f>VLOOKUP(I$10,'C.II.1.1.7'!$A$63:$I$90,8,0)</f>
        <v>0</v>
      </c>
      <c r="J107" s="275">
        <f>VLOOKUP(J$10,'C.II.1.1.7'!$A$63:$I$90,8,0)</f>
        <v>0</v>
      </c>
      <c r="K107" s="275">
        <f>VLOOKUP(K$10,'C.II.1.1.7'!$A$63:$I$90,8,0)</f>
        <v>0</v>
      </c>
      <c r="L107" s="275">
        <f>VLOOKUP(L$10,'C.II.1.1.7'!$A$63:$I$90,8,0)</f>
        <v>0</v>
      </c>
      <c r="M107" s="275">
        <f>VLOOKUP(M$10,'C.II.1.1.7'!$A$63:$I$90,8,0)</f>
        <v>0</v>
      </c>
      <c r="N107" s="275">
        <f>VLOOKUP(N$10,'C.II.1.1.7'!$A$63:$I$90,8,0)</f>
        <v>0</v>
      </c>
      <c r="O107" s="275">
        <f>VLOOKUP(O$10,'C.II.1.1.7'!$A$63:$I$90,8,0)</f>
        <v>0</v>
      </c>
      <c r="P107" s="275">
        <f>VLOOKUP(P$10,'C.II.1.1.7'!$A$63:$I$90,8,0)</f>
        <v>0</v>
      </c>
      <c r="Q107" s="275">
        <f>VLOOKUP(Q$10,'C.II.1.1.7'!$A$63:$I$90,8,0)</f>
        <v>24.888758599999999</v>
      </c>
      <c r="R107" s="275">
        <f>VLOOKUP(R$10,'C.II.1.1.7'!$A$63:$I$90,8,0)</f>
        <v>19.606606189999994</v>
      </c>
      <c r="S107" s="275">
        <f>VLOOKUP(S$10,'C.II.1.1.7'!$A$63:$I$90,8,0)</f>
        <v>18.040433150000002</v>
      </c>
      <c r="T107" s="275">
        <f>VLOOKUP(T$10,'C.II.1.1.7'!$A$63:$I$90,8,0)</f>
        <v>0.91701378</v>
      </c>
      <c r="U107" s="275">
        <f>VLOOKUP(U$10,'C.II.1.1.7'!$A$63:$I$90,8,0)</f>
        <v>0</v>
      </c>
      <c r="V107" s="275">
        <f>VLOOKUP(V$10,'C.II.1.1.7'!$A$63:$I$90,8,0)</f>
        <v>0</v>
      </c>
      <c r="W107" s="275">
        <f>VLOOKUP(W$10,'C.II.1.1.7'!$A$63:$I$90,8,0)</f>
        <v>0</v>
      </c>
      <c r="X107" s="275">
        <f>VLOOKUP(X$10,'C.II.1.1.7'!$A$63:$I$90,8,0)</f>
        <v>0</v>
      </c>
      <c r="Y107" s="275">
        <f>VLOOKUP(Y$10,'C.II.1.1.7'!$A$63:$I$90,8,0)</f>
        <v>0</v>
      </c>
      <c r="Z107" s="275">
        <f>VLOOKUP(Z$10,'C.II.1.1.7'!$A$63:$I$90,8,0)</f>
        <v>0</v>
      </c>
      <c r="AA107" s="275">
        <f>VLOOKUP(AA$10,'C.II.1.1.7'!$A$63:$I$90,8,0)</f>
        <v>0</v>
      </c>
      <c r="AB107" s="275">
        <f>VLOOKUP(AB$10,'C.II.1.1.7'!$A$63:$I$90,8,0)</f>
        <v>0</v>
      </c>
      <c r="AC107" s="275">
        <f>VLOOKUP(AC$10,'C.II.1.1.7'!$A$63:$I$90,8,0)</f>
        <v>0</v>
      </c>
      <c r="AD107" s="275">
        <f>VLOOKUP(AD$10,'C.II.1.1.7'!$A$63:$I$90,8,0)</f>
        <v>0</v>
      </c>
      <c r="AE107" s="275">
        <f>VLOOKUP(AE$10,'C.II.1.1.7'!$A$63:$I$92,8,0)</f>
        <v>0</v>
      </c>
      <c r="AF107" s="276">
        <f t="shared" si="4"/>
        <v>63.45</v>
      </c>
      <c r="AG107" s="279" t="s">
        <v>654</v>
      </c>
    </row>
    <row r="108" spans="1:33" s="185" customFormat="1" ht="15">
      <c r="A108" s="197">
        <f>THKLQT!A108</f>
        <v>175</v>
      </c>
      <c r="B108" s="273">
        <f t="shared" si="5"/>
        <v>8</v>
      </c>
      <c r="C108" s="271" t="s">
        <v>254</v>
      </c>
      <c r="D108" s="273" t="s">
        <v>234</v>
      </c>
      <c r="E108" s="274">
        <v>0.02</v>
      </c>
      <c r="F108" s="275">
        <f>VLOOKUP(F$10,'C.II.1.1.8'!$A$37:$I$64,8,0)</f>
        <v>0</v>
      </c>
      <c r="G108" s="275">
        <f>VLOOKUP(G$10,'C.II.1.1.8'!$A$37:$I$64,8,0)</f>
        <v>0</v>
      </c>
      <c r="H108" s="275">
        <f>VLOOKUP(H$10,'C.II.1.1.8'!$A$37:$I$64,8,0)</f>
        <v>0</v>
      </c>
      <c r="I108" s="275">
        <f>VLOOKUP(I$10,'C.II.1.1.8'!$A$37:$I$64,8,0)</f>
        <v>0</v>
      </c>
      <c r="J108" s="275">
        <f>VLOOKUP(J$10,'C.II.1.1.8'!$A$37:$I$64,8,0)</f>
        <v>0</v>
      </c>
      <c r="K108" s="275">
        <f>VLOOKUP(K$10,'C.II.1.1.8'!$A$37:$I$64,8,0)</f>
        <v>0</v>
      </c>
      <c r="L108" s="275">
        <f>VLOOKUP(L$10,'C.II.1.1.8'!$A$37:$I$64,8,0)</f>
        <v>0</v>
      </c>
      <c r="M108" s="275">
        <f>VLOOKUP(M$10,'C.II.1.1.8'!$A$37:$I$64,8,0)</f>
        <v>0</v>
      </c>
      <c r="N108" s="275">
        <f>VLOOKUP(N$10,'C.II.1.1.8'!$A$37:$I$64,8,0)</f>
        <v>0</v>
      </c>
      <c r="O108" s="275">
        <f>VLOOKUP(O$10,'C.II.1.1.8'!$A$37:$I$64,8,0)</f>
        <v>0</v>
      </c>
      <c r="P108" s="275">
        <f>VLOOKUP(P$10,'C.II.1.1.8'!$A$37:$I$64,8,0)</f>
        <v>0</v>
      </c>
      <c r="Q108" s="275">
        <f>VLOOKUP(Q$10,'C.II.1.1.8'!$A$37:$I$64,8,0)</f>
        <v>0</v>
      </c>
      <c r="R108" s="275">
        <f>VLOOKUP(R$10,'C.II.1.1.8'!$A$37:$I$64,8,0)</f>
        <v>0</v>
      </c>
      <c r="S108" s="275">
        <f>VLOOKUP(S$10,'C.II.1.1.8'!$A$37:$I$64,8,0)</f>
        <v>0</v>
      </c>
      <c r="T108" s="275">
        <f>VLOOKUP(T$10,'C.II.1.1.8'!$A$37:$I$64,8,0)</f>
        <v>0</v>
      </c>
      <c r="U108" s="275">
        <f>VLOOKUP(U$10,'C.II.1.1.8'!$A$37:$I$64,8,0)</f>
        <v>0</v>
      </c>
      <c r="V108" s="275">
        <f>VLOOKUP(V$10,'C.II.1.1.8'!$A$37:$I$64,8,0)</f>
        <v>0</v>
      </c>
      <c r="W108" s="275">
        <f>VLOOKUP(W$10,'C.II.1.1.8'!$A$37:$I$64,8,0)</f>
        <v>0</v>
      </c>
      <c r="X108" s="275">
        <f>VLOOKUP(X$10,'C.II.1.1.8'!$A$37:$I$64,8,0)</f>
        <v>0</v>
      </c>
      <c r="Y108" s="275">
        <f>VLOOKUP(Y$10,'C.II.1.1.8'!$A$37:$I$64,8,0)</f>
        <v>0</v>
      </c>
      <c r="Z108" s="275">
        <f>VLOOKUP(Z$10,'C.II.1.1.8'!$A$37:$I$64,8,0)</f>
        <v>4.5999999999999999E-2</v>
      </c>
      <c r="AA108" s="275">
        <f>VLOOKUP(AA$10,'C.II.1.1.8'!$A$37:$I$64,8,0)</f>
        <v>0</v>
      </c>
      <c r="AB108" s="275">
        <f>VLOOKUP(AB$10,'C.II.1.1.8'!$A$37:$I$64,8,0)</f>
        <v>0</v>
      </c>
      <c r="AC108" s="275">
        <f>VLOOKUP(AC$10,'C.II.1.1.8'!$A$37:$I$64,8,0)</f>
        <v>0</v>
      </c>
      <c r="AD108" s="275">
        <f>VLOOKUP(AD$10,'C.II.1.1.8'!$A$37:$I$64,8,0)</f>
        <v>0</v>
      </c>
      <c r="AE108" s="275">
        <f>VLOOKUP(AE$10,'C.II.1.1.8'!$A$37:$I$66,8,0)</f>
        <v>0</v>
      </c>
      <c r="AF108" s="276">
        <f t="shared" si="4"/>
        <v>0.05</v>
      </c>
      <c r="AG108" s="279" t="s">
        <v>641</v>
      </c>
    </row>
    <row r="109" spans="1:33" s="185" customFormat="1" ht="15">
      <c r="A109" s="197">
        <f>THKLQT!A109</f>
        <v>176</v>
      </c>
      <c r="B109" s="273">
        <f t="shared" si="5"/>
        <v>9</v>
      </c>
      <c r="C109" s="271" t="s">
        <v>255</v>
      </c>
      <c r="D109" s="273" t="s">
        <v>234</v>
      </c>
      <c r="E109" s="274">
        <v>8.3000000000000007</v>
      </c>
      <c r="F109" s="275">
        <f>VLOOKUP(F$10,'C.II.1.1.9'!$A$37:$I$64,8,0)</f>
        <v>0</v>
      </c>
      <c r="G109" s="275">
        <f>VLOOKUP(G$10,'C.II.1.1.9'!$A$37:$I$64,8,0)</f>
        <v>0</v>
      </c>
      <c r="H109" s="275">
        <f>VLOOKUP(H$10,'C.II.1.1.9'!$A$37:$I$64,8,0)</f>
        <v>0</v>
      </c>
      <c r="I109" s="275">
        <f>VLOOKUP(I$10,'C.II.1.1.9'!$A$37:$I$64,8,0)</f>
        <v>0</v>
      </c>
      <c r="J109" s="275">
        <f>VLOOKUP(J$10,'C.II.1.1.9'!$A$37:$I$64,8,0)</f>
        <v>0</v>
      </c>
      <c r="K109" s="275">
        <f>VLOOKUP(K$10,'C.II.1.1.9'!$A$37:$I$64,8,0)</f>
        <v>0</v>
      </c>
      <c r="L109" s="275">
        <f>VLOOKUP(L$10,'C.II.1.1.9'!$A$37:$I$64,8,0)</f>
        <v>0</v>
      </c>
      <c r="M109" s="275">
        <f>VLOOKUP(M$10,'C.II.1.1.9'!$A$37:$I$64,8,0)</f>
        <v>0</v>
      </c>
      <c r="N109" s="275">
        <f>VLOOKUP(N$10,'C.II.1.1.9'!$A$37:$I$64,8,0)</f>
        <v>0</v>
      </c>
      <c r="O109" s="275">
        <f>VLOOKUP(O$10,'C.II.1.1.9'!$A$37:$I$64,8,0)</f>
        <v>0</v>
      </c>
      <c r="P109" s="275">
        <f>VLOOKUP(P$10,'C.II.1.1.9'!$A$37:$I$64,8,0)</f>
        <v>0</v>
      </c>
      <c r="Q109" s="275">
        <f>VLOOKUP(Q$10,'C.II.1.1.9'!$A$37:$I$64,8,0)</f>
        <v>0</v>
      </c>
      <c r="R109" s="275">
        <f>VLOOKUP(R$10,'C.II.1.1.9'!$A$37:$I$64,8,0)</f>
        <v>0</v>
      </c>
      <c r="S109" s="275">
        <f>VLOOKUP(S$10,'C.II.1.1.9'!$A$37:$I$64,8,0)</f>
        <v>0</v>
      </c>
      <c r="T109" s="275">
        <f>VLOOKUP(T$10,'C.II.1.1.9'!$A$37:$I$64,8,0)</f>
        <v>0</v>
      </c>
      <c r="U109" s="275">
        <f>VLOOKUP(U$10,'C.II.1.1.9'!$A$37:$I$64,8,0)</f>
        <v>0</v>
      </c>
      <c r="V109" s="275">
        <f>VLOOKUP(V$10,'C.II.1.1.9'!$A$37:$I$64,8,0)</f>
        <v>0</v>
      </c>
      <c r="W109" s="275">
        <f>VLOOKUP(W$10,'C.II.1.1.9'!$A$37:$I$64,8,0)</f>
        <v>0</v>
      </c>
      <c r="X109" s="275">
        <f>VLOOKUP(X$10,'C.II.1.1.9'!$A$37:$I$64,8,0)</f>
        <v>0</v>
      </c>
      <c r="Y109" s="275">
        <f>VLOOKUP(Y$10,'C.II.1.1.9'!$A$37:$I$64,8,0)</f>
        <v>0</v>
      </c>
      <c r="Z109" s="275">
        <f>VLOOKUP(Z$10,'C.II.1.1.9'!$A$37:$I$64,8,0)</f>
        <v>8.3149999999999995</v>
      </c>
      <c r="AA109" s="275">
        <f>VLOOKUP(AA$10,'C.II.1.1.9'!$A$37:$I$64,8,0)</f>
        <v>0</v>
      </c>
      <c r="AB109" s="275">
        <f>VLOOKUP(AB$10,'C.II.1.1.9'!$A$37:$I$64,8,0)</f>
        <v>0</v>
      </c>
      <c r="AC109" s="275">
        <f>VLOOKUP(AC$10,'C.II.1.1.9'!$A$37:$I$64,8,0)</f>
        <v>0</v>
      </c>
      <c r="AD109" s="275">
        <f>VLOOKUP(AD$10,'C.II.1.1.9'!$A$37:$I$64,8,0)</f>
        <v>0</v>
      </c>
      <c r="AE109" s="275">
        <f>VLOOKUP(AE$10,'C.II.1.1.9'!$A$37:$I$66,8,0)</f>
        <v>0</v>
      </c>
      <c r="AF109" s="276">
        <f t="shared" si="4"/>
        <v>8.32</v>
      </c>
      <c r="AG109" s="279" t="s">
        <v>640</v>
      </c>
    </row>
    <row r="110" spans="1:33" s="185" customFormat="1" ht="15">
      <c r="A110" s="197">
        <f>THKLQT!A110</f>
        <v>177</v>
      </c>
      <c r="B110" s="273">
        <f t="shared" si="5"/>
        <v>10</v>
      </c>
      <c r="C110" s="271" t="s">
        <v>256</v>
      </c>
      <c r="D110" s="273" t="s">
        <v>234</v>
      </c>
      <c r="E110" s="274">
        <v>7.84</v>
      </c>
      <c r="F110" s="275">
        <f>VLOOKUP(F$10,'C.II.1.1.10'!$A$37:$I$66,8,0)</f>
        <v>0</v>
      </c>
      <c r="G110" s="275">
        <f>VLOOKUP(G$10,'C.II.1.1.10'!$A$37:$I$66,8,0)</f>
        <v>0</v>
      </c>
      <c r="H110" s="275">
        <f>VLOOKUP(H$10,'C.II.1.1.10'!$A$37:$I$66,8,0)</f>
        <v>0</v>
      </c>
      <c r="I110" s="275">
        <f>VLOOKUP(I$10,'C.II.1.1.10'!$A$37:$I$66,8,0)</f>
        <v>0</v>
      </c>
      <c r="J110" s="275">
        <f>VLOOKUP(J$10,'C.II.1.1.10'!$A$37:$I$66,8,0)</f>
        <v>0</v>
      </c>
      <c r="K110" s="275">
        <f>VLOOKUP(K$10,'C.II.1.1.10'!$A$37:$I$66,8,0)</f>
        <v>0</v>
      </c>
      <c r="L110" s="275">
        <f>VLOOKUP(L$10,'C.II.1.1.10'!$A$37:$I$66,8,0)</f>
        <v>0</v>
      </c>
      <c r="M110" s="275">
        <f>VLOOKUP(M$10,'C.II.1.1.10'!$A$37:$I$66,8,0)</f>
        <v>0</v>
      </c>
      <c r="N110" s="275">
        <f>VLOOKUP(N$10,'C.II.1.1.10'!$A$37:$I$66,8,0)</f>
        <v>0</v>
      </c>
      <c r="O110" s="275">
        <f>VLOOKUP(O$10,'C.II.1.1.10'!$A$37:$I$66,8,0)</f>
        <v>0</v>
      </c>
      <c r="P110" s="275">
        <f>VLOOKUP(P$10,'C.II.1.1.10'!$A$37:$I$66,8,0)</f>
        <v>0</v>
      </c>
      <c r="Q110" s="275">
        <f>VLOOKUP(Q$10,'C.II.1.1.10'!$A$37:$I$66,8,0)</f>
        <v>0</v>
      </c>
      <c r="R110" s="275">
        <f>VLOOKUP(R$10,'C.II.1.1.10'!$A$37:$I$66,8,0)</f>
        <v>0</v>
      </c>
      <c r="S110" s="275">
        <f>VLOOKUP(S$10,'C.II.1.1.10'!$A$37:$I$66,8,0)</f>
        <v>0</v>
      </c>
      <c r="T110" s="275">
        <f>VLOOKUP(T$10,'C.II.1.1.10'!$A$37:$I$66,8,0)</f>
        <v>0</v>
      </c>
      <c r="U110" s="275">
        <f>VLOOKUP(U$10,'C.II.1.1.10'!$A$37:$I$66,8,0)</f>
        <v>0</v>
      </c>
      <c r="V110" s="275">
        <f>VLOOKUP(V$10,'C.II.1.1.10'!$A$37:$I$66,8,0)</f>
        <v>0</v>
      </c>
      <c r="W110" s="275">
        <f>VLOOKUP(W$10,'C.II.1.1.10'!$A$37:$I$66,8,0)</f>
        <v>0</v>
      </c>
      <c r="X110" s="275">
        <f>VLOOKUP(X$10,'C.II.1.1.10'!$A$37:$I$66,8,0)</f>
        <v>0</v>
      </c>
      <c r="Y110" s="275">
        <f>VLOOKUP(Y$10,'C.II.1.1.10'!$A$37:$I$66,8,0)</f>
        <v>0</v>
      </c>
      <c r="Z110" s="275">
        <f>VLOOKUP(Z$10,'C.II.1.1.10'!$A$37:$I$66,8,0)</f>
        <v>7.8730000000000002</v>
      </c>
      <c r="AA110" s="275">
        <f>VLOOKUP(AA$10,'C.II.1.1.10'!$A$37:$I$66,8,0)</f>
        <v>0</v>
      </c>
      <c r="AB110" s="275">
        <f>VLOOKUP(AB$10,'C.II.1.1.10'!$A$37:$I$66,8,0)</f>
        <v>0</v>
      </c>
      <c r="AC110" s="275">
        <f>VLOOKUP(AC$10,'C.II.1.1.10'!$A$37:$I$66,8,0)</f>
        <v>0</v>
      </c>
      <c r="AD110" s="275">
        <f>VLOOKUP(AD$10,'C.II.1.1.10'!$A$37:$I$66,8,0)</f>
        <v>0</v>
      </c>
      <c r="AE110" s="275">
        <f>VLOOKUP(AE$10,'C.II.1.1.10'!$A$37:$I$66,8,0)</f>
        <v>0</v>
      </c>
      <c r="AF110" s="276">
        <f t="shared" si="4"/>
        <v>7.87</v>
      </c>
      <c r="AG110" s="279" t="s">
        <v>639</v>
      </c>
    </row>
    <row r="111" spans="1:33" s="185" customFormat="1" ht="15">
      <c r="A111" s="197">
        <f>THKLQT!A111</f>
        <v>178</v>
      </c>
      <c r="B111" s="273">
        <f t="shared" si="5"/>
        <v>11</v>
      </c>
      <c r="C111" s="256" t="s">
        <v>257</v>
      </c>
      <c r="D111" s="273" t="s">
        <v>27</v>
      </c>
      <c r="E111" s="274">
        <v>779.2</v>
      </c>
      <c r="F111" s="275">
        <f>VLOOKUP(F$10,'C.II.1.1.11'!$A$41:$I$70,8,0)</f>
        <v>0</v>
      </c>
      <c r="G111" s="275">
        <f>VLOOKUP(G$10,'C.II.1.1.11'!$A$41:$I$70,8,0)</f>
        <v>0</v>
      </c>
      <c r="H111" s="275">
        <f>VLOOKUP(H$10,'C.II.1.1.11'!$A$41:$I$70,8,0)</f>
        <v>0</v>
      </c>
      <c r="I111" s="275">
        <f>VLOOKUP(I$10,'C.II.1.1.11'!$A$41:$I$70,8,0)</f>
        <v>0</v>
      </c>
      <c r="J111" s="275">
        <f>VLOOKUP(J$10,'C.II.1.1.11'!$A$41:$I$70,8,0)</f>
        <v>0</v>
      </c>
      <c r="K111" s="275">
        <f>VLOOKUP(K$10,'C.II.1.1.11'!$A$41:$I$70,8,0)</f>
        <v>0</v>
      </c>
      <c r="L111" s="275">
        <f>VLOOKUP(L$10,'C.II.1.1.11'!$A$41:$I$70,8,0)</f>
        <v>0</v>
      </c>
      <c r="M111" s="275">
        <f>VLOOKUP(M$10,'C.II.1.1.11'!$A$41:$I$70,8,0)</f>
        <v>0</v>
      </c>
      <c r="N111" s="275">
        <f>VLOOKUP(N$10,'C.II.1.1.11'!$A$41:$I$70,8,0)</f>
        <v>0</v>
      </c>
      <c r="O111" s="275">
        <f>VLOOKUP(O$10,'C.II.1.1.11'!$A$41:$I$70,8,0)</f>
        <v>0</v>
      </c>
      <c r="P111" s="275">
        <f>VLOOKUP(P$10,'C.II.1.1.11'!$A$41:$I$70,8,0)</f>
        <v>0</v>
      </c>
      <c r="Q111" s="275">
        <f>VLOOKUP(Q$10,'C.II.1.1.11'!$A$41:$I$70,8,0)</f>
        <v>182.9</v>
      </c>
      <c r="R111" s="275">
        <f>VLOOKUP(R$10,'C.II.1.1.11'!$A$41:$I$70,8,0)</f>
        <v>64.545000000000002</v>
      </c>
      <c r="S111" s="275">
        <f>VLOOKUP(S$10,'C.II.1.1.11'!$A$41:$I$70,8,0)</f>
        <v>607.88576500000011</v>
      </c>
      <c r="T111" s="275">
        <f>VLOOKUP(T$10,'C.II.1.1.11'!$A$41:$I$70,8,0)</f>
        <v>461.96380000000011</v>
      </c>
      <c r="U111" s="275">
        <f>VLOOKUP(U$10,'C.II.1.1.11'!$A$41:$I$70,8,0)</f>
        <v>0</v>
      </c>
      <c r="V111" s="275">
        <f>VLOOKUP(V$10,'C.II.1.1.11'!$A$41:$I$70,8,0)</f>
        <v>0</v>
      </c>
      <c r="W111" s="275">
        <f>VLOOKUP(W$10,'C.II.1.1.11'!$A$41:$I$70,8,0)</f>
        <v>0</v>
      </c>
      <c r="X111" s="275">
        <f>VLOOKUP(X$10,'C.II.1.1.11'!$A$41:$I$70,8,0)</f>
        <v>0</v>
      </c>
      <c r="Y111" s="275">
        <f>VLOOKUP(Y$10,'C.II.1.1.11'!$A$41:$I$70,8,0)</f>
        <v>0</v>
      </c>
      <c r="Z111" s="275">
        <f>VLOOKUP(Z$10,'C.II.1.1.11'!$A$41:$I$70,8,0)</f>
        <v>0</v>
      </c>
      <c r="AA111" s="275">
        <f>VLOOKUP(AA$10,'C.II.1.1.11'!$A$41:$I$70,8,0)</f>
        <v>0</v>
      </c>
      <c r="AB111" s="275">
        <f>VLOOKUP(AB$10,'C.II.1.1.11'!$A$41:$I$70,8,0)</f>
        <v>0</v>
      </c>
      <c r="AC111" s="275">
        <f>VLOOKUP(AC$10,'C.II.1.1.11'!$A$41:$I$70,8,0)</f>
        <v>0</v>
      </c>
      <c r="AD111" s="275">
        <f>VLOOKUP(AD$10,'C.II.1.1.11'!$A$41:$I$70,8,0)</f>
        <v>0</v>
      </c>
      <c r="AE111" s="275">
        <f>VLOOKUP(AE$10,'C.II.1.1.11'!$A$41:$I$70,8,0)</f>
        <v>0</v>
      </c>
      <c r="AF111" s="206">
        <f t="shared" si="4"/>
        <v>1317.29</v>
      </c>
      <c r="AG111" s="279" t="s">
        <v>646</v>
      </c>
    </row>
    <row r="112" spans="1:33" s="185" customFormat="1" ht="15">
      <c r="A112" s="197">
        <f>THKLQT!A112</f>
        <v>179</v>
      </c>
      <c r="B112" s="273">
        <f t="shared" si="5"/>
        <v>12</v>
      </c>
      <c r="C112" s="271" t="s">
        <v>258</v>
      </c>
      <c r="D112" s="273" t="s">
        <v>7</v>
      </c>
      <c r="E112" s="274">
        <v>1.81</v>
      </c>
      <c r="F112" s="275">
        <f>VLOOKUP(F$10,'C.II.1.1.12'!$A$37:$I$64,8,0)</f>
        <v>0</v>
      </c>
      <c r="G112" s="275">
        <f>VLOOKUP(G$10,'C.II.1.1.12'!$A$37:$I$64,8,0)</f>
        <v>0</v>
      </c>
      <c r="H112" s="275">
        <f>VLOOKUP(H$10,'C.II.1.1.12'!$A$37:$I$64,8,0)</f>
        <v>0</v>
      </c>
      <c r="I112" s="275">
        <f>VLOOKUP(I$10,'C.II.1.1.12'!$A$37:$I$64,8,0)</f>
        <v>0</v>
      </c>
      <c r="J112" s="275">
        <f>VLOOKUP(J$10,'C.II.1.1.12'!$A$37:$I$64,8,0)</f>
        <v>0</v>
      </c>
      <c r="K112" s="275">
        <f>VLOOKUP(K$10,'C.II.1.1.12'!$A$37:$I$64,8,0)</f>
        <v>0</v>
      </c>
      <c r="L112" s="275">
        <f>VLOOKUP(L$10,'C.II.1.1.12'!$A$37:$I$64,8,0)</f>
        <v>0</v>
      </c>
      <c r="M112" s="275">
        <f>VLOOKUP(M$10,'C.II.1.1.12'!$A$37:$I$64,8,0)</f>
        <v>0</v>
      </c>
      <c r="N112" s="275">
        <f>VLOOKUP(N$10,'C.II.1.1.12'!$A$37:$I$64,8,0)</f>
        <v>0</v>
      </c>
      <c r="O112" s="275">
        <f>VLOOKUP(O$10,'C.II.1.1.12'!$A$37:$I$64,8,0)</f>
        <v>0</v>
      </c>
      <c r="P112" s="275">
        <f>VLOOKUP(P$10,'C.II.1.1.12'!$A$37:$I$64,8,0)</f>
        <v>0</v>
      </c>
      <c r="Q112" s="275">
        <f>VLOOKUP(Q$10,'C.II.1.1.12'!$A$37:$I$64,8,0)</f>
        <v>0</v>
      </c>
      <c r="R112" s="275">
        <f>VLOOKUP(R$10,'C.II.1.1.12'!$A$37:$I$64,8,0)</f>
        <v>0</v>
      </c>
      <c r="S112" s="275">
        <f>VLOOKUP(S$10,'C.II.1.1.12'!$A$37:$I$64,8,0)</f>
        <v>0</v>
      </c>
      <c r="T112" s="275">
        <f>VLOOKUP(T$10,'C.II.1.1.12'!$A$37:$I$64,8,0)</f>
        <v>0</v>
      </c>
      <c r="U112" s="275">
        <f>VLOOKUP(U$10,'C.II.1.1.12'!$A$37:$I$64,8,0)</f>
        <v>0</v>
      </c>
      <c r="V112" s="275">
        <f>VLOOKUP(V$10,'C.II.1.1.12'!$A$37:$I$64,8,0)</f>
        <v>0</v>
      </c>
      <c r="W112" s="275">
        <f>VLOOKUP(W$10,'C.II.1.1.12'!$A$37:$I$64,8,0)</f>
        <v>0</v>
      </c>
      <c r="X112" s="275">
        <f>VLOOKUP(X$10,'C.II.1.1.12'!$A$37:$I$64,8,0)</f>
        <v>0</v>
      </c>
      <c r="Y112" s="275">
        <f>VLOOKUP(Y$10,'C.II.1.1.12'!$A$37:$I$64,8,0)</f>
        <v>0</v>
      </c>
      <c r="Z112" s="275">
        <f>VLOOKUP(Z$10,'C.II.1.1.12'!$A$37:$I$64,8,0)</f>
        <v>0.63</v>
      </c>
      <c r="AA112" s="275">
        <f>VLOOKUP(AA$10,'C.II.1.1.12'!$A$37:$I$64,8,0)</f>
        <v>0</v>
      </c>
      <c r="AB112" s="275">
        <f>VLOOKUP(AB$10,'C.II.1.1.12'!$A$37:$I$64,8,0)</f>
        <v>0</v>
      </c>
      <c r="AC112" s="275">
        <f>VLOOKUP(AC$10,'C.II.1.1.12'!$A$37:$I$64,8,0)</f>
        <v>0</v>
      </c>
      <c r="AD112" s="275">
        <f>VLOOKUP(AD$10,'C.II.1.1.12'!$A$37:$I$64,8,0)</f>
        <v>0</v>
      </c>
      <c r="AE112" s="275">
        <f>VLOOKUP(AE$10,'C.II.1.1.12'!$A$37:$I$66,8,0)</f>
        <v>0</v>
      </c>
      <c r="AF112" s="276">
        <f t="shared" si="4"/>
        <v>0.63</v>
      </c>
      <c r="AG112" s="279" t="s">
        <v>645</v>
      </c>
    </row>
    <row r="113" spans="1:33" s="185" customFormat="1" ht="15">
      <c r="A113" s="197">
        <f>THKLQT!A113</f>
        <v>180</v>
      </c>
      <c r="B113" s="273">
        <f t="shared" si="5"/>
        <v>13</v>
      </c>
      <c r="C113" s="271" t="s">
        <v>180</v>
      </c>
      <c r="D113" s="273" t="s">
        <v>0</v>
      </c>
      <c r="E113" s="274">
        <v>28</v>
      </c>
      <c r="F113" s="275">
        <f>VLOOKUP(F$10,'C.II.1.1.13'!$A$37:$I$64,8,0)</f>
        <v>0</v>
      </c>
      <c r="G113" s="275">
        <f>VLOOKUP(G$10,'C.II.1.1.13'!$A$37:$I$64,8,0)</f>
        <v>0</v>
      </c>
      <c r="H113" s="275">
        <f>VLOOKUP(H$10,'C.II.1.1.13'!$A$37:$I$64,8,0)</f>
        <v>0</v>
      </c>
      <c r="I113" s="275">
        <f>VLOOKUP(I$10,'C.II.1.1.13'!$A$37:$I$64,8,0)</f>
        <v>0</v>
      </c>
      <c r="J113" s="275">
        <f>VLOOKUP(J$10,'C.II.1.1.13'!$A$37:$I$64,8,0)</f>
        <v>0</v>
      </c>
      <c r="K113" s="275">
        <f>VLOOKUP(K$10,'C.II.1.1.13'!$A$37:$I$64,8,0)</f>
        <v>0</v>
      </c>
      <c r="L113" s="275">
        <f>VLOOKUP(L$10,'C.II.1.1.13'!$A$37:$I$64,8,0)</f>
        <v>0</v>
      </c>
      <c r="M113" s="275">
        <f>VLOOKUP(M$10,'C.II.1.1.13'!$A$37:$I$64,8,0)</f>
        <v>0</v>
      </c>
      <c r="N113" s="275">
        <f>VLOOKUP(N$10,'C.II.1.1.13'!$A$37:$I$64,8,0)</f>
        <v>0</v>
      </c>
      <c r="O113" s="275">
        <f>VLOOKUP(O$10,'C.II.1.1.13'!$A$37:$I$64,8,0)</f>
        <v>0</v>
      </c>
      <c r="P113" s="275">
        <f>VLOOKUP(P$10,'C.II.1.1.13'!$A$37:$I$64,8,0)</f>
        <v>0</v>
      </c>
      <c r="Q113" s="275">
        <f>VLOOKUP(Q$10,'C.II.1.1.13'!$A$37:$I$64,8,0)</f>
        <v>0</v>
      </c>
      <c r="R113" s="275">
        <f>VLOOKUP(R$10,'C.II.1.1.13'!$A$37:$I$64,8,0)</f>
        <v>0</v>
      </c>
      <c r="S113" s="275">
        <f>VLOOKUP(S$10,'C.II.1.1.13'!$A$37:$I$64,8,0)</f>
        <v>21</v>
      </c>
      <c r="T113" s="275">
        <f>VLOOKUP(T$10,'C.II.1.1.13'!$A$37:$I$64,8,0)</f>
        <v>7</v>
      </c>
      <c r="U113" s="275">
        <f>VLOOKUP(U$10,'C.II.1.1.13'!$A$37:$I$64,8,0)</f>
        <v>0</v>
      </c>
      <c r="V113" s="275">
        <f>VLOOKUP(V$10,'C.II.1.1.13'!$A$37:$I$64,8,0)</f>
        <v>0</v>
      </c>
      <c r="W113" s="275">
        <f>VLOOKUP(W$10,'C.II.1.1.13'!$A$37:$I$64,8,0)</f>
        <v>0</v>
      </c>
      <c r="X113" s="275">
        <f>VLOOKUP(X$10,'C.II.1.1.13'!$A$37:$I$64,8,0)</f>
        <v>0</v>
      </c>
      <c r="Y113" s="275">
        <f>VLOOKUP(Y$10,'C.II.1.1.13'!$A$37:$I$64,8,0)</f>
        <v>0</v>
      </c>
      <c r="Z113" s="275">
        <f>VLOOKUP(Z$10,'C.II.1.1.13'!$A$37:$I$64,8,0)</f>
        <v>0</v>
      </c>
      <c r="AA113" s="275">
        <f>VLOOKUP(AA$10,'C.II.1.1.13'!$A$37:$I$64,8,0)</f>
        <v>0</v>
      </c>
      <c r="AB113" s="275">
        <f>VLOOKUP(AB$10,'C.II.1.1.13'!$A$37:$I$64,8,0)</f>
        <v>0</v>
      </c>
      <c r="AC113" s="275">
        <f>VLOOKUP(AC$10,'C.II.1.1.13'!$A$37:$I$64,8,0)</f>
        <v>0</v>
      </c>
      <c r="AD113" s="275">
        <f>VLOOKUP(AD$10,'C.II.1.1.13'!$A$37:$I$64,8,0)</f>
        <v>0</v>
      </c>
      <c r="AE113" s="275">
        <f>VLOOKUP(AE$10,'C.II.1.1.13'!$A$37:$I$66,8,0)</f>
        <v>0</v>
      </c>
      <c r="AF113" s="276">
        <f t="shared" si="4"/>
        <v>28</v>
      </c>
      <c r="AG113" s="279" t="s">
        <v>644</v>
      </c>
    </row>
    <row r="114" spans="1:33" s="185" customFormat="1" ht="15">
      <c r="A114" s="197">
        <f>THKLQT!A114</f>
        <v>181</v>
      </c>
      <c r="B114" s="273">
        <f t="shared" si="5"/>
        <v>14</v>
      </c>
      <c r="C114" s="291" t="s">
        <v>259</v>
      </c>
      <c r="D114" s="273" t="s">
        <v>8</v>
      </c>
      <c r="E114" s="274">
        <v>0.05</v>
      </c>
      <c r="F114" s="275">
        <f>VLOOKUP(F$10,'C.II.1.1.14'!$A$37:$I$66,8,0)</f>
        <v>0</v>
      </c>
      <c r="G114" s="275">
        <f>VLOOKUP(G$10,'C.II.1.1.14'!$A$37:$I$66,8,0)</f>
        <v>0</v>
      </c>
      <c r="H114" s="275">
        <f>VLOOKUP(H$10,'C.II.1.1.14'!$A$37:$I$66,8,0)</f>
        <v>0</v>
      </c>
      <c r="I114" s="275">
        <f>VLOOKUP(I$10,'C.II.1.1.14'!$A$37:$I$66,8,0)</f>
        <v>0</v>
      </c>
      <c r="J114" s="275">
        <f>VLOOKUP(J$10,'C.II.1.1.14'!$A$37:$I$66,8,0)</f>
        <v>0</v>
      </c>
      <c r="K114" s="275">
        <f>VLOOKUP(K$10,'C.II.1.1.14'!$A$37:$I$66,8,0)</f>
        <v>0</v>
      </c>
      <c r="L114" s="275">
        <f>VLOOKUP(L$10,'C.II.1.1.14'!$A$37:$I$66,8,0)</f>
        <v>0</v>
      </c>
      <c r="M114" s="275">
        <f>VLOOKUP(M$10,'C.II.1.1.14'!$A$37:$I$66,8,0)</f>
        <v>0</v>
      </c>
      <c r="N114" s="275">
        <f>VLOOKUP(N$10,'C.II.1.1.14'!$A$37:$I$66,8,0)</f>
        <v>0</v>
      </c>
      <c r="O114" s="275">
        <f>VLOOKUP(O$10,'C.II.1.1.14'!$A$37:$I$66,8,0)</f>
        <v>0</v>
      </c>
      <c r="P114" s="275">
        <f>VLOOKUP(P$10,'C.II.1.1.14'!$A$37:$I$66,8,0)</f>
        <v>0</v>
      </c>
      <c r="Q114" s="275">
        <f>VLOOKUP(Q$10,'C.II.1.1.14'!$A$37:$I$66,8,0)</f>
        <v>0</v>
      </c>
      <c r="R114" s="275">
        <f>VLOOKUP(R$10,'C.II.1.1.14'!$A$37:$I$66,8,0)</f>
        <v>1.6658780160000001E-2</v>
      </c>
      <c r="S114" s="275">
        <f>VLOOKUP(S$10,'C.II.1.1.14'!$A$37:$I$66,8,0)</f>
        <v>1.0102949999999999E-2</v>
      </c>
      <c r="T114" s="275">
        <f>VLOOKUP(T$10,'C.II.1.1.14'!$A$37:$I$66,8,0)</f>
        <v>2.676173016E-2</v>
      </c>
      <c r="U114" s="275">
        <f>VLOOKUP(U$10,'C.II.1.1.14'!$A$37:$I$66,8,0)</f>
        <v>0</v>
      </c>
      <c r="V114" s="275">
        <f>VLOOKUP(V$10,'C.II.1.1.14'!$A$37:$I$66,8,0)</f>
        <v>0</v>
      </c>
      <c r="W114" s="275">
        <f>VLOOKUP(W$10,'C.II.1.1.14'!$A$37:$I$66,8,0)</f>
        <v>0</v>
      </c>
      <c r="X114" s="275">
        <f>VLOOKUP(X$10,'C.II.1.1.14'!$A$37:$I$66,8,0)</f>
        <v>0</v>
      </c>
      <c r="Y114" s="275">
        <f>VLOOKUP(Y$10,'C.II.1.1.14'!$A$37:$I$66,8,0)</f>
        <v>0</v>
      </c>
      <c r="Z114" s="275">
        <f>VLOOKUP(Z$10,'C.II.1.1.14'!$A$37:$I$66,8,0)</f>
        <v>0</v>
      </c>
      <c r="AA114" s="275">
        <f>VLOOKUP(AA$10,'C.II.1.1.14'!$A$37:$I$66,8,0)</f>
        <v>0</v>
      </c>
      <c r="AB114" s="275">
        <f>VLOOKUP(AB$10,'C.II.1.1.14'!$A$37:$I$66,8,0)</f>
        <v>0</v>
      </c>
      <c r="AC114" s="275">
        <f>VLOOKUP(AC$10,'C.II.1.1.14'!$A$37:$I$66,8,0)</f>
        <v>0</v>
      </c>
      <c r="AD114" s="275">
        <f>VLOOKUP(AD$10,'C.II.1.1.14'!$A$37:$I$66,8,0)</f>
        <v>0</v>
      </c>
      <c r="AE114" s="275">
        <f>VLOOKUP(AE$10,'C.II.1.1.14'!$A$37:$I$66,8,0)</f>
        <v>0</v>
      </c>
      <c r="AF114" s="206">
        <f t="shared" si="4"/>
        <v>0.05</v>
      </c>
      <c r="AG114" s="279" t="s">
        <v>649</v>
      </c>
    </row>
    <row r="115" spans="1:33" s="185" customFormat="1" ht="15">
      <c r="A115" s="197">
        <f>THKLQT!A115</f>
        <v>182</v>
      </c>
      <c r="B115" s="273">
        <f t="shared" si="5"/>
        <v>15</v>
      </c>
      <c r="C115" s="271" t="s">
        <v>260</v>
      </c>
      <c r="D115" s="273" t="s">
        <v>0</v>
      </c>
      <c r="E115" s="274">
        <v>18.73</v>
      </c>
      <c r="F115" s="275">
        <f>VLOOKUP(F$10,'C.II.1.1.15'!$A$37:$I$64,8,0)</f>
        <v>0</v>
      </c>
      <c r="G115" s="275">
        <f>VLOOKUP(G$10,'C.II.1.1.15'!$A$37:$I$64,8,0)</f>
        <v>0</v>
      </c>
      <c r="H115" s="275">
        <f>VLOOKUP(H$10,'C.II.1.1.15'!$A$37:$I$64,8,0)</f>
        <v>0</v>
      </c>
      <c r="I115" s="275">
        <f>VLOOKUP(I$10,'C.II.1.1.15'!$A$37:$I$64,8,0)</f>
        <v>0</v>
      </c>
      <c r="J115" s="275">
        <f>VLOOKUP(J$10,'C.II.1.1.15'!$A$37:$I$64,8,0)</f>
        <v>0</v>
      </c>
      <c r="K115" s="275">
        <f>VLOOKUP(K$10,'C.II.1.1.15'!$A$37:$I$64,8,0)</f>
        <v>0</v>
      </c>
      <c r="L115" s="275">
        <f>VLOOKUP(L$10,'C.II.1.1.15'!$A$37:$I$64,8,0)</f>
        <v>0</v>
      </c>
      <c r="M115" s="275">
        <f>VLOOKUP(M$10,'C.II.1.1.15'!$A$37:$I$64,8,0)</f>
        <v>0</v>
      </c>
      <c r="N115" s="275">
        <f>VLOOKUP(N$10,'C.II.1.1.15'!$A$37:$I$64,8,0)</f>
        <v>0</v>
      </c>
      <c r="O115" s="275">
        <f>VLOOKUP(O$10,'C.II.1.1.15'!$A$37:$I$64,8,0)</f>
        <v>0</v>
      </c>
      <c r="P115" s="275">
        <f>VLOOKUP(P$10,'C.II.1.1.15'!$A$37:$I$64,8,0)</f>
        <v>0</v>
      </c>
      <c r="Q115" s="275">
        <f>VLOOKUP(Q$10,'C.II.1.1.15'!$A$37:$I$64,8,0)</f>
        <v>0</v>
      </c>
      <c r="R115" s="275">
        <f>VLOOKUP(R$10,'C.II.1.1.15'!$A$37:$I$64,8,0)</f>
        <v>0</v>
      </c>
      <c r="S115" s="275">
        <f>VLOOKUP(S$10,'C.II.1.1.15'!$A$37:$I$64,8,0)</f>
        <v>0</v>
      </c>
      <c r="T115" s="275">
        <f>VLOOKUP(T$10,'C.II.1.1.15'!$A$37:$I$64,8,0)</f>
        <v>10.151999999999999</v>
      </c>
      <c r="U115" s="275">
        <f>VLOOKUP(U$10,'C.II.1.1.15'!$A$37:$I$64,8,0)</f>
        <v>8.4559999999999995</v>
      </c>
      <c r="V115" s="275">
        <f>VLOOKUP(V$10,'C.II.1.1.15'!$A$37:$I$64,8,0)</f>
        <v>0</v>
      </c>
      <c r="W115" s="275">
        <f>VLOOKUP(W$10,'C.II.1.1.15'!$A$37:$I$64,8,0)</f>
        <v>0</v>
      </c>
      <c r="X115" s="275">
        <f>VLOOKUP(X$10,'C.II.1.1.15'!$A$37:$I$64,8,0)</f>
        <v>0</v>
      </c>
      <c r="Y115" s="275">
        <f>VLOOKUP(Y$10,'C.II.1.1.15'!$A$37:$I$64,8,0)</f>
        <v>0</v>
      </c>
      <c r="Z115" s="275">
        <f>VLOOKUP(Z$10,'C.II.1.1.15'!$A$37:$I$64,8,0)</f>
        <v>0</v>
      </c>
      <c r="AA115" s="275">
        <f>VLOOKUP(AA$10,'C.II.1.1.15'!$A$37:$I$64,8,0)</f>
        <v>0</v>
      </c>
      <c r="AB115" s="275">
        <f>VLOOKUP(AB$10,'C.II.1.1.15'!$A$37:$I$64,8,0)</f>
        <v>0</v>
      </c>
      <c r="AC115" s="275">
        <f>VLOOKUP(AC$10,'C.II.1.1.15'!$A$37:$I$64,8,0)</f>
        <v>0</v>
      </c>
      <c r="AD115" s="275">
        <f>VLOOKUP(AD$10,'C.II.1.1.15'!$A$37:$I$64,8,0)</f>
        <v>0</v>
      </c>
      <c r="AE115" s="275">
        <f>VLOOKUP(AE$10,'C.II.1.1.15'!$A$37:$I$66,8,0)</f>
        <v>0</v>
      </c>
      <c r="AF115" s="276">
        <f t="shared" si="4"/>
        <v>18.61</v>
      </c>
      <c r="AG115" s="279" t="s">
        <v>643</v>
      </c>
    </row>
    <row r="116" spans="1:33" s="185" customFormat="1" ht="15">
      <c r="A116" s="197">
        <f>THKLQT!A116</f>
        <v>183</v>
      </c>
      <c r="B116" s="273">
        <f t="shared" si="5"/>
        <v>16</v>
      </c>
      <c r="C116" s="271" t="s">
        <v>261</v>
      </c>
      <c r="D116" s="273" t="s">
        <v>0</v>
      </c>
      <c r="E116" s="274">
        <v>13.4</v>
      </c>
      <c r="F116" s="275">
        <f>VLOOKUP(F$10,'C.II.1.1.16'!$A$37:$I$64,8,0)</f>
        <v>0</v>
      </c>
      <c r="G116" s="275">
        <f>VLOOKUP(G$10,'C.II.1.1.16'!$A$37:$I$64,8,0)</f>
        <v>0</v>
      </c>
      <c r="H116" s="275">
        <f>VLOOKUP(H$10,'C.II.1.1.16'!$A$37:$I$64,8,0)</f>
        <v>0</v>
      </c>
      <c r="I116" s="275">
        <f>VLOOKUP(I$10,'C.II.1.1.16'!$A$37:$I$64,8,0)</f>
        <v>0</v>
      </c>
      <c r="J116" s="275">
        <f>VLOOKUP(J$10,'C.II.1.1.16'!$A$37:$I$64,8,0)</f>
        <v>0</v>
      </c>
      <c r="K116" s="275">
        <f>VLOOKUP(K$10,'C.II.1.1.16'!$A$37:$I$64,8,0)</f>
        <v>0</v>
      </c>
      <c r="L116" s="275">
        <f>VLOOKUP(L$10,'C.II.1.1.16'!$A$37:$I$64,8,0)</f>
        <v>0</v>
      </c>
      <c r="M116" s="275">
        <f>VLOOKUP(M$10,'C.II.1.1.16'!$A$37:$I$64,8,0)</f>
        <v>0</v>
      </c>
      <c r="N116" s="275">
        <f>VLOOKUP(N$10,'C.II.1.1.16'!$A$37:$I$64,8,0)</f>
        <v>0</v>
      </c>
      <c r="O116" s="275">
        <f>VLOOKUP(O$10,'C.II.1.1.16'!$A$37:$I$64,8,0)</f>
        <v>0</v>
      </c>
      <c r="P116" s="275">
        <f>VLOOKUP(P$10,'C.II.1.1.16'!$A$37:$I$64,8,0)</f>
        <v>0</v>
      </c>
      <c r="Q116" s="275">
        <f>VLOOKUP(Q$10,'C.II.1.1.16'!$A$37:$I$64,8,0)</f>
        <v>0</v>
      </c>
      <c r="R116" s="275">
        <f>VLOOKUP(R$10,'C.II.1.1.16'!$A$37:$I$64,8,0)</f>
        <v>0</v>
      </c>
      <c r="S116" s="275">
        <f>VLOOKUP(S$10,'C.II.1.1.16'!$A$37:$I$64,8,0)</f>
        <v>0</v>
      </c>
      <c r="T116" s="275">
        <f>VLOOKUP(T$10,'C.II.1.1.16'!$A$37:$I$64,8,0)</f>
        <v>9.2609999999999992</v>
      </c>
      <c r="U116" s="275">
        <f>VLOOKUP(U$10,'C.II.1.1.16'!$A$37:$I$64,8,0)</f>
        <v>7.5529999999999999</v>
      </c>
      <c r="V116" s="275">
        <f>VLOOKUP(V$10,'C.II.1.1.16'!$A$37:$I$64,8,0)</f>
        <v>0</v>
      </c>
      <c r="W116" s="275">
        <f>VLOOKUP(W$10,'C.II.1.1.16'!$A$37:$I$64,8,0)</f>
        <v>0</v>
      </c>
      <c r="X116" s="275">
        <f>VLOOKUP(X$10,'C.II.1.1.16'!$A$37:$I$64,8,0)</f>
        <v>0</v>
      </c>
      <c r="Y116" s="275">
        <f>VLOOKUP(Y$10,'C.II.1.1.16'!$A$37:$I$64,8,0)</f>
        <v>0</v>
      </c>
      <c r="Z116" s="275">
        <f>VLOOKUP(Z$10,'C.II.1.1.16'!$A$37:$I$64,8,0)</f>
        <v>0</v>
      </c>
      <c r="AA116" s="275">
        <f>VLOOKUP(AA$10,'C.II.1.1.16'!$A$37:$I$64,8,0)</f>
        <v>0</v>
      </c>
      <c r="AB116" s="275">
        <f>VLOOKUP(AB$10,'C.II.1.1.16'!$A$37:$I$64,8,0)</f>
        <v>0</v>
      </c>
      <c r="AC116" s="275">
        <f>VLOOKUP(AC$10,'C.II.1.1.16'!$A$37:$I$64,8,0)</f>
        <v>0</v>
      </c>
      <c r="AD116" s="275">
        <f>VLOOKUP(AD$10,'C.II.1.1.16'!$A$37:$I$64,8,0)</f>
        <v>0</v>
      </c>
      <c r="AE116" s="275">
        <f>VLOOKUP(AE$10,'C.II.1.1.16'!$A$37:$I$66,8,0)</f>
        <v>0</v>
      </c>
      <c r="AF116" s="276">
        <f t="shared" si="4"/>
        <v>16.809999999999999</v>
      </c>
      <c r="AG116" s="279" t="s">
        <v>642</v>
      </c>
    </row>
    <row r="117" spans="1:33" s="185" customFormat="1" ht="15">
      <c r="A117" s="197">
        <f>THKLQT!A117</f>
        <v>0</v>
      </c>
      <c r="B117" s="239" t="s">
        <v>262</v>
      </c>
      <c r="C117" s="240" t="s">
        <v>263</v>
      </c>
      <c r="D117" s="241" t="s">
        <v>153</v>
      </c>
      <c r="E117" s="176"/>
      <c r="F117" s="177"/>
      <c r="G117" s="177"/>
      <c r="H117" s="177"/>
      <c r="I117" s="177"/>
      <c r="J117" s="177"/>
      <c r="K117" s="177"/>
      <c r="L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206">
        <f t="shared" si="4"/>
        <v>0</v>
      </c>
    </row>
    <row r="118" spans="1:33" s="185" customFormat="1" ht="15">
      <c r="A118" s="197">
        <f>THKLQT!A118</f>
        <v>0</v>
      </c>
      <c r="B118" s="239" t="s">
        <v>153</v>
      </c>
      <c r="C118" s="240" t="s">
        <v>264</v>
      </c>
      <c r="D118" s="241" t="s">
        <v>153</v>
      </c>
      <c r="E118" s="176"/>
      <c r="F118" s="177"/>
      <c r="G118" s="177"/>
      <c r="H118" s="177"/>
      <c r="I118" s="177"/>
      <c r="J118" s="177"/>
      <c r="K118" s="177"/>
      <c r="L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206">
        <f t="shared" si="4"/>
        <v>0</v>
      </c>
    </row>
    <row r="119" spans="1:33" s="185" customFormat="1" ht="15">
      <c r="A119" s="197">
        <f>THKLQT!A119</f>
        <v>184</v>
      </c>
      <c r="B119" s="273">
        <v>1</v>
      </c>
      <c r="C119" s="271" t="s">
        <v>265</v>
      </c>
      <c r="D119" s="273" t="s">
        <v>7</v>
      </c>
      <c r="E119" s="274">
        <v>57.87</v>
      </c>
      <c r="F119" s="275">
        <f>VLOOKUP(F$10,'C.II.1.2.1'!$A$53:$I$80,8,0)</f>
        <v>0</v>
      </c>
      <c r="G119" s="275">
        <f>VLOOKUP(G$10,'C.II.1.2.1'!$A$53:$I$80,8,0)</f>
        <v>0</v>
      </c>
      <c r="H119" s="275">
        <f>VLOOKUP(H$10,'C.II.1.2.1'!$A$53:$I$80,8,0)</f>
        <v>0</v>
      </c>
      <c r="I119" s="275">
        <f>VLOOKUP(I$10,'C.II.1.2.1'!$A$53:$I$80,8,0)</f>
        <v>0</v>
      </c>
      <c r="J119" s="275">
        <f>VLOOKUP(J$10,'C.II.1.2.1'!$A$53:$I$80,8,0)</f>
        <v>0</v>
      </c>
      <c r="K119" s="275">
        <f>VLOOKUP(K$10,'C.II.1.2.1'!$A$53:$I$80,8,0)</f>
        <v>0</v>
      </c>
      <c r="L119" s="275">
        <f>VLOOKUP(L$10,'C.II.1.2.1'!$A$53:$I$80,8,0)</f>
        <v>0</v>
      </c>
      <c r="M119" s="275">
        <f>VLOOKUP(M$10,'C.II.1.2.1'!$A$53:$I$80,8,0)</f>
        <v>0</v>
      </c>
      <c r="N119" s="275">
        <f>VLOOKUP(N$10,'C.II.1.2.1'!$A$53:$I$80,8,0)</f>
        <v>0</v>
      </c>
      <c r="O119" s="275">
        <f>VLOOKUP(O$10,'C.II.1.2.1'!$A$53:$I$80,8,0)</f>
        <v>0</v>
      </c>
      <c r="P119" s="275">
        <f>VLOOKUP(P$10,'C.II.1.2.1'!$A$53:$I$80,8,0)</f>
        <v>0</v>
      </c>
      <c r="Q119" s="275">
        <f>VLOOKUP(Q$10,'C.II.1.2.1'!$A$53:$I$80,8,0)</f>
        <v>0</v>
      </c>
      <c r="R119" s="275">
        <f>VLOOKUP(R$10,'C.II.1.2.1'!$A$53:$I$80,8,0)</f>
        <v>0</v>
      </c>
      <c r="S119" s="275">
        <f>VLOOKUP(S$10,'C.II.1.2.1'!$A$53:$I$80,8,0)</f>
        <v>0</v>
      </c>
      <c r="T119" s="275">
        <f>VLOOKUP(T$10,'C.II.1.2.1'!$A$53:$I$80,8,0)</f>
        <v>0</v>
      </c>
      <c r="U119" s="275">
        <f>VLOOKUP(U$10,'C.II.1.2.1'!$A$53:$I$80,8,0)</f>
        <v>0</v>
      </c>
      <c r="V119" s="275">
        <f>VLOOKUP(V$10,'C.II.1.2.1'!$A$53:$I$80,8,0)</f>
        <v>0</v>
      </c>
      <c r="W119" s="275">
        <f>VLOOKUP(W$10,'C.II.1.2.1'!$A$53:$I$80,8,0)</f>
        <v>0</v>
      </c>
      <c r="X119" s="275">
        <f>VLOOKUP(X$10,'C.II.1.2.1'!$A$53:$I$80,8,0)</f>
        <v>24.08</v>
      </c>
      <c r="Y119" s="275">
        <f>VLOOKUP(Y$10,'C.II.1.2.1'!$A$53:$I$80,8,0)</f>
        <v>31.599999999999994</v>
      </c>
      <c r="Z119" s="275">
        <f>VLOOKUP(Z$10,'C.II.1.2.1'!$A$53:$I$80,8,0)</f>
        <v>1.8500000000000085</v>
      </c>
      <c r="AA119" s="275">
        <f>VLOOKUP(AA$10,'C.II.1.2.1'!$A$53:$I$80,8,0)</f>
        <v>0</v>
      </c>
      <c r="AB119" s="275">
        <f>VLOOKUP(AB$10,'C.II.1.2.1'!$A$53:$I$80,8,0)</f>
        <v>0</v>
      </c>
      <c r="AC119" s="275">
        <f>VLOOKUP(AC$10,'C.II.1.2.1'!$A$53:$I$80,8,0)</f>
        <v>0</v>
      </c>
      <c r="AD119" s="275">
        <f>VLOOKUP(AD$10,'C.II.1.2.1'!$A$53:$I$80,8,0)</f>
        <v>0</v>
      </c>
      <c r="AE119" s="275">
        <f>VLOOKUP(AE$10,'C.II.1.2.1'!$A$53:$I$82,8,0)</f>
        <v>0</v>
      </c>
      <c r="AF119" s="276">
        <f t="shared" si="4"/>
        <v>57.53</v>
      </c>
      <c r="AG119" s="279" t="s">
        <v>655</v>
      </c>
    </row>
    <row r="120" spans="1:33" s="185" customFormat="1" ht="30" hidden="1">
      <c r="A120" s="197">
        <f>THKLQT!A120</f>
        <v>0</v>
      </c>
      <c r="B120" s="273"/>
      <c r="C120" s="271" t="s">
        <v>266</v>
      </c>
      <c r="D120" s="273" t="s">
        <v>8</v>
      </c>
      <c r="E120" s="274">
        <v>0</v>
      </c>
      <c r="F120" s="275"/>
      <c r="G120" s="275"/>
      <c r="H120" s="275"/>
      <c r="I120" s="275"/>
      <c r="J120" s="275"/>
      <c r="K120" s="275"/>
      <c r="L120" s="275"/>
      <c r="M120" s="275"/>
      <c r="N120" s="275"/>
      <c r="O120" s="275"/>
      <c r="P120" s="275"/>
      <c r="Q120" s="275"/>
      <c r="R120" s="275"/>
      <c r="S120" s="275"/>
      <c r="T120" s="275"/>
      <c r="U120" s="275"/>
      <c r="V120" s="275"/>
      <c r="W120" s="275"/>
      <c r="X120" s="275"/>
      <c r="Y120" s="275"/>
      <c r="Z120" s="275"/>
      <c r="AA120" s="275"/>
      <c r="AB120" s="275"/>
      <c r="AC120" s="275"/>
      <c r="AD120" s="275"/>
      <c r="AE120" s="275"/>
      <c r="AF120" s="276">
        <f t="shared" si="4"/>
        <v>0</v>
      </c>
    </row>
    <row r="121" spans="1:33" s="185" customFormat="1" ht="15">
      <c r="A121" s="197">
        <f>THKLQT!A121</f>
        <v>185</v>
      </c>
      <c r="B121" s="273">
        <f>B119+1</f>
        <v>2</v>
      </c>
      <c r="C121" s="271" t="s">
        <v>267</v>
      </c>
      <c r="D121" s="273" t="s">
        <v>38</v>
      </c>
      <c r="E121" s="274">
        <v>5412.93</v>
      </c>
      <c r="F121" s="275">
        <f>VLOOKUP(F$10,'C.II.1.2.2'!$A$35:$I$62,8,0)</f>
        <v>0</v>
      </c>
      <c r="G121" s="275">
        <f>VLOOKUP(G$10,'C.II.1.2.2'!$A$35:$I$62,8,0)</f>
        <v>0</v>
      </c>
      <c r="H121" s="275">
        <f>VLOOKUP(H$10,'C.II.1.2.2'!$A$35:$I$62,8,0)</f>
        <v>0</v>
      </c>
      <c r="I121" s="275">
        <f>VLOOKUP(I$10,'C.II.1.2.2'!$A$35:$I$62,8,0)</f>
        <v>0</v>
      </c>
      <c r="J121" s="275">
        <f>VLOOKUP(J$10,'C.II.1.2.2'!$A$35:$I$62,8,0)</f>
        <v>0</v>
      </c>
      <c r="K121" s="275">
        <f>VLOOKUP(K$10,'C.II.1.2.2'!$A$35:$I$62,8,0)</f>
        <v>0</v>
      </c>
      <c r="L121" s="275">
        <f>VLOOKUP(L$10,'C.II.1.2.2'!$A$35:$I$62,8,0)</f>
        <v>0</v>
      </c>
      <c r="M121" s="275">
        <f>VLOOKUP(M$10,'C.II.1.2.2'!$A$35:$I$62,8,0)</f>
        <v>0</v>
      </c>
      <c r="N121" s="275">
        <f>VLOOKUP(N$10,'C.II.1.2.2'!$A$35:$I$62,8,0)</f>
        <v>0</v>
      </c>
      <c r="O121" s="275">
        <f>VLOOKUP(O$10,'C.II.1.2.2'!$A$35:$I$62,8,0)</f>
        <v>0</v>
      </c>
      <c r="P121" s="275">
        <f>VLOOKUP(P$10,'C.II.1.2.2'!$A$35:$I$62,8,0)</f>
        <v>0</v>
      </c>
      <c r="Q121" s="275">
        <f>VLOOKUP(Q$10,'C.II.1.2.2'!$A$35:$I$62,8,0)</f>
        <v>0</v>
      </c>
      <c r="R121" s="275">
        <f>VLOOKUP(R$10,'C.II.1.2.2'!$A$35:$I$62,8,0)</f>
        <v>0</v>
      </c>
      <c r="S121" s="275">
        <f>VLOOKUP(S$10,'C.II.1.2.2'!$A$35:$I$62,8,0)</f>
        <v>0</v>
      </c>
      <c r="T121" s="275">
        <f>VLOOKUP(T$10,'C.II.1.2.2'!$A$35:$I$62,8,0)</f>
        <v>0</v>
      </c>
      <c r="U121" s="275">
        <f>VLOOKUP(U$10,'C.II.1.2.2'!$A$35:$I$62,8,0)</f>
        <v>0</v>
      </c>
      <c r="V121" s="275">
        <f>VLOOKUP(V$10,'C.II.1.2.2'!$A$35:$I$62,8,0)</f>
        <v>0</v>
      </c>
      <c r="W121" s="275">
        <f>VLOOKUP(W$10,'C.II.1.2.2'!$A$35:$I$62,8,0)</f>
        <v>0</v>
      </c>
      <c r="X121" s="275">
        <f>VLOOKUP(X$10,'C.II.1.2.2'!$A$35:$I$62,8,0)</f>
        <v>0</v>
      </c>
      <c r="Y121" s="275">
        <f>VLOOKUP(Y$10,'C.II.1.2.2'!$A$35:$I$62,8,0)</f>
        <v>0</v>
      </c>
      <c r="Z121" s="275">
        <f>VLOOKUP(Z$10,'C.II.1.2.2'!$A$35:$I$62,8,0)</f>
        <v>0</v>
      </c>
      <c r="AA121" s="275">
        <f>VLOOKUP(AA$10,'C.II.1.2.2'!$A$35:$I$62,8,0)</f>
        <v>5753</v>
      </c>
      <c r="AB121" s="275">
        <f>VLOOKUP(AB$10,'C.II.1.2.2'!$A$35:$I$62,8,0)</f>
        <v>0</v>
      </c>
      <c r="AC121" s="275">
        <f>VLOOKUP(AC$10,'C.II.1.2.2'!$A$35:$I$62,8,0)</f>
        <v>0</v>
      </c>
      <c r="AD121" s="275">
        <f>VLOOKUP(AD$10,'C.II.1.2.2'!$A$35:$I$62,8,0)</f>
        <v>0</v>
      </c>
      <c r="AE121" s="275">
        <f>VLOOKUP(AE$10,'C.II.1.2.2'!$A$35:$I$64,8,0)</f>
        <v>0</v>
      </c>
      <c r="AF121" s="276">
        <f t="shared" si="4"/>
        <v>5753</v>
      </c>
      <c r="AG121" s="279" t="s">
        <v>656</v>
      </c>
    </row>
    <row r="122" spans="1:33" s="185" customFormat="1" ht="15">
      <c r="A122" s="197">
        <f>THKLQT!A122</f>
        <v>186</v>
      </c>
      <c r="B122" s="273">
        <f>B121+1</f>
        <v>3</v>
      </c>
      <c r="C122" s="271" t="s">
        <v>268</v>
      </c>
      <c r="D122" s="273" t="s">
        <v>8</v>
      </c>
      <c r="E122" s="274">
        <v>1.79</v>
      </c>
      <c r="F122" s="275">
        <f>VLOOKUP(F$10,'C.II.1.2.3'!$A$53:$I$80,8,0)</f>
        <v>0</v>
      </c>
      <c r="G122" s="275">
        <f>VLOOKUP(G$10,'C.II.1.2.3'!$A$53:$I$80,8,0)</f>
        <v>0</v>
      </c>
      <c r="H122" s="275">
        <f>VLOOKUP(H$10,'C.II.1.2.3'!$A$53:$I$80,8,0)</f>
        <v>0</v>
      </c>
      <c r="I122" s="275">
        <f>VLOOKUP(I$10,'C.II.1.2.3'!$A$53:$I$80,8,0)</f>
        <v>0</v>
      </c>
      <c r="J122" s="275">
        <f>VLOOKUP(J$10,'C.II.1.2.3'!$A$53:$I$80,8,0)</f>
        <v>0</v>
      </c>
      <c r="K122" s="275">
        <f>VLOOKUP(K$10,'C.II.1.2.3'!$A$53:$I$80,8,0)</f>
        <v>0</v>
      </c>
      <c r="L122" s="275">
        <f>VLOOKUP(L$10,'C.II.1.2.3'!$A$53:$I$80,8,0)</f>
        <v>0</v>
      </c>
      <c r="M122" s="275">
        <f>VLOOKUP(M$10,'C.II.1.2.3'!$A$53:$I$80,8,0)</f>
        <v>0</v>
      </c>
      <c r="N122" s="275">
        <f>VLOOKUP(N$10,'C.II.1.2.3'!$A$53:$I$80,8,0)</f>
        <v>0</v>
      </c>
      <c r="O122" s="275">
        <f>VLOOKUP(O$10,'C.II.1.2.3'!$A$53:$I$80,8,0)</f>
        <v>0</v>
      </c>
      <c r="P122" s="275">
        <f>VLOOKUP(P$10,'C.II.1.2.3'!$A$53:$I$80,8,0)</f>
        <v>0</v>
      </c>
      <c r="Q122" s="275">
        <f>VLOOKUP(Q$10,'C.II.1.2.3'!$A$53:$I$80,8,0)</f>
        <v>0</v>
      </c>
      <c r="R122" s="275">
        <f>VLOOKUP(R$10,'C.II.1.2.3'!$A$53:$I$80,8,0)</f>
        <v>0</v>
      </c>
      <c r="S122" s="275">
        <f>VLOOKUP(S$10,'C.II.1.2.3'!$A$53:$I$80,8,0)</f>
        <v>0</v>
      </c>
      <c r="T122" s="275">
        <f>VLOOKUP(T$10,'C.II.1.2.3'!$A$53:$I$80,8,0)</f>
        <v>0</v>
      </c>
      <c r="U122" s="275">
        <f>VLOOKUP(U$10,'C.II.1.2.3'!$A$53:$I$80,8,0)</f>
        <v>0</v>
      </c>
      <c r="V122" s="275">
        <f>VLOOKUP(V$10,'C.II.1.2.3'!$A$53:$I$80,8,0)</f>
        <v>0</v>
      </c>
      <c r="W122" s="275">
        <f>VLOOKUP(W$10,'C.II.1.2.3'!$A$53:$I$80,8,0)</f>
        <v>0</v>
      </c>
      <c r="X122" s="275">
        <f>VLOOKUP(X$10,'C.II.1.2.3'!$A$53:$I$80,8,0)</f>
        <v>1.1721600000000001</v>
      </c>
      <c r="Y122" s="275">
        <f>VLOOKUP(Y$10,'C.II.1.2.3'!$A$53:$I$80,8,0)</f>
        <v>1.4652000000000001</v>
      </c>
      <c r="Z122" s="275">
        <f>VLOOKUP(Z$10,'C.II.1.2.3'!$A$53:$I$80,8,0)</f>
        <v>0.14652000000000001</v>
      </c>
      <c r="AA122" s="275">
        <f>VLOOKUP(AA$10,'C.II.1.2.3'!$A$53:$I$80,8,0)</f>
        <v>0</v>
      </c>
      <c r="AB122" s="275">
        <f>VLOOKUP(AB$10,'C.II.1.2.3'!$A$53:$I$80,8,0)</f>
        <v>0</v>
      </c>
      <c r="AC122" s="275">
        <f>VLOOKUP(AC$10,'C.II.1.2.3'!$A$53:$I$80,8,0)</f>
        <v>0</v>
      </c>
      <c r="AD122" s="275">
        <f>VLOOKUP(AD$10,'C.II.1.2.3'!$A$53:$I$80,8,0)</f>
        <v>0</v>
      </c>
      <c r="AE122" s="275">
        <f>VLOOKUP(AE$10,'C.II.1.2.3'!$A$53:$I$82,8,0)</f>
        <v>0</v>
      </c>
      <c r="AF122" s="276">
        <f t="shared" si="4"/>
        <v>2.78</v>
      </c>
      <c r="AG122" s="279" t="s">
        <v>657</v>
      </c>
    </row>
    <row r="123" spans="1:33" s="185" customFormat="1" ht="15">
      <c r="A123" s="197">
        <f>THKLQT!A123</f>
        <v>187</v>
      </c>
      <c r="B123" s="273">
        <f t="shared" si="5"/>
        <v>4</v>
      </c>
      <c r="C123" s="271" t="s">
        <v>269</v>
      </c>
      <c r="D123" s="273" t="s">
        <v>7</v>
      </c>
      <c r="E123" s="274">
        <v>170.99</v>
      </c>
      <c r="F123" s="275">
        <f>VLOOKUP(F$10,'C.II.1.2.4'!$A$35:$I$62,8,0)</f>
        <v>0</v>
      </c>
      <c r="G123" s="275">
        <f>VLOOKUP(G$10,'C.II.1.2.4'!$A$35:$I$62,8,0)</f>
        <v>0</v>
      </c>
      <c r="H123" s="275">
        <f>VLOOKUP(H$10,'C.II.1.2.4'!$A$35:$I$62,8,0)</f>
        <v>0</v>
      </c>
      <c r="I123" s="275">
        <f>VLOOKUP(I$10,'C.II.1.2.4'!$A$35:$I$62,8,0)</f>
        <v>0</v>
      </c>
      <c r="J123" s="275">
        <f>VLOOKUP(J$10,'C.II.1.2.4'!$A$35:$I$62,8,0)</f>
        <v>0</v>
      </c>
      <c r="K123" s="275">
        <f>VLOOKUP(K$10,'C.II.1.2.4'!$A$35:$I$62,8,0)</f>
        <v>0</v>
      </c>
      <c r="L123" s="275">
        <f>VLOOKUP(L$10,'C.II.1.2.4'!$A$35:$I$62,8,0)</f>
        <v>0</v>
      </c>
      <c r="M123" s="275">
        <f>VLOOKUP(M$10,'C.II.1.2.4'!$A$35:$I$62,8,0)</f>
        <v>0</v>
      </c>
      <c r="N123" s="275">
        <f>VLOOKUP(N$10,'C.II.1.2.4'!$A$35:$I$62,8,0)</f>
        <v>0</v>
      </c>
      <c r="O123" s="275">
        <f>VLOOKUP(O$10,'C.II.1.2.4'!$A$35:$I$62,8,0)</f>
        <v>0</v>
      </c>
      <c r="P123" s="275">
        <f>VLOOKUP(P$10,'C.II.1.2.4'!$A$35:$I$62,8,0)</f>
        <v>0</v>
      </c>
      <c r="Q123" s="275">
        <f>VLOOKUP(Q$10,'C.II.1.2.4'!$A$35:$I$62,8,0)</f>
        <v>0</v>
      </c>
      <c r="R123" s="275">
        <f>VLOOKUP(R$10,'C.II.1.2.4'!$A$35:$I$62,8,0)</f>
        <v>0</v>
      </c>
      <c r="S123" s="275">
        <f>VLOOKUP(S$10,'C.II.1.2.4'!$A$35:$I$62,8,0)</f>
        <v>0</v>
      </c>
      <c r="T123" s="275">
        <f>VLOOKUP(T$10,'C.II.1.2.4'!$A$35:$I$62,8,0)</f>
        <v>0</v>
      </c>
      <c r="U123" s="275">
        <f>VLOOKUP(U$10,'C.II.1.2.4'!$A$35:$I$62,8,0)</f>
        <v>0</v>
      </c>
      <c r="V123" s="275">
        <f>VLOOKUP(V$10,'C.II.1.2.4'!$A$35:$I$62,8,0)</f>
        <v>0</v>
      </c>
      <c r="W123" s="275">
        <f>VLOOKUP(W$10,'C.II.1.2.4'!$A$35:$I$62,8,0)</f>
        <v>0</v>
      </c>
      <c r="X123" s="275">
        <f>VLOOKUP(X$10,'C.II.1.2.4'!$A$35:$I$62,8,0)</f>
        <v>0</v>
      </c>
      <c r="Y123" s="275">
        <f>VLOOKUP(Y$10,'C.II.1.2.4'!$A$35:$I$62,8,0)</f>
        <v>0</v>
      </c>
      <c r="Z123" s="275">
        <f>VLOOKUP(Z$10,'C.II.1.2.4'!$A$35:$I$62,8,0)</f>
        <v>143.96</v>
      </c>
      <c r="AA123" s="275">
        <f>VLOOKUP(AA$10,'C.II.1.2.4'!$A$35:$I$62,8,0)</f>
        <v>0</v>
      </c>
      <c r="AB123" s="275">
        <f>VLOOKUP(AB$10,'C.II.1.2.4'!$A$35:$I$62,8,0)</f>
        <v>0</v>
      </c>
      <c r="AC123" s="275">
        <f>VLOOKUP(AC$10,'C.II.1.2.4'!$A$35:$I$62,8,0)</f>
        <v>0</v>
      </c>
      <c r="AD123" s="275">
        <f>VLOOKUP(AD$10,'C.II.1.2.4'!$A$35:$I$62,8,0)</f>
        <v>0</v>
      </c>
      <c r="AE123" s="275">
        <f>VLOOKUP(AE$10,'C.II.1.2.4'!$A$35:$I$64,8,0)</f>
        <v>0</v>
      </c>
      <c r="AF123" s="276">
        <f t="shared" si="4"/>
        <v>143.96</v>
      </c>
      <c r="AG123" s="279" t="s">
        <v>658</v>
      </c>
    </row>
    <row r="124" spans="1:33" s="185" customFormat="1" ht="15">
      <c r="A124" s="197">
        <f>THKLQT!A124</f>
        <v>188</v>
      </c>
      <c r="B124" s="273">
        <f t="shared" si="5"/>
        <v>5</v>
      </c>
      <c r="C124" s="271" t="s">
        <v>270</v>
      </c>
      <c r="D124" s="273" t="s">
        <v>7</v>
      </c>
      <c r="E124" s="274">
        <v>129.05000000000001</v>
      </c>
      <c r="F124" s="275">
        <f>VLOOKUP(F$10,'C.II.1.2.5'!$A$35:$I$62,8,0)</f>
        <v>0</v>
      </c>
      <c r="G124" s="275">
        <f>VLOOKUP(G$10,'C.II.1.2.5'!$A$35:$I$62,8,0)</f>
        <v>0</v>
      </c>
      <c r="H124" s="275">
        <f>VLOOKUP(H$10,'C.II.1.2.5'!$A$35:$I$62,8,0)</f>
        <v>0</v>
      </c>
      <c r="I124" s="275">
        <f>VLOOKUP(I$10,'C.II.1.2.5'!$A$35:$I$62,8,0)</f>
        <v>0</v>
      </c>
      <c r="J124" s="275">
        <f>VLOOKUP(J$10,'C.II.1.2.5'!$A$35:$I$62,8,0)</f>
        <v>0</v>
      </c>
      <c r="K124" s="275">
        <f>VLOOKUP(K$10,'C.II.1.2.5'!$A$35:$I$62,8,0)</f>
        <v>0</v>
      </c>
      <c r="L124" s="275">
        <f>VLOOKUP(L$10,'C.II.1.2.5'!$A$35:$I$62,8,0)</f>
        <v>0</v>
      </c>
      <c r="M124" s="275">
        <f>VLOOKUP(M$10,'C.II.1.2.5'!$A$35:$I$62,8,0)</f>
        <v>0</v>
      </c>
      <c r="N124" s="275">
        <f>VLOOKUP(N$10,'C.II.1.2.5'!$A$35:$I$62,8,0)</f>
        <v>0</v>
      </c>
      <c r="O124" s="275">
        <f>VLOOKUP(O$10,'C.II.1.2.5'!$A$35:$I$62,8,0)</f>
        <v>0</v>
      </c>
      <c r="P124" s="275">
        <f>VLOOKUP(P$10,'C.II.1.2.5'!$A$35:$I$62,8,0)</f>
        <v>0</v>
      </c>
      <c r="Q124" s="275">
        <f>VLOOKUP(Q$10,'C.II.1.2.5'!$A$35:$I$62,8,0)</f>
        <v>0</v>
      </c>
      <c r="R124" s="275">
        <f>VLOOKUP(R$10,'C.II.1.2.5'!$A$35:$I$62,8,0)</f>
        <v>0</v>
      </c>
      <c r="S124" s="275">
        <f>VLOOKUP(S$10,'C.II.1.2.5'!$A$35:$I$62,8,0)</f>
        <v>0</v>
      </c>
      <c r="T124" s="275">
        <f>VLOOKUP(T$10,'C.II.1.2.5'!$A$35:$I$62,8,0)</f>
        <v>0</v>
      </c>
      <c r="U124" s="275">
        <f>VLOOKUP(U$10,'C.II.1.2.5'!$A$35:$I$62,8,0)</f>
        <v>0</v>
      </c>
      <c r="V124" s="275">
        <f>VLOOKUP(V$10,'C.II.1.2.5'!$A$35:$I$62,8,0)</f>
        <v>0</v>
      </c>
      <c r="W124" s="275">
        <f>VLOOKUP(W$10,'C.II.1.2.5'!$A$35:$I$62,8,0)</f>
        <v>0</v>
      </c>
      <c r="X124" s="275">
        <f>VLOOKUP(X$10,'C.II.1.2.5'!$A$35:$I$62,8,0)</f>
        <v>0</v>
      </c>
      <c r="Y124" s="275">
        <f>VLOOKUP(Y$10,'C.II.1.2.5'!$A$35:$I$62,8,0)</f>
        <v>0</v>
      </c>
      <c r="Z124" s="275">
        <f>VLOOKUP(Z$10,'C.II.1.2.5'!$A$35:$I$62,8,0)</f>
        <v>102.41245000000001</v>
      </c>
      <c r="AA124" s="275">
        <f>VLOOKUP(AA$10,'C.II.1.2.5'!$A$35:$I$62,8,0)</f>
        <v>0</v>
      </c>
      <c r="AB124" s="275">
        <f>VLOOKUP(AB$10,'C.II.1.2.5'!$A$35:$I$62,8,0)</f>
        <v>0</v>
      </c>
      <c r="AC124" s="275">
        <f>VLOOKUP(AC$10,'C.II.1.2.5'!$A$35:$I$62,8,0)</f>
        <v>0</v>
      </c>
      <c r="AD124" s="275">
        <f>VLOOKUP(AD$10,'C.II.1.2.5'!$A$35:$I$62,8,0)</f>
        <v>0</v>
      </c>
      <c r="AE124" s="275">
        <f>VLOOKUP(AE$10,'C.II.1.2.5'!$A$35:$I$64,8,0)</f>
        <v>0</v>
      </c>
      <c r="AF124" s="276">
        <f t="shared" si="4"/>
        <v>102.41</v>
      </c>
      <c r="AG124" s="279" t="s">
        <v>659</v>
      </c>
    </row>
    <row r="125" spans="1:33" s="185" customFormat="1" ht="15">
      <c r="A125" s="197">
        <f>THKLQT!A125</f>
        <v>189</v>
      </c>
      <c r="B125" s="273">
        <f t="shared" si="5"/>
        <v>6</v>
      </c>
      <c r="C125" s="271" t="s">
        <v>271</v>
      </c>
      <c r="D125" s="273" t="s">
        <v>7</v>
      </c>
      <c r="E125" s="274">
        <v>6.16</v>
      </c>
      <c r="F125" s="275">
        <f>VLOOKUP(F$10,'C.II.1.2.6'!$A$35:$I$62,8,0)</f>
        <v>0</v>
      </c>
      <c r="G125" s="275">
        <f>VLOOKUP(G$10,'C.II.1.2.6'!$A$35:$I$62,8,0)</f>
        <v>0</v>
      </c>
      <c r="H125" s="275">
        <f>VLOOKUP(H$10,'C.II.1.2.6'!$A$35:$I$62,8,0)</f>
        <v>0</v>
      </c>
      <c r="I125" s="275">
        <f>VLOOKUP(I$10,'C.II.1.2.6'!$A$35:$I$62,8,0)</f>
        <v>0</v>
      </c>
      <c r="J125" s="275">
        <f>VLOOKUP(J$10,'C.II.1.2.6'!$A$35:$I$62,8,0)</f>
        <v>0</v>
      </c>
      <c r="K125" s="275">
        <f>VLOOKUP(K$10,'C.II.1.2.6'!$A$35:$I$62,8,0)</f>
        <v>0</v>
      </c>
      <c r="L125" s="275">
        <f>VLOOKUP(L$10,'C.II.1.2.6'!$A$35:$I$62,8,0)</f>
        <v>0</v>
      </c>
      <c r="M125" s="275">
        <f>VLOOKUP(M$10,'C.II.1.2.6'!$A$35:$I$62,8,0)</f>
        <v>0</v>
      </c>
      <c r="N125" s="275">
        <f>VLOOKUP(N$10,'C.II.1.2.6'!$A$35:$I$62,8,0)</f>
        <v>0</v>
      </c>
      <c r="O125" s="275">
        <f>VLOOKUP(O$10,'C.II.1.2.6'!$A$35:$I$62,8,0)</f>
        <v>0</v>
      </c>
      <c r="P125" s="275">
        <f>VLOOKUP(P$10,'C.II.1.2.6'!$A$35:$I$62,8,0)</f>
        <v>0</v>
      </c>
      <c r="Q125" s="275">
        <f>VLOOKUP(Q$10,'C.II.1.2.6'!$A$35:$I$62,8,0)</f>
        <v>0</v>
      </c>
      <c r="R125" s="275">
        <f>VLOOKUP(R$10,'C.II.1.2.6'!$A$35:$I$62,8,0)</f>
        <v>0</v>
      </c>
      <c r="S125" s="275">
        <f>VLOOKUP(S$10,'C.II.1.2.6'!$A$35:$I$62,8,0)</f>
        <v>0</v>
      </c>
      <c r="T125" s="275">
        <f>VLOOKUP(T$10,'C.II.1.2.6'!$A$35:$I$62,8,0)</f>
        <v>0</v>
      </c>
      <c r="U125" s="275">
        <f>VLOOKUP(U$10,'C.II.1.2.6'!$A$35:$I$62,8,0)</f>
        <v>0</v>
      </c>
      <c r="V125" s="275">
        <f>VLOOKUP(V$10,'C.II.1.2.6'!$A$35:$I$62,8,0)</f>
        <v>0</v>
      </c>
      <c r="W125" s="275">
        <f>VLOOKUP(W$10,'C.II.1.2.6'!$A$35:$I$62,8,0)</f>
        <v>0</v>
      </c>
      <c r="X125" s="275">
        <f>VLOOKUP(X$10,'C.II.1.2.6'!$A$35:$I$62,8,0)</f>
        <v>0</v>
      </c>
      <c r="Y125" s="275">
        <f>VLOOKUP(Y$10,'C.II.1.2.6'!$A$35:$I$62,8,0)</f>
        <v>0</v>
      </c>
      <c r="Z125" s="275">
        <f>VLOOKUP(Z$10,'C.II.1.2.6'!$A$35:$I$62,8,0)</f>
        <v>6.09</v>
      </c>
      <c r="AA125" s="275">
        <f>VLOOKUP(AA$10,'C.II.1.2.6'!$A$35:$I$62,8,0)</f>
        <v>0</v>
      </c>
      <c r="AB125" s="275">
        <f>VLOOKUP(AB$10,'C.II.1.2.6'!$A$35:$I$62,8,0)</f>
        <v>0</v>
      </c>
      <c r="AC125" s="275">
        <f>VLOOKUP(AC$10,'C.II.1.2.6'!$A$35:$I$62,8,0)</f>
        <v>0</v>
      </c>
      <c r="AD125" s="275">
        <f>VLOOKUP(AD$10,'C.II.1.2.6'!$A$35:$I$62,8,0)</f>
        <v>0</v>
      </c>
      <c r="AE125" s="275">
        <f>VLOOKUP(AE$10,'C.II.1.2.6'!$A$35:$I$64,8,0)</f>
        <v>0</v>
      </c>
      <c r="AF125" s="276">
        <f t="shared" si="4"/>
        <v>6.09</v>
      </c>
      <c r="AG125" s="279" t="s">
        <v>660</v>
      </c>
    </row>
    <row r="126" spans="1:33" s="185" customFormat="1" ht="15">
      <c r="A126" s="197">
        <f>THKLQT!A126</f>
        <v>190</v>
      </c>
      <c r="B126" s="273">
        <f t="shared" si="5"/>
        <v>7</v>
      </c>
      <c r="C126" s="271" t="s">
        <v>272</v>
      </c>
      <c r="D126" s="273" t="s">
        <v>7</v>
      </c>
      <c r="E126" s="274">
        <v>41.93</v>
      </c>
      <c r="F126" s="275">
        <f>VLOOKUP(F$10,'C.II.1.2.7'!$A$35:$I$62,8,0)</f>
        <v>0</v>
      </c>
      <c r="G126" s="275">
        <f>VLOOKUP(G$10,'C.II.1.2.7'!$A$35:$I$62,8,0)</f>
        <v>0</v>
      </c>
      <c r="H126" s="275">
        <f>VLOOKUP(H$10,'C.II.1.2.7'!$A$35:$I$62,8,0)</f>
        <v>0</v>
      </c>
      <c r="I126" s="275">
        <f>VLOOKUP(I$10,'C.II.1.2.7'!$A$35:$I$62,8,0)</f>
        <v>0</v>
      </c>
      <c r="J126" s="275">
        <f>VLOOKUP(J$10,'C.II.1.2.7'!$A$35:$I$62,8,0)</f>
        <v>0</v>
      </c>
      <c r="K126" s="275">
        <f>VLOOKUP(K$10,'C.II.1.2.7'!$A$35:$I$62,8,0)</f>
        <v>0</v>
      </c>
      <c r="L126" s="275">
        <f>VLOOKUP(L$10,'C.II.1.2.7'!$A$35:$I$62,8,0)</f>
        <v>0</v>
      </c>
      <c r="M126" s="275">
        <f>VLOOKUP(M$10,'C.II.1.2.7'!$A$35:$I$62,8,0)</f>
        <v>0</v>
      </c>
      <c r="N126" s="275">
        <f>VLOOKUP(N$10,'C.II.1.2.7'!$A$35:$I$62,8,0)</f>
        <v>0</v>
      </c>
      <c r="O126" s="275">
        <f>VLOOKUP(O$10,'C.II.1.2.7'!$A$35:$I$62,8,0)</f>
        <v>0</v>
      </c>
      <c r="P126" s="275">
        <f>VLOOKUP(P$10,'C.II.1.2.7'!$A$35:$I$62,8,0)</f>
        <v>0</v>
      </c>
      <c r="Q126" s="275">
        <f>VLOOKUP(Q$10,'C.II.1.2.7'!$A$35:$I$62,8,0)</f>
        <v>0</v>
      </c>
      <c r="R126" s="275">
        <f>VLOOKUP(R$10,'C.II.1.2.7'!$A$35:$I$62,8,0)</f>
        <v>0</v>
      </c>
      <c r="S126" s="275">
        <f>VLOOKUP(S$10,'C.II.1.2.7'!$A$35:$I$62,8,0)</f>
        <v>0</v>
      </c>
      <c r="T126" s="275">
        <f>VLOOKUP(T$10,'C.II.1.2.7'!$A$35:$I$62,8,0)</f>
        <v>0</v>
      </c>
      <c r="U126" s="275">
        <f>VLOOKUP(U$10,'C.II.1.2.7'!$A$35:$I$62,8,0)</f>
        <v>0</v>
      </c>
      <c r="V126" s="275">
        <f>VLOOKUP(V$10,'C.II.1.2.7'!$A$35:$I$62,8,0)</f>
        <v>0</v>
      </c>
      <c r="W126" s="275">
        <f>VLOOKUP(W$10,'C.II.1.2.7'!$A$35:$I$62,8,0)</f>
        <v>0</v>
      </c>
      <c r="X126" s="275">
        <f>VLOOKUP(X$10,'C.II.1.2.7'!$A$35:$I$62,8,0)</f>
        <v>0</v>
      </c>
      <c r="Y126" s="275">
        <f>VLOOKUP(Y$10,'C.II.1.2.7'!$A$35:$I$62,8,0)</f>
        <v>0</v>
      </c>
      <c r="Z126" s="275">
        <f>VLOOKUP(Z$10,'C.II.1.2.7'!$A$35:$I$62,8,0)</f>
        <v>41.33</v>
      </c>
      <c r="AA126" s="275">
        <f>VLOOKUP(AA$10,'C.II.1.2.7'!$A$35:$I$62,8,0)</f>
        <v>0</v>
      </c>
      <c r="AB126" s="275">
        <f>VLOOKUP(AB$10,'C.II.1.2.7'!$A$35:$I$62,8,0)</f>
        <v>0</v>
      </c>
      <c r="AC126" s="275">
        <f>VLOOKUP(AC$10,'C.II.1.2.7'!$A$35:$I$62,8,0)</f>
        <v>0</v>
      </c>
      <c r="AD126" s="275">
        <f>VLOOKUP(AD$10,'C.II.1.2.7'!$A$35:$I$62,8,0)</f>
        <v>0</v>
      </c>
      <c r="AE126" s="275">
        <f>VLOOKUP(AE$10,'C.II.1.2.7'!$A$35:$I$64,8,0)</f>
        <v>0</v>
      </c>
      <c r="AF126" s="276">
        <f t="shared" si="4"/>
        <v>41.33</v>
      </c>
      <c r="AG126" s="279" t="s">
        <v>661</v>
      </c>
    </row>
    <row r="127" spans="1:33" s="185" customFormat="1" ht="15" hidden="1">
      <c r="A127" s="197">
        <f>THKLQT!A127</f>
        <v>0</v>
      </c>
      <c r="B127" s="273"/>
      <c r="C127" s="271" t="s">
        <v>273</v>
      </c>
      <c r="D127" s="273" t="s">
        <v>0</v>
      </c>
      <c r="E127" s="274">
        <v>0</v>
      </c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6">
        <f t="shared" si="4"/>
        <v>0</v>
      </c>
    </row>
    <row r="128" spans="1:33" s="185" customFormat="1" ht="15">
      <c r="A128" s="197">
        <f>THKLQT!A128</f>
        <v>191</v>
      </c>
      <c r="B128" s="273">
        <f>B126+1</f>
        <v>8</v>
      </c>
      <c r="C128" s="271" t="s">
        <v>274</v>
      </c>
      <c r="D128" s="273" t="s">
        <v>0</v>
      </c>
      <c r="E128" s="274">
        <v>52</v>
      </c>
      <c r="F128" s="275">
        <f>VLOOKUP(F$10,'C.II.1.2.8'!$A$35:$I$62,8,0)</f>
        <v>0</v>
      </c>
      <c r="G128" s="275">
        <f>VLOOKUP(G$10,'C.II.1.2.8'!$A$35:$I$62,8,0)</f>
        <v>0</v>
      </c>
      <c r="H128" s="275">
        <f>VLOOKUP(H$10,'C.II.1.2.8'!$A$35:$I$62,8,0)</f>
        <v>0</v>
      </c>
      <c r="I128" s="275">
        <f>VLOOKUP(I$10,'C.II.1.2.8'!$A$35:$I$62,8,0)</f>
        <v>0</v>
      </c>
      <c r="J128" s="275">
        <f>VLOOKUP(J$10,'C.II.1.2.8'!$A$35:$I$62,8,0)</f>
        <v>0</v>
      </c>
      <c r="K128" s="275">
        <f>VLOOKUP(K$10,'C.II.1.2.8'!$A$35:$I$62,8,0)</f>
        <v>0</v>
      </c>
      <c r="L128" s="275">
        <f>VLOOKUP(L$10,'C.II.1.2.8'!$A$35:$I$62,8,0)</f>
        <v>0</v>
      </c>
      <c r="M128" s="275">
        <f>VLOOKUP(M$10,'C.II.1.2.8'!$A$35:$I$62,8,0)</f>
        <v>0</v>
      </c>
      <c r="N128" s="275">
        <f>VLOOKUP(N$10,'C.II.1.2.8'!$A$35:$I$62,8,0)</f>
        <v>0</v>
      </c>
      <c r="O128" s="275">
        <f>VLOOKUP(O$10,'C.II.1.2.8'!$A$35:$I$62,8,0)</f>
        <v>0</v>
      </c>
      <c r="P128" s="275">
        <f>VLOOKUP(P$10,'C.II.1.2.8'!$A$35:$I$62,8,0)</f>
        <v>0</v>
      </c>
      <c r="Q128" s="275">
        <f>VLOOKUP(Q$10,'C.II.1.2.8'!$A$35:$I$62,8,0)</f>
        <v>0</v>
      </c>
      <c r="R128" s="275">
        <f>VLOOKUP(R$10,'C.II.1.2.8'!$A$35:$I$62,8,0)</f>
        <v>0</v>
      </c>
      <c r="S128" s="275">
        <f>VLOOKUP(S$10,'C.II.1.2.8'!$A$35:$I$62,8,0)</f>
        <v>0</v>
      </c>
      <c r="T128" s="275">
        <f>VLOOKUP(T$10,'C.II.1.2.8'!$A$35:$I$62,8,0)</f>
        <v>0</v>
      </c>
      <c r="U128" s="275">
        <f>VLOOKUP(U$10,'C.II.1.2.8'!$A$35:$I$62,8,0)</f>
        <v>0</v>
      </c>
      <c r="V128" s="275">
        <f>VLOOKUP(V$10,'C.II.1.2.8'!$A$35:$I$62,8,0)</f>
        <v>0</v>
      </c>
      <c r="W128" s="275">
        <f>VLOOKUP(W$10,'C.II.1.2.8'!$A$35:$I$62,8,0)</f>
        <v>0</v>
      </c>
      <c r="X128" s="275">
        <f>VLOOKUP(X$10,'C.II.1.2.8'!$A$35:$I$62,8,0)</f>
        <v>0</v>
      </c>
      <c r="Y128" s="275">
        <f>VLOOKUP(Y$10,'C.II.1.2.8'!$A$35:$I$62,8,0)</f>
        <v>0</v>
      </c>
      <c r="Z128" s="275">
        <f>VLOOKUP(Z$10,'C.II.1.2.8'!$A$35:$I$62,8,0)</f>
        <v>21</v>
      </c>
      <c r="AA128" s="275">
        <f>VLOOKUP(AA$10,'C.II.1.2.8'!$A$35:$I$62,8,0)</f>
        <v>0</v>
      </c>
      <c r="AB128" s="275">
        <f>VLOOKUP(AB$10,'C.II.1.2.8'!$A$35:$I$62,8,0)</f>
        <v>0</v>
      </c>
      <c r="AC128" s="275">
        <f>VLOOKUP(AC$10,'C.II.1.2.8'!$A$35:$I$62,8,0)</f>
        <v>0</v>
      </c>
      <c r="AD128" s="275">
        <f>VLOOKUP(AD$10,'C.II.1.2.8'!$A$35:$I$62,8,0)</f>
        <v>0</v>
      </c>
      <c r="AE128" s="275">
        <f>VLOOKUP(AE$10,'C.II.1.2.8'!$A$35:$I$64,8,0)</f>
        <v>0</v>
      </c>
      <c r="AF128" s="276">
        <f t="shared" si="4"/>
        <v>21</v>
      </c>
      <c r="AG128" s="279" t="s">
        <v>662</v>
      </c>
    </row>
    <row r="129" spans="1:33" s="185" customFormat="1" ht="15" hidden="1">
      <c r="A129" s="197">
        <f>THKLQT!A129</f>
        <v>0</v>
      </c>
      <c r="B129" s="242"/>
      <c r="C129" s="243" t="s">
        <v>181</v>
      </c>
      <c r="D129" s="242" t="s">
        <v>0</v>
      </c>
      <c r="E129" s="176">
        <v>0</v>
      </c>
      <c r="F129" s="177"/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206">
        <f t="shared" si="4"/>
        <v>0</v>
      </c>
    </row>
    <row r="130" spans="1:33" s="185" customFormat="1" ht="15">
      <c r="A130" s="197">
        <f>THKLQT!A130</f>
        <v>0</v>
      </c>
      <c r="B130" s="239" t="s">
        <v>275</v>
      </c>
      <c r="C130" s="240" t="s">
        <v>276</v>
      </c>
      <c r="D130" s="241" t="s">
        <v>153</v>
      </c>
      <c r="E130" s="176" t="s">
        <v>326</v>
      </c>
      <c r="F130" s="177"/>
      <c r="G130" s="177"/>
      <c r="H130" s="177"/>
      <c r="I130" s="177"/>
      <c r="J130" s="177"/>
      <c r="K130" s="177"/>
      <c r="L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206">
        <f t="shared" si="4"/>
        <v>0</v>
      </c>
    </row>
    <row r="131" spans="1:33" s="185" customFormat="1" ht="15">
      <c r="A131" s="197">
        <f>THKLQT!A131</f>
        <v>192</v>
      </c>
      <c r="B131" s="273">
        <v>1</v>
      </c>
      <c r="C131" s="271" t="s">
        <v>277</v>
      </c>
      <c r="D131" s="273" t="s">
        <v>0</v>
      </c>
      <c r="E131" s="274">
        <v>34</v>
      </c>
      <c r="F131" s="275">
        <f>VLOOKUP(F$10,'C.II.1.3.1'!$A$35:$I$62,8,0)</f>
        <v>0</v>
      </c>
      <c r="G131" s="275">
        <f>VLOOKUP(G$10,'C.II.1.3.1'!$A$35:$I$62,8,0)</f>
        <v>0</v>
      </c>
      <c r="H131" s="275">
        <f>VLOOKUP(H$10,'C.II.1.3.1'!$A$35:$I$62,8,0)</f>
        <v>0</v>
      </c>
      <c r="I131" s="275">
        <f>VLOOKUP(I$10,'C.II.1.3.1'!$A$35:$I$62,8,0)</f>
        <v>0</v>
      </c>
      <c r="J131" s="275">
        <f>VLOOKUP(J$10,'C.II.1.3.1'!$A$35:$I$62,8,0)</f>
        <v>0</v>
      </c>
      <c r="K131" s="275">
        <f>VLOOKUP(K$10,'C.II.1.3.1'!$A$35:$I$62,8,0)</f>
        <v>0</v>
      </c>
      <c r="L131" s="275">
        <f>VLOOKUP(L$10,'C.II.1.3.1'!$A$35:$I$62,8,0)</f>
        <v>0</v>
      </c>
      <c r="M131" s="275">
        <f>VLOOKUP(M$10,'C.II.1.3.1'!$A$35:$I$62,8,0)</f>
        <v>0</v>
      </c>
      <c r="N131" s="275">
        <f>VLOOKUP(N$10,'C.II.1.3.1'!$A$35:$I$62,8,0)</f>
        <v>0</v>
      </c>
      <c r="O131" s="275">
        <f>VLOOKUP(O$10,'C.II.1.3.1'!$A$35:$I$62,8,0)</f>
        <v>0</v>
      </c>
      <c r="P131" s="275">
        <f>VLOOKUP(P$10,'C.II.1.3.1'!$A$35:$I$62,8,0)</f>
        <v>0</v>
      </c>
      <c r="Q131" s="275">
        <f>VLOOKUP(Q$10,'C.II.1.3.1'!$A$35:$I$62,8,0)</f>
        <v>0</v>
      </c>
      <c r="R131" s="275">
        <f>VLOOKUP(R$10,'C.II.1.3.1'!$A$35:$I$62,8,0)</f>
        <v>0</v>
      </c>
      <c r="S131" s="275">
        <f>VLOOKUP(S$10,'C.II.1.3.1'!$A$35:$I$62,8,0)</f>
        <v>0</v>
      </c>
      <c r="T131" s="275">
        <f>VLOOKUP(T$10,'C.II.1.3.1'!$A$35:$I$62,8,0)</f>
        <v>0</v>
      </c>
      <c r="U131" s="275">
        <f>VLOOKUP(U$10,'C.II.1.3.1'!$A$35:$I$62,8,0)</f>
        <v>0</v>
      </c>
      <c r="V131" s="275">
        <f>VLOOKUP(V$10,'C.II.1.3.1'!$A$35:$I$62,8,0)</f>
        <v>0</v>
      </c>
      <c r="W131" s="275">
        <f>VLOOKUP(W$10,'C.II.1.3.1'!$A$35:$I$62,8,0)</f>
        <v>0</v>
      </c>
      <c r="X131" s="275">
        <f>VLOOKUP(X$10,'C.II.1.3.1'!$A$35:$I$62,8,0)</f>
        <v>0</v>
      </c>
      <c r="Y131" s="275">
        <f>VLOOKUP(Y$10,'C.II.1.3.1'!$A$35:$I$62,8,0)</f>
        <v>0</v>
      </c>
      <c r="Z131" s="275">
        <f>VLOOKUP(Z$10,'C.II.1.3.1'!$A$35:$I$62,8,0)</f>
        <v>36</v>
      </c>
      <c r="AA131" s="275">
        <f>VLOOKUP(AA$10,'C.II.1.3.1'!$A$35:$I$62,8,0)</f>
        <v>0</v>
      </c>
      <c r="AB131" s="275">
        <f>VLOOKUP(AB$10,'C.II.1.3.1'!$A$35:$I$62,8,0)</f>
        <v>0</v>
      </c>
      <c r="AC131" s="275">
        <f>VLOOKUP(AC$10,'C.II.1.3.1'!$A$35:$I$62,8,0)</f>
        <v>0</v>
      </c>
      <c r="AD131" s="275">
        <f>VLOOKUP(AD$10,'C.II.1.3.1'!$A$35:$I$62,8,0)</f>
        <v>0</v>
      </c>
      <c r="AE131" s="275">
        <f>VLOOKUP(AE$10,'C.II.1.3.1'!$A$35:$I$64,8,0)</f>
        <v>0</v>
      </c>
      <c r="AF131" s="276">
        <f t="shared" si="4"/>
        <v>36</v>
      </c>
      <c r="AG131" s="279" t="s">
        <v>616</v>
      </c>
    </row>
    <row r="132" spans="1:33" s="185" customFormat="1" ht="30">
      <c r="A132" s="197">
        <f>THKLQT!A132</f>
        <v>193</v>
      </c>
      <c r="B132" s="273">
        <v>2</v>
      </c>
      <c r="C132" s="271" t="s">
        <v>278</v>
      </c>
      <c r="D132" s="273" t="s">
        <v>0</v>
      </c>
      <c r="E132" s="274">
        <v>52.25</v>
      </c>
      <c r="F132" s="275"/>
      <c r="G132" s="275"/>
      <c r="H132" s="275"/>
      <c r="I132" s="275"/>
      <c r="J132" s="275"/>
      <c r="K132" s="275"/>
      <c r="L132" s="275"/>
      <c r="M132" s="275"/>
      <c r="N132" s="275"/>
      <c r="O132" s="275"/>
      <c r="P132" s="275"/>
      <c r="Q132" s="275"/>
      <c r="R132" s="275"/>
      <c r="S132" s="275"/>
      <c r="T132" s="275"/>
      <c r="U132" s="275"/>
      <c r="V132" s="275"/>
      <c r="W132" s="275"/>
      <c r="X132" s="275"/>
      <c r="Y132" s="275"/>
      <c r="Z132" s="275"/>
      <c r="AA132" s="275"/>
      <c r="AB132" s="275"/>
      <c r="AC132" s="275"/>
      <c r="AD132" s="275"/>
      <c r="AE132" s="275"/>
      <c r="AF132" s="276">
        <f t="shared" si="4"/>
        <v>0</v>
      </c>
    </row>
    <row r="133" spans="1:33" s="185" customFormat="1" ht="15">
      <c r="A133" s="197">
        <f>THKLQT!A133</f>
        <v>0</v>
      </c>
      <c r="B133" s="242"/>
      <c r="C133" s="240" t="s">
        <v>279</v>
      </c>
      <c r="D133" s="241"/>
      <c r="E133" s="176" t="s">
        <v>326</v>
      </c>
      <c r="F133" s="177"/>
      <c r="G133" s="177"/>
      <c r="H133" s="177"/>
      <c r="I133" s="177"/>
      <c r="J133" s="177"/>
      <c r="K133" s="177"/>
      <c r="L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206">
        <f t="shared" si="4"/>
        <v>0</v>
      </c>
    </row>
    <row r="134" spans="1:33" s="185" customFormat="1" ht="15">
      <c r="A134" s="197">
        <f>THKLQT!A134</f>
        <v>0</v>
      </c>
      <c r="B134" s="239" t="s">
        <v>280</v>
      </c>
      <c r="C134" s="240" t="s">
        <v>281</v>
      </c>
      <c r="D134" s="241"/>
      <c r="E134" s="176" t="s">
        <v>326</v>
      </c>
      <c r="F134" s="177"/>
      <c r="G134" s="177"/>
      <c r="H134" s="177"/>
      <c r="I134" s="177"/>
      <c r="J134" s="177"/>
      <c r="K134" s="177"/>
      <c r="L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206">
        <f t="shared" si="4"/>
        <v>0</v>
      </c>
    </row>
    <row r="135" spans="1:33" s="185" customFormat="1" ht="15">
      <c r="A135" s="197">
        <f>THKLQT!A135</f>
        <v>194</v>
      </c>
      <c r="B135" s="273">
        <v>1</v>
      </c>
      <c r="C135" s="271" t="s">
        <v>282</v>
      </c>
      <c r="D135" s="273" t="s">
        <v>7</v>
      </c>
      <c r="E135" s="274">
        <v>712.72</v>
      </c>
      <c r="F135" s="275">
        <f>VLOOKUP(F$10,'C.II.1.4.1'!$A$35:$I$62,8,0)</f>
        <v>0</v>
      </c>
      <c r="G135" s="275">
        <f>VLOOKUP(G$10,'C.II.1.4.1'!$A$35:$I$62,8,0)</f>
        <v>0</v>
      </c>
      <c r="H135" s="275">
        <f>VLOOKUP(H$10,'C.II.1.4.1'!$A$35:$I$62,8,0)</f>
        <v>0</v>
      </c>
      <c r="I135" s="275">
        <f>VLOOKUP(I$10,'C.II.1.4.1'!$A$35:$I$62,8,0)</f>
        <v>0</v>
      </c>
      <c r="J135" s="275">
        <f>VLOOKUP(J$10,'C.II.1.4.1'!$A$35:$I$62,8,0)</f>
        <v>0</v>
      </c>
      <c r="K135" s="275">
        <f>VLOOKUP(K$10,'C.II.1.4.1'!$A$35:$I$62,8,0)</f>
        <v>0</v>
      </c>
      <c r="L135" s="275">
        <f>VLOOKUP(L$10,'C.II.1.4.1'!$A$35:$I$62,8,0)</f>
        <v>0</v>
      </c>
      <c r="M135" s="275">
        <f>VLOOKUP(M$10,'C.II.1.4.1'!$A$35:$I$62,8,0)</f>
        <v>0</v>
      </c>
      <c r="N135" s="275">
        <f>VLOOKUP(N$10,'C.II.1.4.1'!$A$35:$I$62,8,0)</f>
        <v>0</v>
      </c>
      <c r="O135" s="275">
        <f>VLOOKUP(O$10,'C.II.1.4.1'!$A$35:$I$62,8,0)</f>
        <v>0</v>
      </c>
      <c r="P135" s="275">
        <f>VLOOKUP(P$10,'C.II.1.4.1'!$A$35:$I$62,8,0)</f>
        <v>0</v>
      </c>
      <c r="Q135" s="275">
        <f>VLOOKUP(Q$10,'C.II.1.4.1'!$A$35:$I$62,8,0)</f>
        <v>0</v>
      </c>
      <c r="R135" s="275">
        <f>VLOOKUP(R$10,'C.II.1.4.1'!$A$35:$I$62,8,0)</f>
        <v>0</v>
      </c>
      <c r="S135" s="275">
        <f>VLOOKUP(S$10,'C.II.1.4.1'!$A$35:$I$62,8,0)</f>
        <v>0</v>
      </c>
      <c r="T135" s="275">
        <f>VLOOKUP(T$10,'C.II.1.4.1'!$A$35:$I$62,8,0)</f>
        <v>0</v>
      </c>
      <c r="U135" s="275">
        <f>VLOOKUP(U$10,'C.II.1.4.1'!$A$35:$I$62,8,0)</f>
        <v>0</v>
      </c>
      <c r="V135" s="275">
        <f>VLOOKUP(V$10,'C.II.1.4.1'!$A$35:$I$62,8,0)</f>
        <v>0</v>
      </c>
      <c r="W135" s="275">
        <f>VLOOKUP(W$10,'C.II.1.4.1'!$A$35:$I$62,8,0)</f>
        <v>0</v>
      </c>
      <c r="X135" s="275">
        <f>VLOOKUP(X$10,'C.II.1.4.1'!$A$35:$I$62,8,0)</f>
        <v>0</v>
      </c>
      <c r="Y135" s="275">
        <f>VLOOKUP(Y$10,'C.II.1.4.1'!$A$35:$I$62,8,0)</f>
        <v>0</v>
      </c>
      <c r="Z135" s="275">
        <f>VLOOKUP(Z$10,'C.II.1.4.1'!$A$35:$I$62,8,0)</f>
        <v>267.97000000000003</v>
      </c>
      <c r="AA135" s="275">
        <f>VLOOKUP(AA$10,'C.II.1.4.1'!$A$35:$I$62,8,0)</f>
        <v>0</v>
      </c>
      <c r="AB135" s="275">
        <f>VLOOKUP(AB$10,'C.II.1.4.1'!$A$35:$I$62,8,0)</f>
        <v>0</v>
      </c>
      <c r="AC135" s="275">
        <f>VLOOKUP(AC$10,'C.II.1.4.1'!$A$35:$I$62,8,0)</f>
        <v>0</v>
      </c>
      <c r="AD135" s="275">
        <f>VLOOKUP(AD$10,'C.II.1.4.1'!$A$35:$I$62,8,0)</f>
        <v>0</v>
      </c>
      <c r="AE135" s="275">
        <f>VLOOKUP(AE$10,'C.II.1.4.1'!$A$35:$I$64,8,0)</f>
        <v>0</v>
      </c>
      <c r="AF135" s="276">
        <f t="shared" si="4"/>
        <v>267.97000000000003</v>
      </c>
      <c r="AG135" s="279" t="s">
        <v>617</v>
      </c>
    </row>
    <row r="136" spans="1:33" s="185" customFormat="1" ht="15">
      <c r="A136" s="197">
        <f>THKLQT!A136</f>
        <v>195</v>
      </c>
      <c r="B136" s="273">
        <v>2</v>
      </c>
      <c r="C136" s="271" t="s">
        <v>216</v>
      </c>
      <c r="D136" s="273" t="s">
        <v>7</v>
      </c>
      <c r="E136" s="274">
        <v>357.48</v>
      </c>
      <c r="F136" s="275">
        <f>VLOOKUP(F$10,'C.II.1.4.2'!$A$53:$I$80,8,0)</f>
        <v>0</v>
      </c>
      <c r="G136" s="275">
        <f>VLOOKUP(G$10,'C.II.1.4.2'!$A$53:$I$80,8,0)</f>
        <v>0</v>
      </c>
      <c r="H136" s="275">
        <f>VLOOKUP(H$10,'C.II.1.4.2'!$A$53:$I$80,8,0)</f>
        <v>0</v>
      </c>
      <c r="I136" s="275">
        <f>VLOOKUP(I$10,'C.II.1.4.2'!$A$53:$I$80,8,0)</f>
        <v>0</v>
      </c>
      <c r="J136" s="275">
        <f>VLOOKUP(J$10,'C.II.1.4.2'!$A$53:$I$80,8,0)</f>
        <v>0</v>
      </c>
      <c r="K136" s="275">
        <f>VLOOKUP(K$10,'C.II.1.4.2'!$A$53:$I$80,8,0)</f>
        <v>0</v>
      </c>
      <c r="L136" s="275">
        <f>VLOOKUP(L$10,'C.II.1.4.2'!$A$53:$I$80,8,0)</f>
        <v>0</v>
      </c>
      <c r="M136" s="275">
        <f>VLOOKUP(M$10,'C.II.1.4.2'!$A$53:$I$80,8,0)</f>
        <v>0</v>
      </c>
      <c r="N136" s="275">
        <f>VLOOKUP(N$10,'C.II.1.4.2'!$A$53:$I$80,8,0)</f>
        <v>0</v>
      </c>
      <c r="O136" s="275">
        <f>VLOOKUP(O$10,'C.II.1.4.2'!$A$53:$I$80,8,0)</f>
        <v>0</v>
      </c>
      <c r="P136" s="275">
        <f>VLOOKUP(P$10,'C.II.1.4.2'!$A$53:$I$80,8,0)</f>
        <v>0</v>
      </c>
      <c r="Q136" s="275">
        <f>VLOOKUP(Q$10,'C.II.1.4.2'!$A$53:$I$80,8,0)</f>
        <v>0</v>
      </c>
      <c r="R136" s="275">
        <f>VLOOKUP(R$10,'C.II.1.4.2'!$A$53:$I$80,8,0)</f>
        <v>0</v>
      </c>
      <c r="S136" s="275">
        <f>VLOOKUP(S$10,'C.II.1.4.2'!$A$53:$I$80,8,0)</f>
        <v>0</v>
      </c>
      <c r="T136" s="275">
        <f>VLOOKUP(T$10,'C.II.1.4.2'!$A$53:$I$80,8,0)</f>
        <v>0</v>
      </c>
      <c r="U136" s="275">
        <f>VLOOKUP(U$10,'C.II.1.4.2'!$A$53:$I$80,8,0)</f>
        <v>0</v>
      </c>
      <c r="V136" s="275">
        <f>VLOOKUP(V$10,'C.II.1.4.2'!$A$53:$I$80,8,0)</f>
        <v>0</v>
      </c>
      <c r="W136" s="275">
        <f>VLOOKUP(W$10,'C.II.1.4.2'!$A$53:$I$80,8,0)</f>
        <v>0</v>
      </c>
      <c r="X136" s="275">
        <f>VLOOKUP(X$10,'C.II.1.4.2'!$A$53:$I$80,8,0)</f>
        <v>0</v>
      </c>
      <c r="Y136" s="275">
        <f>VLOOKUP(Y$10,'C.II.1.4.2'!$A$53:$I$80,8,0)</f>
        <v>0</v>
      </c>
      <c r="Z136" s="275">
        <f>VLOOKUP(Z$10,'C.II.1.4.2'!$A$53:$I$80,8,0)</f>
        <v>0</v>
      </c>
      <c r="AA136" s="275">
        <f>VLOOKUP(AA$10,'C.II.1.4.2'!$A$53:$I$80,8,0)</f>
        <v>114.05</v>
      </c>
      <c r="AB136" s="275">
        <f>VLOOKUP(AB$10,'C.II.1.4.2'!$A$53:$I$80,8,0)</f>
        <v>0</v>
      </c>
      <c r="AC136" s="275">
        <f>VLOOKUP(AC$10,'C.II.1.4.2'!$A$53:$I$80,8,0)</f>
        <v>0</v>
      </c>
      <c r="AD136" s="275">
        <f>VLOOKUP(AD$10,'C.II.1.4.2'!$A$53:$I$80,8,0)</f>
        <v>0</v>
      </c>
      <c r="AE136" s="275">
        <f>VLOOKUP(AE$10,'C.II.1.4.2'!$A$53:$I$82,8,0)</f>
        <v>0</v>
      </c>
      <c r="AF136" s="276">
        <f t="shared" si="4"/>
        <v>114.05</v>
      </c>
      <c r="AG136" s="279" t="s">
        <v>618</v>
      </c>
    </row>
    <row r="137" spans="1:33" s="185" customFormat="1" ht="15">
      <c r="A137" s="197">
        <f>THKLQT!A137</f>
        <v>196</v>
      </c>
      <c r="B137" s="273">
        <v>3</v>
      </c>
      <c r="C137" s="271" t="s">
        <v>283</v>
      </c>
      <c r="D137" s="273" t="s">
        <v>7</v>
      </c>
      <c r="E137" s="274">
        <v>19.38</v>
      </c>
      <c r="F137" s="275">
        <f>VLOOKUP(F$10,'C.II.1.4.3'!$A$35:$I$62,8,0)</f>
        <v>0</v>
      </c>
      <c r="G137" s="275">
        <f>VLOOKUP(G$10,'C.II.1.4.3'!$A$35:$I$62,8,0)</f>
        <v>0</v>
      </c>
      <c r="H137" s="275">
        <f>VLOOKUP(H$10,'C.II.1.4.3'!$A$35:$I$62,8,0)</f>
        <v>0</v>
      </c>
      <c r="I137" s="275">
        <f>VLOOKUP(I$10,'C.II.1.4.3'!$A$35:$I$62,8,0)</f>
        <v>0</v>
      </c>
      <c r="J137" s="275">
        <f>VLOOKUP(J$10,'C.II.1.4.3'!$A$35:$I$62,8,0)</f>
        <v>0</v>
      </c>
      <c r="K137" s="275">
        <f>VLOOKUP(K$10,'C.II.1.4.3'!$A$35:$I$62,8,0)</f>
        <v>0</v>
      </c>
      <c r="L137" s="275">
        <f>VLOOKUP(L$10,'C.II.1.4.3'!$A$35:$I$62,8,0)</f>
        <v>0</v>
      </c>
      <c r="M137" s="275">
        <f>VLOOKUP(M$10,'C.II.1.4.3'!$A$35:$I$62,8,0)</f>
        <v>0</v>
      </c>
      <c r="N137" s="275">
        <f>VLOOKUP(N$10,'C.II.1.4.3'!$A$35:$I$62,8,0)</f>
        <v>0</v>
      </c>
      <c r="O137" s="275">
        <f>VLOOKUP(O$10,'C.II.1.4.3'!$A$35:$I$62,8,0)</f>
        <v>0</v>
      </c>
      <c r="P137" s="275">
        <f>VLOOKUP(P$10,'C.II.1.4.3'!$A$35:$I$62,8,0)</f>
        <v>0</v>
      </c>
      <c r="Q137" s="275">
        <f>VLOOKUP(Q$10,'C.II.1.4.3'!$A$35:$I$62,8,0)</f>
        <v>0</v>
      </c>
      <c r="R137" s="275">
        <f>VLOOKUP(R$10,'C.II.1.4.3'!$A$35:$I$62,8,0)</f>
        <v>0</v>
      </c>
      <c r="S137" s="275">
        <f>VLOOKUP(S$10,'C.II.1.4.3'!$A$35:$I$62,8,0)</f>
        <v>0</v>
      </c>
      <c r="T137" s="275">
        <f>VLOOKUP(T$10,'C.II.1.4.3'!$A$35:$I$62,8,0)</f>
        <v>0</v>
      </c>
      <c r="U137" s="275">
        <f>VLOOKUP(U$10,'C.II.1.4.3'!$A$35:$I$62,8,0)</f>
        <v>0</v>
      </c>
      <c r="V137" s="275">
        <f>VLOOKUP(V$10,'C.II.1.4.3'!$A$35:$I$62,8,0)</f>
        <v>0</v>
      </c>
      <c r="W137" s="275">
        <f>VLOOKUP(W$10,'C.II.1.4.3'!$A$35:$I$62,8,0)</f>
        <v>0</v>
      </c>
      <c r="X137" s="275">
        <f>VLOOKUP(X$10,'C.II.1.4.3'!$A$35:$I$62,8,0)</f>
        <v>0</v>
      </c>
      <c r="Y137" s="275">
        <f>VLOOKUP(Y$10,'C.II.1.4.3'!$A$35:$I$62,8,0)</f>
        <v>0</v>
      </c>
      <c r="Z137" s="275">
        <f>VLOOKUP(Z$10,'C.II.1.4.3'!$A$35:$I$62,8,0)</f>
        <v>14.44</v>
      </c>
      <c r="AA137" s="275">
        <f>VLOOKUP(AA$10,'C.II.1.4.3'!$A$35:$I$62,8,0)</f>
        <v>0</v>
      </c>
      <c r="AB137" s="275">
        <f>VLOOKUP(AB$10,'C.II.1.4.3'!$A$35:$I$62,8,0)</f>
        <v>0</v>
      </c>
      <c r="AC137" s="275">
        <f>VLOOKUP(AC$10,'C.II.1.4.3'!$A$35:$I$62,8,0)</f>
        <v>0</v>
      </c>
      <c r="AD137" s="275">
        <f>VLOOKUP(AD$10,'C.II.1.4.3'!$A$35:$I$62,8,0)</f>
        <v>0</v>
      </c>
      <c r="AE137" s="275">
        <f>VLOOKUP(AE$10,'C.II.1.4.3'!$A$35:$I$64,8,0)</f>
        <v>0</v>
      </c>
      <c r="AF137" s="276">
        <f t="shared" si="4"/>
        <v>14.44</v>
      </c>
      <c r="AG137" s="279" t="s">
        <v>619</v>
      </c>
    </row>
    <row r="138" spans="1:33" s="185" customFormat="1" ht="15">
      <c r="A138" s="197">
        <f>THKLQT!A138</f>
        <v>197</v>
      </c>
      <c r="B138" s="273">
        <v>4</v>
      </c>
      <c r="C138" s="271" t="s">
        <v>284</v>
      </c>
      <c r="D138" s="273" t="s">
        <v>7</v>
      </c>
      <c r="E138" s="274">
        <v>246.83</v>
      </c>
      <c r="F138" s="275">
        <f>VLOOKUP(F$10,'C.II.1.4.4'!$A$35:$I$62,8,0)</f>
        <v>0</v>
      </c>
      <c r="G138" s="275">
        <f>VLOOKUP(G$10,'C.II.1.4.4'!$A$35:$I$62,8,0)</f>
        <v>0</v>
      </c>
      <c r="H138" s="275">
        <f>VLOOKUP(H$10,'C.II.1.4.4'!$A$35:$I$62,8,0)</f>
        <v>0</v>
      </c>
      <c r="I138" s="275">
        <f>VLOOKUP(I$10,'C.II.1.4.4'!$A$35:$I$62,8,0)</f>
        <v>0</v>
      </c>
      <c r="J138" s="275">
        <f>VLOOKUP(J$10,'C.II.1.4.4'!$A$35:$I$62,8,0)</f>
        <v>0</v>
      </c>
      <c r="K138" s="275">
        <f>VLOOKUP(K$10,'C.II.1.4.4'!$A$35:$I$62,8,0)</f>
        <v>0</v>
      </c>
      <c r="L138" s="275">
        <f>VLOOKUP(L$10,'C.II.1.4.4'!$A$35:$I$62,8,0)</f>
        <v>0</v>
      </c>
      <c r="M138" s="275">
        <f>VLOOKUP(M$10,'C.II.1.4.4'!$A$35:$I$62,8,0)</f>
        <v>0</v>
      </c>
      <c r="N138" s="275">
        <f>VLOOKUP(N$10,'C.II.1.4.4'!$A$35:$I$62,8,0)</f>
        <v>0</v>
      </c>
      <c r="O138" s="275">
        <f>VLOOKUP(O$10,'C.II.1.4.4'!$A$35:$I$62,8,0)</f>
        <v>0</v>
      </c>
      <c r="P138" s="275">
        <f>VLOOKUP(P$10,'C.II.1.4.4'!$A$35:$I$62,8,0)</f>
        <v>0</v>
      </c>
      <c r="Q138" s="275">
        <f>VLOOKUP(Q$10,'C.II.1.4.4'!$A$35:$I$62,8,0)</f>
        <v>0</v>
      </c>
      <c r="R138" s="275">
        <f>VLOOKUP(R$10,'C.II.1.4.4'!$A$35:$I$62,8,0)</f>
        <v>0</v>
      </c>
      <c r="S138" s="275">
        <f>VLOOKUP(S$10,'C.II.1.4.4'!$A$35:$I$62,8,0)</f>
        <v>0</v>
      </c>
      <c r="T138" s="275">
        <f>VLOOKUP(T$10,'C.II.1.4.4'!$A$35:$I$62,8,0)</f>
        <v>0</v>
      </c>
      <c r="U138" s="275">
        <f>VLOOKUP(U$10,'C.II.1.4.4'!$A$35:$I$62,8,0)</f>
        <v>0</v>
      </c>
      <c r="V138" s="275">
        <f>VLOOKUP(V$10,'C.II.1.4.4'!$A$35:$I$62,8,0)</f>
        <v>0</v>
      </c>
      <c r="W138" s="275">
        <f>VLOOKUP(W$10,'C.II.1.4.4'!$A$35:$I$62,8,0)</f>
        <v>0</v>
      </c>
      <c r="X138" s="275">
        <f>VLOOKUP(X$10,'C.II.1.4.4'!$A$35:$I$62,8,0)</f>
        <v>0</v>
      </c>
      <c r="Y138" s="275">
        <f>VLOOKUP(Y$10,'C.II.1.4.4'!$A$35:$I$62,8,0)</f>
        <v>0</v>
      </c>
      <c r="Z138" s="275">
        <f>VLOOKUP(Z$10,'C.II.1.4.4'!$A$35:$I$62,8,0)</f>
        <v>188.68</v>
      </c>
      <c r="AA138" s="275">
        <f>VLOOKUP(AA$10,'C.II.1.4.4'!$A$35:$I$62,8,0)</f>
        <v>97.41</v>
      </c>
      <c r="AB138" s="275">
        <f>VLOOKUP(AB$10,'C.II.1.4.4'!$A$35:$I$62,8,0)</f>
        <v>0</v>
      </c>
      <c r="AC138" s="275">
        <f>VLOOKUP(AC$10,'C.II.1.4.4'!$A$35:$I$62,8,0)</f>
        <v>0</v>
      </c>
      <c r="AD138" s="275">
        <f>VLOOKUP(AD$10,'C.II.1.4.4'!$A$35:$I$62,8,0)</f>
        <v>0</v>
      </c>
      <c r="AE138" s="275">
        <f>VLOOKUP(AE$10,'C.II.1.4.4'!$A$35:$I$64,8,0)</f>
        <v>0</v>
      </c>
      <c r="AF138" s="276">
        <f t="shared" si="4"/>
        <v>286.08999999999997</v>
      </c>
      <c r="AG138" s="279" t="s">
        <v>620</v>
      </c>
    </row>
    <row r="139" spans="1:33" s="185" customFormat="1" ht="15">
      <c r="A139" s="197">
        <f>THKLQT!A139</f>
        <v>0</v>
      </c>
      <c r="B139" s="239" t="s">
        <v>285</v>
      </c>
      <c r="C139" s="240" t="s">
        <v>286</v>
      </c>
      <c r="D139" s="241" t="s">
        <v>153</v>
      </c>
      <c r="E139" s="176" t="s">
        <v>326</v>
      </c>
      <c r="F139" s="177"/>
      <c r="G139" s="177"/>
      <c r="H139" s="177"/>
      <c r="I139" s="177"/>
      <c r="J139" s="177"/>
      <c r="K139" s="177"/>
      <c r="L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206">
        <f t="shared" si="4"/>
        <v>0</v>
      </c>
    </row>
    <row r="140" spans="1:33" s="185" customFormat="1" ht="15">
      <c r="A140" s="197">
        <f>THKLQT!A140</f>
        <v>198</v>
      </c>
      <c r="B140" s="273">
        <v>1</v>
      </c>
      <c r="C140" s="271" t="s">
        <v>287</v>
      </c>
      <c r="D140" s="273" t="s">
        <v>7</v>
      </c>
      <c r="E140" s="274">
        <v>154.06</v>
      </c>
      <c r="F140" s="275">
        <f>VLOOKUP(F$10,'C.II.1.5.1'!$A$37:$I$65,8,0)</f>
        <v>0</v>
      </c>
      <c r="G140" s="275">
        <f>VLOOKUP(G$10,'C.II.1.5.1'!$A$37:$I$65,8,0)</f>
        <v>0</v>
      </c>
      <c r="H140" s="275">
        <f>VLOOKUP(H$10,'C.II.1.5.1'!$A$37:$I$65,8,0)</f>
        <v>0</v>
      </c>
      <c r="I140" s="275">
        <f>VLOOKUP(I$10,'C.II.1.5.1'!$A$37:$I$65,8,0)</f>
        <v>0</v>
      </c>
      <c r="J140" s="275">
        <f>VLOOKUP(J$10,'C.II.1.5.1'!$A$37:$I$65,8,0)</f>
        <v>0</v>
      </c>
      <c r="K140" s="275">
        <f>VLOOKUP(K$10,'C.II.1.5.1'!$A$37:$I$65,8,0)</f>
        <v>0</v>
      </c>
      <c r="L140" s="275">
        <f>VLOOKUP(L$10,'C.II.1.5.1'!$A$37:$I$65,8,0)</f>
        <v>0</v>
      </c>
      <c r="M140" s="275">
        <f>VLOOKUP(M$10,'C.II.1.5.1'!$A$37:$I$65,8,0)</f>
        <v>0</v>
      </c>
      <c r="N140" s="275">
        <f>VLOOKUP(N$10,'C.II.1.5.1'!$A$37:$I$65,8,0)</f>
        <v>0</v>
      </c>
      <c r="O140" s="275">
        <f>VLOOKUP(O$10,'C.II.1.5.1'!$A$37:$I$65,8,0)</f>
        <v>0</v>
      </c>
      <c r="P140" s="275">
        <f>VLOOKUP(P$10,'C.II.1.5.1'!$A$37:$I$65,8,0)</f>
        <v>0</v>
      </c>
      <c r="Q140" s="275">
        <f>VLOOKUP(Q$10,'C.II.1.5.1'!$A$37:$I$65,8,0)</f>
        <v>0</v>
      </c>
      <c r="R140" s="275">
        <f>VLOOKUP(R$10,'C.II.1.5.1'!$A$37:$I$65,8,0)</f>
        <v>0</v>
      </c>
      <c r="S140" s="275">
        <f>VLOOKUP(S$10,'C.II.1.5.1'!$A$37:$I$65,8,0)</f>
        <v>0</v>
      </c>
      <c r="T140" s="275">
        <f>VLOOKUP(T$10,'C.II.1.5.1'!$A$37:$I$65,8,0)</f>
        <v>0</v>
      </c>
      <c r="U140" s="275">
        <f>VLOOKUP(U$10,'C.II.1.5.1'!$A$37:$I$65,8,0)</f>
        <v>0</v>
      </c>
      <c r="V140" s="275">
        <f>VLOOKUP(V$10,'C.II.1.5.1'!$A$37:$I$65,8,0)</f>
        <v>0</v>
      </c>
      <c r="W140" s="275">
        <f>VLOOKUP(W$10,'C.II.1.5.1'!$A$37:$I$65,8,0)</f>
        <v>0</v>
      </c>
      <c r="X140" s="275">
        <f>VLOOKUP(X$10,'C.II.1.5.1'!$A$37:$I$65,8,0)</f>
        <v>332.57</v>
      </c>
      <c r="Y140" s="275">
        <f>VLOOKUP(Y$10,'C.II.1.5.1'!$A$37:$I$65,8,0)</f>
        <v>0</v>
      </c>
      <c r="Z140" s="275">
        <f>VLOOKUP(Z$10,'C.II.1.5.1'!$A$37:$I$65,8,0)</f>
        <v>0</v>
      </c>
      <c r="AA140" s="275">
        <f>VLOOKUP(AA$10,'C.II.1.5.1'!$A$37:$I$65,8,0)</f>
        <v>0</v>
      </c>
      <c r="AB140" s="275">
        <f>VLOOKUP(AB$10,'C.II.1.5.1'!$A$37:$I$65,8,0)</f>
        <v>0</v>
      </c>
      <c r="AC140" s="275">
        <f>VLOOKUP(AC$10,'C.II.1.5.1'!$A$37:$I$65,8,0)</f>
        <v>0</v>
      </c>
      <c r="AD140" s="275">
        <f>VLOOKUP(AD$10,'C.II.1.5.1'!$A$37:$I$65,8,0)</f>
        <v>0</v>
      </c>
      <c r="AE140" s="275">
        <f>VLOOKUP(AE$10,'C.II.1.5.1'!$A$37:$I$65,8,0)</f>
        <v>0</v>
      </c>
      <c r="AF140" s="276">
        <f t="shared" si="4"/>
        <v>332.57</v>
      </c>
      <c r="AG140" s="279" t="s">
        <v>621</v>
      </c>
    </row>
    <row r="141" spans="1:33" s="185" customFormat="1" ht="15" hidden="1">
      <c r="A141" s="197">
        <f>THKLQT!A141</f>
        <v>0</v>
      </c>
      <c r="B141" s="273"/>
      <c r="C141" s="271" t="s">
        <v>288</v>
      </c>
      <c r="D141" s="273" t="s">
        <v>7</v>
      </c>
      <c r="E141" s="274">
        <v>0</v>
      </c>
      <c r="F141" s="275"/>
      <c r="G141" s="275"/>
      <c r="H141" s="275"/>
      <c r="I141" s="275"/>
      <c r="J141" s="275"/>
      <c r="K141" s="275"/>
      <c r="L141" s="275"/>
      <c r="M141" s="275"/>
      <c r="N141" s="275"/>
      <c r="O141" s="275"/>
      <c r="P141" s="275"/>
      <c r="Q141" s="275"/>
      <c r="R141" s="275"/>
      <c r="S141" s="275"/>
      <c r="T141" s="275"/>
      <c r="U141" s="275"/>
      <c r="V141" s="275"/>
      <c r="W141" s="275"/>
      <c r="X141" s="275"/>
      <c r="Y141" s="275"/>
      <c r="Z141" s="275"/>
      <c r="AA141" s="275"/>
      <c r="AB141" s="275"/>
      <c r="AC141" s="275"/>
      <c r="AD141" s="275"/>
      <c r="AE141" s="275"/>
      <c r="AF141" s="276">
        <f t="shared" si="4"/>
        <v>0</v>
      </c>
    </row>
    <row r="142" spans="1:33" s="185" customFormat="1" ht="15">
      <c r="A142" s="197">
        <f>THKLQT!A142</f>
        <v>199</v>
      </c>
      <c r="B142" s="273">
        <f>B140+1</f>
        <v>2</v>
      </c>
      <c r="C142" s="271" t="s">
        <v>289</v>
      </c>
      <c r="D142" s="273" t="s">
        <v>27</v>
      </c>
      <c r="E142" s="274">
        <v>31.42</v>
      </c>
      <c r="F142" s="275">
        <f>VLOOKUP(F$10,'C.II.1.5.2'!$A$37:$I$65,8,0)</f>
        <v>0</v>
      </c>
      <c r="G142" s="275">
        <f>VLOOKUP(G$10,'C.II.1.5.2'!$A$37:$I$65,8,0)</f>
        <v>0</v>
      </c>
      <c r="H142" s="275">
        <f>VLOOKUP(H$10,'C.II.1.5.2'!$A$37:$I$65,8,0)</f>
        <v>0</v>
      </c>
      <c r="I142" s="275">
        <f>VLOOKUP(I$10,'C.II.1.5.2'!$A$37:$I$65,8,0)</f>
        <v>0</v>
      </c>
      <c r="J142" s="275">
        <f>VLOOKUP(J$10,'C.II.1.5.2'!$A$37:$I$65,8,0)</f>
        <v>0</v>
      </c>
      <c r="K142" s="275">
        <f>VLOOKUP(K$10,'C.II.1.5.2'!$A$37:$I$65,8,0)</f>
        <v>0</v>
      </c>
      <c r="L142" s="275">
        <f>VLOOKUP(L$10,'C.II.1.5.2'!$A$37:$I$65,8,0)</f>
        <v>0</v>
      </c>
      <c r="M142" s="275">
        <f>VLOOKUP(M$10,'C.II.1.5.2'!$A$37:$I$65,8,0)</f>
        <v>0</v>
      </c>
      <c r="N142" s="275">
        <f>VLOOKUP(N$10,'C.II.1.5.2'!$A$37:$I$65,8,0)</f>
        <v>0</v>
      </c>
      <c r="O142" s="275">
        <f>VLOOKUP(O$10,'C.II.1.5.2'!$A$37:$I$65,8,0)</f>
        <v>0</v>
      </c>
      <c r="P142" s="275">
        <f>VLOOKUP(P$10,'C.II.1.5.2'!$A$37:$I$65,8,0)</f>
        <v>0</v>
      </c>
      <c r="Q142" s="275">
        <f>VLOOKUP(Q$10,'C.II.1.5.2'!$A$37:$I$65,8,0)</f>
        <v>0</v>
      </c>
      <c r="R142" s="275">
        <f>VLOOKUP(R$10,'C.II.1.5.2'!$A$37:$I$65,8,0)</f>
        <v>0</v>
      </c>
      <c r="S142" s="275">
        <f>VLOOKUP(S$10,'C.II.1.5.2'!$A$37:$I$65,8,0)</f>
        <v>0</v>
      </c>
      <c r="T142" s="275">
        <f>VLOOKUP(T$10,'C.II.1.5.2'!$A$37:$I$65,8,0)</f>
        <v>0</v>
      </c>
      <c r="U142" s="275">
        <f>VLOOKUP(U$10,'C.II.1.5.2'!$A$37:$I$65,8,0)</f>
        <v>0</v>
      </c>
      <c r="V142" s="275">
        <f>VLOOKUP(V$10,'C.II.1.5.2'!$A$37:$I$65,8,0)</f>
        <v>0</v>
      </c>
      <c r="W142" s="275">
        <f>VLOOKUP(W$10,'C.II.1.5.2'!$A$37:$I$65,8,0)</f>
        <v>0</v>
      </c>
      <c r="X142" s="275">
        <f>VLOOKUP(X$10,'C.II.1.5.2'!$A$37:$I$65,8,0)</f>
        <v>37.5</v>
      </c>
      <c r="Y142" s="275">
        <f>VLOOKUP(Y$10,'C.II.1.5.2'!$A$37:$I$65,8,0)</f>
        <v>0</v>
      </c>
      <c r="Z142" s="275">
        <f>VLOOKUP(Z$10,'C.II.1.5.2'!$A$37:$I$65,8,0)</f>
        <v>0</v>
      </c>
      <c r="AA142" s="275">
        <f>VLOOKUP(AA$10,'C.II.1.5.2'!$A$37:$I$65,8,0)</f>
        <v>0</v>
      </c>
      <c r="AB142" s="275">
        <f>VLOOKUP(AB$10,'C.II.1.5.2'!$A$37:$I$65,8,0)</f>
        <v>0</v>
      </c>
      <c r="AC142" s="275">
        <f>VLOOKUP(AC$10,'C.II.1.5.2'!$A$37:$I$65,8,0)</f>
        <v>0</v>
      </c>
      <c r="AD142" s="275">
        <f>VLOOKUP(AD$10,'C.II.1.5.2'!$A$37:$I$65,8,0)</f>
        <v>0</v>
      </c>
      <c r="AE142" s="275">
        <f>VLOOKUP(AE$10,'C.II.1.5.2'!$A$37:$I$65,8,0)</f>
        <v>0</v>
      </c>
      <c r="AF142" s="276">
        <f t="shared" si="4"/>
        <v>37.5</v>
      </c>
      <c r="AG142" s="279" t="s">
        <v>622</v>
      </c>
    </row>
    <row r="143" spans="1:33" s="185" customFormat="1" ht="15">
      <c r="A143" s="197">
        <f>THKLQT!A143</f>
        <v>200</v>
      </c>
      <c r="B143" s="273">
        <f>B142+1</f>
        <v>3</v>
      </c>
      <c r="C143" s="271" t="s">
        <v>290</v>
      </c>
      <c r="D143" s="273" t="s">
        <v>27</v>
      </c>
      <c r="E143" s="274">
        <v>308.11</v>
      </c>
      <c r="F143" s="275">
        <f>VLOOKUP(F$10,'C.II.1.5.3'!$A$37:$I$65,8,0)</f>
        <v>0</v>
      </c>
      <c r="G143" s="275">
        <f>VLOOKUP(G$10,'C.II.1.5.3'!$A$37:$I$65,8,0)</f>
        <v>0</v>
      </c>
      <c r="H143" s="275">
        <f>VLOOKUP(H$10,'C.II.1.5.3'!$A$37:$I$65,8,0)</f>
        <v>0</v>
      </c>
      <c r="I143" s="275">
        <f>VLOOKUP(I$10,'C.II.1.5.3'!$A$37:$I$65,8,0)</f>
        <v>0</v>
      </c>
      <c r="J143" s="275">
        <f>VLOOKUP(J$10,'C.II.1.5.3'!$A$37:$I$65,8,0)</f>
        <v>0</v>
      </c>
      <c r="K143" s="275">
        <f>VLOOKUP(K$10,'C.II.1.5.3'!$A$37:$I$65,8,0)</f>
        <v>0</v>
      </c>
      <c r="L143" s="275">
        <f>VLOOKUP(L$10,'C.II.1.5.3'!$A$37:$I$65,8,0)</f>
        <v>0</v>
      </c>
      <c r="M143" s="275">
        <f>VLOOKUP(M$10,'C.II.1.5.3'!$A$37:$I$65,8,0)</f>
        <v>0</v>
      </c>
      <c r="N143" s="275">
        <f>VLOOKUP(N$10,'C.II.1.5.3'!$A$37:$I$65,8,0)</f>
        <v>0</v>
      </c>
      <c r="O143" s="275">
        <f>VLOOKUP(O$10,'C.II.1.5.3'!$A$37:$I$65,8,0)</f>
        <v>0</v>
      </c>
      <c r="P143" s="275">
        <f>VLOOKUP(P$10,'C.II.1.5.3'!$A$37:$I$65,8,0)</f>
        <v>0</v>
      </c>
      <c r="Q143" s="275">
        <f>VLOOKUP(Q$10,'C.II.1.5.3'!$A$37:$I$65,8,0)</f>
        <v>0</v>
      </c>
      <c r="R143" s="275">
        <f>VLOOKUP(R$10,'C.II.1.5.3'!$A$37:$I$65,8,0)</f>
        <v>0</v>
      </c>
      <c r="S143" s="275">
        <f>VLOOKUP(S$10,'C.II.1.5.3'!$A$37:$I$65,8,0)</f>
        <v>0</v>
      </c>
      <c r="T143" s="275">
        <f>VLOOKUP(T$10,'C.II.1.5.3'!$A$37:$I$65,8,0)</f>
        <v>0</v>
      </c>
      <c r="U143" s="275">
        <f>VLOOKUP(U$10,'C.II.1.5.3'!$A$37:$I$65,8,0)</f>
        <v>0</v>
      </c>
      <c r="V143" s="275">
        <f>VLOOKUP(V$10,'C.II.1.5.3'!$A$37:$I$65,8,0)</f>
        <v>0</v>
      </c>
      <c r="W143" s="275">
        <f>VLOOKUP(W$10,'C.II.1.5.3'!$A$37:$I$65,8,0)</f>
        <v>0</v>
      </c>
      <c r="X143" s="275">
        <f>VLOOKUP(X$10,'C.II.1.5.3'!$A$37:$I$65,8,0)</f>
        <v>673.68000000000006</v>
      </c>
      <c r="Y143" s="275">
        <f>VLOOKUP(Y$10,'C.II.1.5.3'!$A$37:$I$65,8,0)</f>
        <v>0</v>
      </c>
      <c r="Z143" s="275">
        <f>VLOOKUP(Z$10,'C.II.1.5.3'!$A$37:$I$65,8,0)</f>
        <v>0</v>
      </c>
      <c r="AA143" s="275">
        <f>VLOOKUP(AA$10,'C.II.1.5.3'!$A$37:$I$65,8,0)</f>
        <v>0</v>
      </c>
      <c r="AB143" s="275">
        <f>VLOOKUP(AB$10,'C.II.1.5.3'!$A$37:$I$65,8,0)</f>
        <v>0</v>
      </c>
      <c r="AC143" s="275">
        <f>VLOOKUP(AC$10,'C.II.1.5.3'!$A$37:$I$65,8,0)</f>
        <v>0</v>
      </c>
      <c r="AD143" s="275">
        <f>VLOOKUP(AD$10,'C.II.1.5.3'!$A$37:$I$65,8,0)</f>
        <v>0</v>
      </c>
      <c r="AE143" s="275">
        <f>VLOOKUP(AE$10,'C.II.1.5.3'!$A$37:$I$65,8,0)</f>
        <v>0</v>
      </c>
      <c r="AF143" s="276">
        <f t="shared" si="4"/>
        <v>673.68</v>
      </c>
      <c r="AG143" s="279" t="s">
        <v>623</v>
      </c>
    </row>
    <row r="144" spans="1:33" s="185" customFormat="1" ht="15">
      <c r="A144" s="197">
        <f>THKLQT!A144</f>
        <v>201</v>
      </c>
      <c r="B144" s="273">
        <f t="shared" si="5"/>
        <v>4</v>
      </c>
      <c r="C144" s="271" t="s">
        <v>274</v>
      </c>
      <c r="D144" s="273" t="s">
        <v>0</v>
      </c>
      <c r="E144" s="274">
        <v>32.4</v>
      </c>
      <c r="F144" s="275">
        <f>VLOOKUP(F$10,'C.II.1.5.4'!$A$37:$I$65,8,0)</f>
        <v>0</v>
      </c>
      <c r="G144" s="275">
        <f>VLOOKUP(G$10,'C.II.1.5.4'!$A$37:$I$65,8,0)</f>
        <v>0</v>
      </c>
      <c r="H144" s="275">
        <f>VLOOKUP(H$10,'C.II.1.5.4'!$A$37:$I$65,8,0)</f>
        <v>0</v>
      </c>
      <c r="I144" s="275">
        <f>VLOOKUP(I$10,'C.II.1.5.4'!$A$37:$I$65,8,0)</f>
        <v>0</v>
      </c>
      <c r="J144" s="275">
        <f>VLOOKUP(J$10,'C.II.1.5.4'!$A$37:$I$65,8,0)</f>
        <v>0</v>
      </c>
      <c r="K144" s="275">
        <f>VLOOKUP(K$10,'C.II.1.5.4'!$A$37:$I$65,8,0)</f>
        <v>0</v>
      </c>
      <c r="L144" s="275">
        <f>VLOOKUP(L$10,'C.II.1.5.4'!$A$37:$I$65,8,0)</f>
        <v>0</v>
      </c>
      <c r="M144" s="275">
        <f>VLOOKUP(M$10,'C.II.1.5.4'!$A$37:$I$65,8,0)</f>
        <v>0</v>
      </c>
      <c r="N144" s="275">
        <f>VLOOKUP(N$10,'C.II.1.5.4'!$A$37:$I$65,8,0)</f>
        <v>0</v>
      </c>
      <c r="O144" s="275">
        <f>VLOOKUP(O$10,'C.II.1.5.4'!$A$37:$I$65,8,0)</f>
        <v>0</v>
      </c>
      <c r="P144" s="275">
        <f>VLOOKUP(P$10,'C.II.1.5.4'!$A$37:$I$65,8,0)</f>
        <v>0</v>
      </c>
      <c r="Q144" s="275">
        <f>VLOOKUP(Q$10,'C.II.1.5.4'!$A$37:$I$65,8,0)</f>
        <v>0</v>
      </c>
      <c r="R144" s="275">
        <f>VLOOKUP(R$10,'C.II.1.5.4'!$A$37:$I$65,8,0)</f>
        <v>0</v>
      </c>
      <c r="S144" s="275">
        <f>VLOOKUP(S$10,'C.II.1.5.4'!$A$37:$I$65,8,0)</f>
        <v>0</v>
      </c>
      <c r="T144" s="275">
        <f>VLOOKUP(T$10,'C.II.1.5.4'!$A$37:$I$65,8,0)</f>
        <v>0</v>
      </c>
      <c r="U144" s="275">
        <f>VLOOKUP(U$10,'C.II.1.5.4'!$A$37:$I$65,8,0)</f>
        <v>0</v>
      </c>
      <c r="V144" s="275">
        <f>VLOOKUP(V$10,'C.II.1.5.4'!$A$37:$I$65,8,0)</f>
        <v>0</v>
      </c>
      <c r="W144" s="275">
        <f>VLOOKUP(W$10,'C.II.1.5.4'!$A$37:$I$65,8,0)</f>
        <v>0</v>
      </c>
      <c r="X144" s="275">
        <f>VLOOKUP(X$10,'C.II.1.5.4'!$A$37:$I$65,8,0)</f>
        <v>79.599999999999994</v>
      </c>
      <c r="Y144" s="275">
        <f>VLOOKUP(Y$10,'C.II.1.5.4'!$A$37:$I$65,8,0)</f>
        <v>0</v>
      </c>
      <c r="Z144" s="275">
        <f>VLOOKUP(Z$10,'C.II.1.5.4'!$A$37:$I$65,8,0)</f>
        <v>0</v>
      </c>
      <c r="AA144" s="275">
        <f>VLOOKUP(AA$10,'C.II.1.5.4'!$A$37:$I$65,8,0)</f>
        <v>0</v>
      </c>
      <c r="AB144" s="275">
        <f>VLOOKUP(AB$10,'C.II.1.5.4'!$A$37:$I$65,8,0)</f>
        <v>0</v>
      </c>
      <c r="AC144" s="275">
        <f>VLOOKUP(AC$10,'C.II.1.5.4'!$A$37:$I$65,8,0)</f>
        <v>0</v>
      </c>
      <c r="AD144" s="275">
        <f>VLOOKUP(AD$10,'C.II.1.5.4'!$A$37:$I$65,8,0)</f>
        <v>0</v>
      </c>
      <c r="AE144" s="275">
        <f>VLOOKUP(AE$10,'C.II.1.5.4'!$A$37:$I$65,8,0)</f>
        <v>0</v>
      </c>
      <c r="AF144" s="276">
        <f t="shared" si="4"/>
        <v>79.599999999999994</v>
      </c>
      <c r="AG144" s="279" t="s">
        <v>624</v>
      </c>
    </row>
    <row r="145" spans="1:33" s="185" customFormat="1" ht="15">
      <c r="A145" s="197">
        <f>THKLQT!A145</f>
        <v>202</v>
      </c>
      <c r="B145" s="273">
        <f t="shared" si="5"/>
        <v>5</v>
      </c>
      <c r="C145" s="271" t="s">
        <v>291</v>
      </c>
      <c r="D145" s="273" t="s">
        <v>0</v>
      </c>
      <c r="E145" s="274">
        <v>4</v>
      </c>
      <c r="F145" s="275">
        <f>VLOOKUP(F$10,'C.II.1.5.5'!$A$37:$I$65,8,0)</f>
        <v>0</v>
      </c>
      <c r="G145" s="275">
        <f>VLOOKUP(G$10,'C.II.1.5.5'!$A$37:$I$65,8,0)</f>
        <v>0</v>
      </c>
      <c r="H145" s="275">
        <f>VLOOKUP(H$10,'C.II.1.5.5'!$A$37:$I$65,8,0)</f>
        <v>0</v>
      </c>
      <c r="I145" s="275">
        <f>VLOOKUP(I$10,'C.II.1.5.5'!$A$37:$I$65,8,0)</f>
        <v>0</v>
      </c>
      <c r="J145" s="275">
        <f>VLOOKUP(J$10,'C.II.1.5.5'!$A$37:$I$65,8,0)</f>
        <v>0</v>
      </c>
      <c r="K145" s="275">
        <f>VLOOKUP(K$10,'C.II.1.5.5'!$A$37:$I$65,8,0)</f>
        <v>0</v>
      </c>
      <c r="L145" s="275">
        <f>VLOOKUP(L$10,'C.II.1.5.5'!$A$37:$I$65,8,0)</f>
        <v>0</v>
      </c>
      <c r="M145" s="275">
        <f>VLOOKUP(M$10,'C.II.1.5.5'!$A$37:$I$65,8,0)</f>
        <v>0</v>
      </c>
      <c r="N145" s="275">
        <f>VLOOKUP(N$10,'C.II.1.5.5'!$A$37:$I$65,8,0)</f>
        <v>0</v>
      </c>
      <c r="O145" s="275">
        <f>VLOOKUP(O$10,'C.II.1.5.5'!$A$37:$I$65,8,0)</f>
        <v>0</v>
      </c>
      <c r="P145" s="275">
        <f>VLOOKUP(P$10,'C.II.1.5.5'!$A$37:$I$65,8,0)</f>
        <v>0</v>
      </c>
      <c r="Q145" s="275">
        <f>VLOOKUP(Q$10,'C.II.1.5.5'!$A$37:$I$65,8,0)</f>
        <v>0</v>
      </c>
      <c r="R145" s="275">
        <f>VLOOKUP(R$10,'C.II.1.5.5'!$A$37:$I$65,8,0)</f>
        <v>0</v>
      </c>
      <c r="S145" s="275">
        <f>VLOOKUP(S$10,'C.II.1.5.5'!$A$37:$I$65,8,0)</f>
        <v>0</v>
      </c>
      <c r="T145" s="275">
        <f>VLOOKUP(T$10,'C.II.1.5.5'!$A$37:$I$65,8,0)</f>
        <v>0</v>
      </c>
      <c r="U145" s="275">
        <f>VLOOKUP(U$10,'C.II.1.5.5'!$A$37:$I$65,8,0)</f>
        <v>0</v>
      </c>
      <c r="V145" s="275">
        <f>VLOOKUP(V$10,'C.II.1.5.5'!$A$37:$I$65,8,0)</f>
        <v>0</v>
      </c>
      <c r="W145" s="275">
        <f>VLOOKUP(W$10,'C.II.1.5.5'!$A$37:$I$65,8,0)</f>
        <v>0</v>
      </c>
      <c r="X145" s="275">
        <f>VLOOKUP(X$10,'C.II.1.5.5'!$A$37:$I$65,8,0)</f>
        <v>4</v>
      </c>
      <c r="Y145" s="275">
        <f>VLOOKUP(Y$10,'C.II.1.5.5'!$A$37:$I$65,8,0)</f>
        <v>0</v>
      </c>
      <c r="Z145" s="275">
        <f>VLOOKUP(Z$10,'C.II.1.5.5'!$A$37:$I$65,8,0)</f>
        <v>0</v>
      </c>
      <c r="AA145" s="275">
        <f>VLOOKUP(AA$10,'C.II.1.5.5'!$A$37:$I$65,8,0)</f>
        <v>0</v>
      </c>
      <c r="AB145" s="275">
        <f>VLOOKUP(AB$10,'C.II.1.5.5'!$A$37:$I$65,8,0)</f>
        <v>0</v>
      </c>
      <c r="AC145" s="275">
        <f>VLOOKUP(AC$10,'C.II.1.5.5'!$A$37:$I$65,8,0)</f>
        <v>0</v>
      </c>
      <c r="AD145" s="275">
        <f>VLOOKUP(AD$10,'C.II.1.5.5'!$A$37:$I$65,8,0)</f>
        <v>0</v>
      </c>
      <c r="AE145" s="275">
        <f>VLOOKUP(AE$10,'C.II.1.5.5'!$A$37:$I$65,8,0)</f>
        <v>0</v>
      </c>
      <c r="AF145" s="276">
        <f t="shared" si="4"/>
        <v>4</v>
      </c>
      <c r="AG145" s="279" t="s">
        <v>625</v>
      </c>
    </row>
    <row r="146" spans="1:33" s="185" customFormat="1" ht="15">
      <c r="A146" s="197">
        <f>THKLQT!A146</f>
        <v>0</v>
      </c>
      <c r="B146" s="239" t="s">
        <v>292</v>
      </c>
      <c r="C146" s="240" t="s">
        <v>293</v>
      </c>
      <c r="D146" s="241" t="s">
        <v>153</v>
      </c>
      <c r="E146" s="176" t="s">
        <v>326</v>
      </c>
      <c r="F146" s="177"/>
      <c r="G146" s="177"/>
      <c r="H146" s="177"/>
      <c r="I146" s="177"/>
      <c r="J146" s="177"/>
      <c r="K146" s="177"/>
      <c r="L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206">
        <f t="shared" si="4"/>
        <v>0</v>
      </c>
    </row>
    <row r="147" spans="1:33" s="185" customFormat="1" ht="15">
      <c r="A147" s="197">
        <f>THKLQT!A147</f>
        <v>203</v>
      </c>
      <c r="B147" s="273">
        <v>1</v>
      </c>
      <c r="C147" s="271" t="s">
        <v>294</v>
      </c>
      <c r="D147" s="273" t="s">
        <v>7</v>
      </c>
      <c r="E147" s="274">
        <v>5.19</v>
      </c>
      <c r="F147" s="275">
        <f>VLOOKUP(F$10,'C.II.1.6.1'!$A$37:$I$65,8,0)</f>
        <v>0</v>
      </c>
      <c r="G147" s="275">
        <f>VLOOKUP(G$10,'C.II.1.6.1'!$A$37:$I$65,8,0)</f>
        <v>0</v>
      </c>
      <c r="H147" s="275">
        <f>VLOOKUP(H$10,'C.II.1.6.1'!$A$37:$I$65,8,0)</f>
        <v>0</v>
      </c>
      <c r="I147" s="275">
        <f>VLOOKUP(I$10,'C.II.1.6.1'!$A$37:$I$65,8,0)</f>
        <v>0</v>
      </c>
      <c r="J147" s="275">
        <f>VLOOKUP(J$10,'C.II.1.6.1'!$A$37:$I$65,8,0)</f>
        <v>0</v>
      </c>
      <c r="K147" s="275">
        <f>VLOOKUP(K$10,'C.II.1.6.1'!$A$37:$I$65,8,0)</f>
        <v>0</v>
      </c>
      <c r="L147" s="275">
        <f>VLOOKUP(L$10,'C.II.1.6.1'!$A$37:$I$65,8,0)</f>
        <v>0</v>
      </c>
      <c r="M147" s="275">
        <f>VLOOKUP(M$10,'C.II.1.6.1'!$A$37:$I$65,8,0)</f>
        <v>0</v>
      </c>
      <c r="N147" s="275">
        <f>VLOOKUP(N$10,'C.II.1.6.1'!$A$37:$I$65,8,0)</f>
        <v>0</v>
      </c>
      <c r="O147" s="275">
        <f>VLOOKUP(O$10,'C.II.1.6.1'!$A$37:$I$65,8,0)</f>
        <v>0</v>
      </c>
      <c r="P147" s="275">
        <f>VLOOKUP(P$10,'C.II.1.6.1'!$A$37:$I$65,8,0)</f>
        <v>0</v>
      </c>
      <c r="Q147" s="275">
        <f>VLOOKUP(Q$10,'C.II.1.6.1'!$A$37:$I$65,8,0)</f>
        <v>0</v>
      </c>
      <c r="R147" s="275">
        <f>VLOOKUP(R$10,'C.II.1.6.1'!$A$37:$I$65,8,0)</f>
        <v>0</v>
      </c>
      <c r="S147" s="275">
        <f>VLOOKUP(S$10,'C.II.1.6.1'!$A$37:$I$65,8,0)</f>
        <v>0</v>
      </c>
      <c r="T147" s="275">
        <f>VLOOKUP(T$10,'C.II.1.6.1'!$A$37:$I$65,8,0)</f>
        <v>0</v>
      </c>
      <c r="U147" s="275">
        <f>VLOOKUP(U$10,'C.II.1.6.1'!$A$37:$I$65,8,0)</f>
        <v>0</v>
      </c>
      <c r="V147" s="275">
        <f>VLOOKUP(V$10,'C.II.1.6.1'!$A$37:$I$65,8,0)</f>
        <v>0</v>
      </c>
      <c r="W147" s="275">
        <f>VLOOKUP(W$10,'C.II.1.6.1'!$A$37:$I$65,8,0)</f>
        <v>0</v>
      </c>
      <c r="X147" s="275">
        <f>VLOOKUP(X$10,'C.II.1.6.1'!$A$37:$I$65,8,0)</f>
        <v>0</v>
      </c>
      <c r="Y147" s="275">
        <f>VLOOKUP(Y$10,'C.II.1.6.1'!$A$37:$I$65,8,0)</f>
        <v>0</v>
      </c>
      <c r="Z147" s="275">
        <f>VLOOKUP(Z$10,'C.II.1.6.1'!$A$37:$I$65,8,0)</f>
        <v>0</v>
      </c>
      <c r="AA147" s="275">
        <f>VLOOKUP(AA$10,'C.II.1.6.1'!$A$37:$I$65,8,0)</f>
        <v>0</v>
      </c>
      <c r="AB147" s="275">
        <f>VLOOKUP(AB$10,'C.II.1.6.1'!$A$37:$I$65,8,0)</f>
        <v>5.15</v>
      </c>
      <c r="AC147" s="275">
        <f>VLOOKUP(AC$10,'C.II.1.6.1'!$A$37:$I$65,8,0)</f>
        <v>0</v>
      </c>
      <c r="AD147" s="275">
        <f>VLOOKUP(AD$10,'C.II.1.6.1'!$A$37:$I$65,8,0)</f>
        <v>0</v>
      </c>
      <c r="AE147" s="275">
        <f>VLOOKUP(AE$10,'C.II.1.6.1'!$A$37:$I$65,8,0)</f>
        <v>0</v>
      </c>
      <c r="AF147" s="276">
        <f t="shared" si="4"/>
        <v>5.15</v>
      </c>
      <c r="AG147" s="279" t="s">
        <v>626</v>
      </c>
    </row>
    <row r="148" spans="1:33" s="185" customFormat="1" ht="15">
      <c r="A148" s="197">
        <f>THKLQT!A148</f>
        <v>204</v>
      </c>
      <c r="B148" s="273">
        <v>2</v>
      </c>
      <c r="C148" s="271" t="s">
        <v>124</v>
      </c>
      <c r="D148" s="273" t="s">
        <v>7</v>
      </c>
      <c r="E148" s="274">
        <v>7.36</v>
      </c>
      <c r="F148" s="275">
        <f>VLOOKUP(F$10,'C.II.1.6.2'!$A$37:$I$65,8,0)</f>
        <v>0</v>
      </c>
      <c r="G148" s="275">
        <f>VLOOKUP(G$10,'C.II.1.6.2'!$A$37:$I$65,8,0)</f>
        <v>0</v>
      </c>
      <c r="H148" s="275">
        <f>VLOOKUP(H$10,'C.II.1.6.2'!$A$37:$I$65,8,0)</f>
        <v>0</v>
      </c>
      <c r="I148" s="275">
        <f>VLOOKUP(I$10,'C.II.1.6.2'!$A$37:$I$65,8,0)</f>
        <v>0</v>
      </c>
      <c r="J148" s="275">
        <f>VLOOKUP(J$10,'C.II.1.6.2'!$A$37:$I$65,8,0)</f>
        <v>0</v>
      </c>
      <c r="K148" s="275">
        <f>VLOOKUP(K$10,'C.II.1.6.2'!$A$37:$I$65,8,0)</f>
        <v>0</v>
      </c>
      <c r="L148" s="275">
        <f>VLOOKUP(L$10,'C.II.1.6.2'!$A$37:$I$65,8,0)</f>
        <v>0</v>
      </c>
      <c r="M148" s="275">
        <f>VLOOKUP(M$10,'C.II.1.6.2'!$A$37:$I$65,8,0)</f>
        <v>0</v>
      </c>
      <c r="N148" s="275">
        <f>VLOOKUP(N$10,'C.II.1.6.2'!$A$37:$I$65,8,0)</f>
        <v>0</v>
      </c>
      <c r="O148" s="275">
        <f>VLOOKUP(O$10,'C.II.1.6.2'!$A$37:$I$65,8,0)</f>
        <v>0</v>
      </c>
      <c r="P148" s="275">
        <f>VLOOKUP(P$10,'C.II.1.6.2'!$A$37:$I$65,8,0)</f>
        <v>0</v>
      </c>
      <c r="Q148" s="275">
        <f>VLOOKUP(Q$10,'C.II.1.6.2'!$A$37:$I$65,8,0)</f>
        <v>0</v>
      </c>
      <c r="R148" s="275">
        <f>VLOOKUP(R$10,'C.II.1.6.2'!$A$37:$I$65,8,0)</f>
        <v>0</v>
      </c>
      <c r="S148" s="275">
        <f>VLOOKUP(S$10,'C.II.1.6.2'!$A$37:$I$65,8,0)</f>
        <v>0</v>
      </c>
      <c r="T148" s="275">
        <f>VLOOKUP(T$10,'C.II.1.6.2'!$A$37:$I$65,8,0)</f>
        <v>0</v>
      </c>
      <c r="U148" s="275">
        <f>VLOOKUP(U$10,'C.II.1.6.2'!$A$37:$I$65,8,0)</f>
        <v>0</v>
      </c>
      <c r="V148" s="275">
        <f>VLOOKUP(V$10,'C.II.1.6.2'!$A$37:$I$65,8,0)</f>
        <v>0</v>
      </c>
      <c r="W148" s="275">
        <f>VLOOKUP(W$10,'C.II.1.6.2'!$A$37:$I$65,8,0)</f>
        <v>0</v>
      </c>
      <c r="X148" s="275">
        <f>VLOOKUP(X$10,'C.II.1.6.2'!$A$37:$I$65,8,0)</f>
        <v>0</v>
      </c>
      <c r="Y148" s="275">
        <f>VLOOKUP(Y$10,'C.II.1.6.2'!$A$37:$I$65,8,0)</f>
        <v>0</v>
      </c>
      <c r="Z148" s="275">
        <f>VLOOKUP(Z$10,'C.II.1.6.2'!$A$37:$I$65,8,0)</f>
        <v>0</v>
      </c>
      <c r="AA148" s="275">
        <f>VLOOKUP(AA$10,'C.II.1.6.2'!$A$37:$I$65,8,0)</f>
        <v>0</v>
      </c>
      <c r="AB148" s="275">
        <f>VLOOKUP(AB$10,'C.II.1.6.2'!$A$37:$I$65,8,0)</f>
        <v>1.81</v>
      </c>
      <c r="AC148" s="275">
        <f>VLOOKUP(AC$10,'C.II.1.6.2'!$A$37:$I$65,8,0)</f>
        <v>0</v>
      </c>
      <c r="AD148" s="275">
        <f>VLOOKUP(AD$10,'C.II.1.6.2'!$A$37:$I$65,8,0)</f>
        <v>0</v>
      </c>
      <c r="AE148" s="275">
        <f>VLOOKUP(AE$10,'C.II.1.6.2'!$A$37:$I$65,8,0)</f>
        <v>0</v>
      </c>
      <c r="AF148" s="276">
        <f t="shared" si="4"/>
        <v>1.81</v>
      </c>
      <c r="AG148" s="279" t="s">
        <v>627</v>
      </c>
    </row>
    <row r="149" spans="1:33" s="185" customFormat="1" ht="15">
      <c r="A149" s="197">
        <f>THKLQT!A149</f>
        <v>0</v>
      </c>
      <c r="B149" s="239" t="s">
        <v>295</v>
      </c>
      <c r="C149" s="240" t="s">
        <v>296</v>
      </c>
      <c r="D149" s="241" t="s">
        <v>153</v>
      </c>
      <c r="E149" s="176" t="s">
        <v>326</v>
      </c>
      <c r="F149" s="177"/>
      <c r="G149" s="177"/>
      <c r="H149" s="177"/>
      <c r="I149" s="177"/>
      <c r="J149" s="177"/>
      <c r="K149" s="177"/>
      <c r="L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206">
        <f t="shared" si="4"/>
        <v>0</v>
      </c>
    </row>
    <row r="150" spans="1:33" s="185" customFormat="1" ht="15">
      <c r="A150" s="197">
        <f>THKLQT!A150</f>
        <v>0</v>
      </c>
      <c r="B150" s="239" t="s">
        <v>16</v>
      </c>
      <c r="C150" s="240" t="s">
        <v>297</v>
      </c>
      <c r="D150" s="241" t="s">
        <v>153</v>
      </c>
      <c r="E150" s="176" t="s">
        <v>326</v>
      </c>
      <c r="F150" s="177"/>
      <c r="G150" s="177"/>
      <c r="H150" s="177"/>
      <c r="I150" s="177"/>
      <c r="J150" s="177"/>
      <c r="K150" s="177"/>
      <c r="L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206">
        <f t="shared" si="4"/>
        <v>0</v>
      </c>
    </row>
    <row r="151" spans="1:33" s="185" customFormat="1" ht="15">
      <c r="A151" s="197">
        <f>THKLQT!A151</f>
        <v>205</v>
      </c>
      <c r="B151" s="273">
        <v>1</v>
      </c>
      <c r="C151" s="271" t="s">
        <v>298</v>
      </c>
      <c r="D151" s="273" t="s">
        <v>27</v>
      </c>
      <c r="E151" s="274">
        <v>1527.07</v>
      </c>
      <c r="F151" s="275">
        <f>VLOOKUP(F$10,'C.II.1.7.1'!$A$36:$I$63,8,0)</f>
        <v>0</v>
      </c>
      <c r="G151" s="275">
        <f>VLOOKUP(G$10,'C.II.1.7.1'!$A$36:$I$63,8,0)</f>
        <v>0</v>
      </c>
      <c r="H151" s="275">
        <f>VLOOKUP(H$10,'C.II.1.7.1'!$A$36:$I$63,8,0)</f>
        <v>0</v>
      </c>
      <c r="I151" s="275">
        <f>VLOOKUP(I$10,'C.II.1.7.1'!$A$36:$I$63,8,0)</f>
        <v>0</v>
      </c>
      <c r="J151" s="275">
        <f>VLOOKUP(J$10,'C.II.1.7.1'!$A$36:$I$63,8,0)</f>
        <v>0</v>
      </c>
      <c r="K151" s="275">
        <f>VLOOKUP(K$10,'C.II.1.7.1'!$A$36:$I$63,8,0)</f>
        <v>0</v>
      </c>
      <c r="L151" s="275">
        <f>VLOOKUP(L$10,'C.II.1.7.1'!$A$36:$I$63,8,0)</f>
        <v>0</v>
      </c>
      <c r="M151" s="275">
        <f>VLOOKUP(M$10,'C.II.1.7.1'!$A$36:$I$63,8,0)</f>
        <v>0</v>
      </c>
      <c r="N151" s="275">
        <f>VLOOKUP(N$10,'C.II.1.7.1'!$A$36:$I$63,8,0)</f>
        <v>0</v>
      </c>
      <c r="O151" s="275">
        <f>VLOOKUP(O$10,'C.II.1.7.1'!$A$36:$I$63,8,0)</f>
        <v>0</v>
      </c>
      <c r="P151" s="275">
        <f>VLOOKUP(P$10,'C.II.1.7.1'!$A$36:$I$63,8,0)</f>
        <v>1351</v>
      </c>
      <c r="Q151" s="275">
        <f>VLOOKUP(Q$10,'C.II.1.7.1'!$A$36:$I$63,8,0)</f>
        <v>0</v>
      </c>
      <c r="R151" s="275">
        <f>VLOOKUP(R$10,'C.II.1.7.1'!$A$36:$I$63,8,0)</f>
        <v>0</v>
      </c>
      <c r="S151" s="275">
        <f>VLOOKUP(S$10,'C.II.1.7.1'!$A$36:$I$63,8,0)</f>
        <v>0</v>
      </c>
      <c r="T151" s="275">
        <f>VLOOKUP(T$10,'C.II.1.7.1'!$A$36:$I$63,8,0)</f>
        <v>0</v>
      </c>
      <c r="U151" s="275">
        <f>VLOOKUP(U$10,'C.II.1.7.1'!$A$36:$I$63,8,0)</f>
        <v>0</v>
      </c>
      <c r="V151" s="275">
        <f>VLOOKUP(V$10,'C.II.1.7.1'!$A$36:$I$63,8,0)</f>
        <v>0</v>
      </c>
      <c r="W151" s="275">
        <f>VLOOKUP(W$10,'C.II.1.7.1'!$A$36:$I$63,8,0)</f>
        <v>0</v>
      </c>
      <c r="X151" s="275">
        <f>VLOOKUP(X$10,'C.II.1.7.1'!$A$36:$I$63,8,0)</f>
        <v>0</v>
      </c>
      <c r="Y151" s="275">
        <f>VLOOKUP(Y$10,'C.II.1.7.1'!$A$36:$I$63,8,0)</f>
        <v>0</v>
      </c>
      <c r="Z151" s="275">
        <f>VLOOKUP(Z$10,'C.II.1.7.1'!$A$36:$I$63,8,0)</f>
        <v>0</v>
      </c>
      <c r="AA151" s="275">
        <f>VLOOKUP(AA$10,'C.II.1.7.1'!$A$36:$I$63,8,0)</f>
        <v>0</v>
      </c>
      <c r="AB151" s="275">
        <f>VLOOKUP(AB$10,'C.II.1.7.1'!$A$36:$I$63,8,0)</f>
        <v>0</v>
      </c>
      <c r="AC151" s="275">
        <f>VLOOKUP(AC$10,'C.II.1.7.1'!$A$36:$I$63,8,0)</f>
        <v>0</v>
      </c>
      <c r="AD151" s="275">
        <f>VLOOKUP(AD$10,'C.II.1.7.1'!$A$36:$I$63,8,0)</f>
        <v>0</v>
      </c>
      <c r="AE151" s="275">
        <f>VLOOKUP(AE$10,'C.II.1.7.1'!$A$36:$I$63,8,0)</f>
        <v>0</v>
      </c>
      <c r="AF151" s="276">
        <f t="shared" si="4"/>
        <v>1351</v>
      </c>
      <c r="AG151" s="279" t="s">
        <v>673</v>
      </c>
    </row>
    <row r="152" spans="1:33" s="185" customFormat="1" ht="15">
      <c r="A152" s="197">
        <f>THKLQT!A152</f>
        <v>206</v>
      </c>
      <c r="B152" s="273">
        <v>2</v>
      </c>
      <c r="C152" s="271" t="s">
        <v>299</v>
      </c>
      <c r="D152" s="273" t="s">
        <v>7</v>
      </c>
      <c r="E152" s="274">
        <v>763.54</v>
      </c>
      <c r="F152" s="275">
        <f>VLOOKUP(F$10,'C.II.1.7.2'!$A$37:$I$64,8,0)</f>
        <v>0</v>
      </c>
      <c r="G152" s="275">
        <f>VLOOKUP(G$10,'C.II.1.7.2'!$A$37:$I$64,8,0)</f>
        <v>0</v>
      </c>
      <c r="H152" s="275">
        <f>VLOOKUP(H$10,'C.II.1.7.2'!$A$37:$I$64,8,0)</f>
        <v>0</v>
      </c>
      <c r="I152" s="275">
        <f>VLOOKUP(I$10,'C.II.1.7.2'!$A$37:$I$64,8,0)</f>
        <v>0</v>
      </c>
      <c r="J152" s="275">
        <f>VLOOKUP(J$10,'C.II.1.7.2'!$A$37:$I$64,8,0)</f>
        <v>0</v>
      </c>
      <c r="K152" s="275">
        <f>VLOOKUP(K$10,'C.II.1.7.2'!$A$37:$I$64,8,0)</f>
        <v>0</v>
      </c>
      <c r="L152" s="275">
        <f>VLOOKUP(L$10,'C.II.1.7.2'!$A$37:$I$64,8,0)</f>
        <v>0</v>
      </c>
      <c r="M152" s="275">
        <f>VLOOKUP(M$10,'C.II.1.7.2'!$A$37:$I$64,8,0)</f>
        <v>0</v>
      </c>
      <c r="N152" s="275">
        <f>VLOOKUP(N$10,'C.II.1.7.2'!$A$37:$I$64,8,0)</f>
        <v>0</v>
      </c>
      <c r="O152" s="275">
        <f>VLOOKUP(O$10,'C.II.1.7.2'!$A$37:$I$64,8,0)</f>
        <v>0</v>
      </c>
      <c r="P152" s="275">
        <f>VLOOKUP(P$10,'C.II.1.7.2'!$A$37:$I$64,8,0)</f>
        <v>198</v>
      </c>
      <c r="Q152" s="275">
        <f>VLOOKUP(Q$10,'C.II.1.7.2'!$A$37:$I$64,8,0)</f>
        <v>0</v>
      </c>
      <c r="R152" s="275">
        <f>VLOOKUP(R$10,'C.II.1.7.2'!$A$37:$I$64,8,0)</f>
        <v>0</v>
      </c>
      <c r="S152" s="275">
        <f>VLOOKUP(S$10,'C.II.1.7.2'!$A$37:$I$64,8,0)</f>
        <v>0</v>
      </c>
      <c r="T152" s="275">
        <f>VLOOKUP(T$10,'C.II.1.7.2'!$A$37:$I$64,8,0)</f>
        <v>0</v>
      </c>
      <c r="U152" s="275">
        <f>VLOOKUP(U$10,'C.II.1.7.2'!$A$37:$I$64,8,0)</f>
        <v>0</v>
      </c>
      <c r="V152" s="275">
        <f>VLOOKUP(V$10,'C.II.1.7.2'!$A$37:$I$64,8,0)</f>
        <v>0</v>
      </c>
      <c r="W152" s="275">
        <f>VLOOKUP(W$10,'C.II.1.7.2'!$A$37:$I$64,8,0)</f>
        <v>0</v>
      </c>
      <c r="X152" s="275">
        <f>VLOOKUP(X$10,'C.II.1.7.2'!$A$37:$I$64,8,0)</f>
        <v>0</v>
      </c>
      <c r="Y152" s="275">
        <f>VLOOKUP(Y$10,'C.II.1.7.2'!$A$37:$I$64,8,0)</f>
        <v>0</v>
      </c>
      <c r="Z152" s="275">
        <f>VLOOKUP(Z$10,'C.II.1.7.2'!$A$37:$I$64,8,0)</f>
        <v>0</v>
      </c>
      <c r="AA152" s="275">
        <f>VLOOKUP(AA$10,'C.II.1.7.2'!$A$37:$I$64,8,0)</f>
        <v>0</v>
      </c>
      <c r="AB152" s="275">
        <f>VLOOKUP(AB$10,'C.II.1.7.2'!$A$37:$I$64,8,0)</f>
        <v>0</v>
      </c>
      <c r="AC152" s="275">
        <f>VLOOKUP(AC$10,'C.II.1.7.2'!$A$37:$I$64,8,0)</f>
        <v>0</v>
      </c>
      <c r="AD152" s="275">
        <f>VLOOKUP(AD$10,'C.II.1.7.2'!$A$37:$I$64,8,0)</f>
        <v>0</v>
      </c>
      <c r="AE152" s="275">
        <f>VLOOKUP(AE$10,'C.II.1.7.2'!$A$37:$I$64,8,0)</f>
        <v>0</v>
      </c>
      <c r="AF152" s="276">
        <f t="shared" si="4"/>
        <v>198</v>
      </c>
      <c r="AG152" s="279" t="s">
        <v>672</v>
      </c>
    </row>
    <row r="153" spans="1:33" s="185" customFormat="1" ht="15">
      <c r="A153" s="197">
        <f>THKLQT!A153</f>
        <v>207</v>
      </c>
      <c r="B153" s="273">
        <v>3</v>
      </c>
      <c r="C153" s="271" t="s">
        <v>122</v>
      </c>
      <c r="D153" s="278" t="s">
        <v>153</v>
      </c>
      <c r="E153" s="274">
        <v>2838.04</v>
      </c>
      <c r="F153" s="275">
        <f>VLOOKUP(F$10,'C.II.1.7.3'!$A$105:$I$132,8,0)</f>
        <v>0</v>
      </c>
      <c r="G153" s="275">
        <f>VLOOKUP(G$10,'C.II.1.7.3'!$A$105:$I$132,8,0)</f>
        <v>0</v>
      </c>
      <c r="H153" s="275">
        <f>VLOOKUP(H$10,'C.II.1.7.3'!$A$105:$I$132,8,0)</f>
        <v>0</v>
      </c>
      <c r="I153" s="275">
        <f>VLOOKUP(I$10,'C.II.1.7.3'!$A$105:$I$132,8,0)</f>
        <v>0</v>
      </c>
      <c r="J153" s="275">
        <f>VLOOKUP(J$10,'C.II.1.7.3'!$A$105:$I$132,8,0)</f>
        <v>0</v>
      </c>
      <c r="K153" s="275">
        <f>VLOOKUP(K$10,'C.II.1.7.3'!$A$105:$I$132,8,0)</f>
        <v>0</v>
      </c>
      <c r="L153" s="275">
        <f>VLOOKUP(L$10,'C.II.1.7.3'!$A$105:$I$132,8,0)</f>
        <v>0</v>
      </c>
      <c r="M153" s="275">
        <f>VLOOKUP(M$10,'C.II.1.7.3'!$A$105:$I$132,8,0)</f>
        <v>0</v>
      </c>
      <c r="N153" s="275">
        <f>VLOOKUP(N$10,'C.II.1.7.3'!$A$105:$I$132,8,0)</f>
        <v>0</v>
      </c>
      <c r="O153" s="275">
        <f>VLOOKUP(O$10,'C.II.1.7.3'!$A$105:$I$132,8,0)</f>
        <v>0</v>
      </c>
      <c r="P153" s="275">
        <f>VLOOKUP(P$10,'C.II.1.7.3'!$A$105:$I$132,8,0)</f>
        <v>0</v>
      </c>
      <c r="Q153" s="275">
        <f>VLOOKUP(Q$10,'C.II.1.7.3'!$A$105:$I$132,8,0)</f>
        <v>0</v>
      </c>
      <c r="R153" s="275">
        <f>VLOOKUP(R$10,'C.II.1.7.3'!$A$105:$I$132,8,0)</f>
        <v>0</v>
      </c>
      <c r="S153" s="275">
        <f>VLOOKUP(S$10,'C.II.1.7.3'!$A$105:$I$132,8,0)</f>
        <v>0</v>
      </c>
      <c r="T153" s="275">
        <f>VLOOKUP(T$10,'C.II.1.7.3'!$A$105:$I$132,8,0)</f>
        <v>2014.116</v>
      </c>
      <c r="U153" s="275">
        <f>VLOOKUP(U$10,'C.II.1.7.3'!$A$105:$I$132,8,0)</f>
        <v>1453.2139999999999</v>
      </c>
      <c r="V153" s="275">
        <f>VLOOKUP(V$10,'C.II.1.7.3'!$A$105:$I$132,8,0)</f>
        <v>0</v>
      </c>
      <c r="W153" s="275">
        <f>VLOOKUP(W$10,'C.II.1.7.3'!$A$105:$I$132,8,0)</f>
        <v>0</v>
      </c>
      <c r="X153" s="275">
        <f>VLOOKUP(X$10,'C.II.1.7.3'!$A$105:$I$132,8,0)</f>
        <v>0</v>
      </c>
      <c r="Y153" s="275">
        <f>VLOOKUP(Y$10,'C.II.1.7.3'!$A$105:$I$132,8,0)</f>
        <v>0</v>
      </c>
      <c r="Z153" s="275">
        <f>VLOOKUP(Z$10,'C.II.1.7.3'!$A$105:$I$132,8,0)</f>
        <v>0</v>
      </c>
      <c r="AA153" s="275">
        <f>VLOOKUP(AA$10,'C.II.1.7.3'!$A$105:$I$132,8,0)</f>
        <v>0</v>
      </c>
      <c r="AB153" s="275">
        <f>VLOOKUP(AB$10,'C.II.1.7.3'!$A$105:$I$132,8,0)</f>
        <v>0</v>
      </c>
      <c r="AC153" s="275">
        <f>VLOOKUP(AC$10,'C.II.1.7.3'!$A$105:$I$132,8,0)</f>
        <v>0</v>
      </c>
      <c r="AD153" s="275">
        <f>VLOOKUP(AD$10,'C.II.1.7.3'!$A$105:$I$132,8,0)</f>
        <v>0</v>
      </c>
      <c r="AE153" s="275">
        <f>VLOOKUP(AE$10,'C.II.1.7.3'!$A$105:$I$134,8,0)</f>
        <v>0</v>
      </c>
      <c r="AF153" s="276">
        <f t="shared" si="4"/>
        <v>3467.33</v>
      </c>
      <c r="AG153" s="279" t="s">
        <v>628</v>
      </c>
    </row>
    <row r="154" spans="1:33" s="185" customFormat="1" ht="15">
      <c r="A154" s="197">
        <f>THKLQT!A154</f>
        <v>208</v>
      </c>
      <c r="B154" s="273">
        <v>4</v>
      </c>
      <c r="C154" s="271" t="s">
        <v>300</v>
      </c>
      <c r="D154" s="273" t="s">
        <v>7</v>
      </c>
      <c r="E154" s="274">
        <v>255.36</v>
      </c>
      <c r="F154" s="275">
        <f>VLOOKUP(F$10,'C.II.1.7.4'!$A$37:$I$64,8,0)</f>
        <v>0</v>
      </c>
      <c r="G154" s="275">
        <f>VLOOKUP(G$10,'C.II.1.7.4'!$A$37:$I$64,8,0)</f>
        <v>0</v>
      </c>
      <c r="H154" s="275">
        <f>VLOOKUP(H$10,'C.II.1.7.4'!$A$37:$I$64,8,0)</f>
        <v>0</v>
      </c>
      <c r="I154" s="275">
        <f>VLOOKUP(I$10,'C.II.1.7.4'!$A$37:$I$64,8,0)</f>
        <v>0</v>
      </c>
      <c r="J154" s="275">
        <f>VLOOKUP(J$10,'C.II.1.7.4'!$A$37:$I$64,8,0)</f>
        <v>0</v>
      </c>
      <c r="K154" s="275">
        <f>VLOOKUP(K$10,'C.II.1.7.4'!$A$37:$I$64,8,0)</f>
        <v>0</v>
      </c>
      <c r="L154" s="275">
        <f>VLOOKUP(L$10,'C.II.1.7.4'!$A$37:$I$64,8,0)</f>
        <v>0</v>
      </c>
      <c r="M154" s="275">
        <f>VLOOKUP(M$10,'C.II.1.7.4'!$A$37:$I$64,8,0)</f>
        <v>0</v>
      </c>
      <c r="N154" s="275">
        <f>VLOOKUP(N$10,'C.II.1.7.4'!$A$37:$I$64,8,0)</f>
        <v>0</v>
      </c>
      <c r="O154" s="275">
        <f>VLOOKUP(O$10,'C.II.1.7.4'!$A$37:$I$64,8,0)</f>
        <v>0</v>
      </c>
      <c r="P154" s="275">
        <f>VLOOKUP(P$10,'C.II.1.7.4'!$A$37:$I$64,8,0)</f>
        <v>0</v>
      </c>
      <c r="Q154" s="275">
        <f>VLOOKUP(Q$10,'C.II.1.7.4'!$A$37:$I$64,8,0)</f>
        <v>0</v>
      </c>
      <c r="R154" s="275">
        <f>VLOOKUP(R$10,'C.II.1.7.4'!$A$37:$I$64,8,0)</f>
        <v>0</v>
      </c>
      <c r="S154" s="275">
        <f>VLOOKUP(S$10,'C.II.1.7.4'!$A$37:$I$64,8,0)</f>
        <v>0</v>
      </c>
      <c r="T154" s="275">
        <f>VLOOKUP(T$10,'C.II.1.7.4'!$A$37:$I$64,8,0)</f>
        <v>0</v>
      </c>
      <c r="U154" s="275">
        <f>VLOOKUP(U$10,'C.II.1.7.4'!$A$37:$I$64,8,0)</f>
        <v>0</v>
      </c>
      <c r="V154" s="275">
        <f>VLOOKUP(V$10,'C.II.1.7.4'!$A$37:$I$64,8,0)</f>
        <v>150.09051599993694</v>
      </c>
      <c r="W154" s="275">
        <f>VLOOKUP(W$10,'C.II.1.7.4'!$A$37:$I$64,8,0)</f>
        <v>0</v>
      </c>
      <c r="X154" s="275">
        <f>VLOOKUP(X$10,'C.II.1.7.4'!$A$37:$I$64,8,0)</f>
        <v>0</v>
      </c>
      <c r="Y154" s="275">
        <f>VLOOKUP(Y$10,'C.II.1.7.4'!$A$37:$I$64,8,0)</f>
        <v>0</v>
      </c>
      <c r="Z154" s="275">
        <f>VLOOKUP(Z$10,'C.II.1.7.4'!$A$37:$I$64,8,0)</f>
        <v>0</v>
      </c>
      <c r="AA154" s="275">
        <f>VLOOKUP(AA$10,'C.II.1.7.4'!$A$37:$I$64,8,0)</f>
        <v>0</v>
      </c>
      <c r="AB154" s="275">
        <f>VLOOKUP(AB$10,'C.II.1.7.4'!$A$37:$I$64,8,0)</f>
        <v>0</v>
      </c>
      <c r="AC154" s="275">
        <f>VLOOKUP(AC$10,'C.II.1.7.4'!$A$37:$I$64,8,0)</f>
        <v>0</v>
      </c>
      <c r="AD154" s="275">
        <f>VLOOKUP(AD$10,'C.II.1.7.4'!$A$37:$I$64,8,0)</f>
        <v>0</v>
      </c>
      <c r="AE154" s="275">
        <f>VLOOKUP(AE$10,'C.II.1.7.4'!$A$37:$I$66,8,0)</f>
        <v>0</v>
      </c>
      <c r="AF154" s="276">
        <f t="shared" si="4"/>
        <v>150.09</v>
      </c>
      <c r="AG154" s="279" t="s">
        <v>629</v>
      </c>
    </row>
    <row r="155" spans="1:33" s="185" customFormat="1" ht="15">
      <c r="A155" s="197">
        <f>THKLQT!A155</f>
        <v>209</v>
      </c>
      <c r="B155" s="273">
        <v>5</v>
      </c>
      <c r="C155" s="271" t="s">
        <v>301</v>
      </c>
      <c r="D155" s="273" t="s">
        <v>7</v>
      </c>
      <c r="E155" s="274">
        <v>5975.28</v>
      </c>
      <c r="F155" s="275">
        <f>VLOOKUP(F$10,'C.II.1.7.5'!$A$152:$I$180,8,0)</f>
        <v>0</v>
      </c>
      <c r="G155" s="275">
        <f>VLOOKUP(G$10,'C.II.1.7.5'!$A$152:$I$180,8,0)</f>
        <v>0</v>
      </c>
      <c r="H155" s="275">
        <f>VLOOKUP(H$10,'C.II.1.7.5'!$A$152:$I$180,8,0)</f>
        <v>0</v>
      </c>
      <c r="I155" s="275">
        <f>VLOOKUP(I$10,'C.II.1.7.5'!$A$152:$I$180,8,0)</f>
        <v>0</v>
      </c>
      <c r="J155" s="275">
        <f>VLOOKUP(J$10,'C.II.1.7.5'!$A$152:$I$180,8,0)</f>
        <v>0</v>
      </c>
      <c r="K155" s="275">
        <f>VLOOKUP(K$10,'C.II.1.7.5'!$A$152:$I$180,8,0)</f>
        <v>0</v>
      </c>
      <c r="L155" s="275">
        <f>VLOOKUP(L$10,'C.II.1.7.5'!$A$152:$I$180,8,0)</f>
        <v>0</v>
      </c>
      <c r="M155" s="275">
        <f>VLOOKUP(M$10,'C.II.1.7.5'!$A$152:$I$180,8,0)</f>
        <v>0</v>
      </c>
      <c r="N155" s="275">
        <f>VLOOKUP(N$10,'C.II.1.7.5'!$A$152:$I$180,8,0)</f>
        <v>0</v>
      </c>
      <c r="O155" s="275">
        <f>VLOOKUP(O$10,'C.II.1.7.5'!$A$152:$I$180,8,0)</f>
        <v>0</v>
      </c>
      <c r="P155" s="275">
        <f>VLOOKUP(P$10,'C.II.1.7.5'!$A$152:$I$180,8,0)</f>
        <v>0</v>
      </c>
      <c r="Q155" s="275">
        <f>VLOOKUP(Q$10,'C.II.1.7.5'!$A$152:$I$180,8,0)</f>
        <v>0</v>
      </c>
      <c r="R155" s="275">
        <f>VLOOKUP(R$10,'C.II.1.7.5'!$A$152:$I$180,8,0)</f>
        <v>0</v>
      </c>
      <c r="S155" s="275">
        <f>VLOOKUP(S$10,'C.II.1.7.5'!$A$152:$I$180,8,0)</f>
        <v>0</v>
      </c>
      <c r="T155" s="275">
        <f>VLOOKUP(T$10,'C.II.1.7.5'!$A$152:$I$180,8,0)</f>
        <v>539.85799999999983</v>
      </c>
      <c r="U155" s="275">
        <f>VLOOKUP(U$10,'C.II.1.7.5'!$A$152:$I$180,8,0)</f>
        <v>1220.4899999999998</v>
      </c>
      <c r="V155" s="275">
        <f>VLOOKUP(V$10,'C.II.1.7.5'!$A$152:$I$180,8,0)</f>
        <v>1896.4499999999998</v>
      </c>
      <c r="W155" s="275">
        <f>VLOOKUP(W$10,'C.II.1.7.5'!$A$152:$I$180,8,0)</f>
        <v>2066.6419999999998</v>
      </c>
      <c r="X155" s="275">
        <f>VLOOKUP(X$10,'C.II.1.7.5'!$A$152:$I$180,8,0)</f>
        <v>249.70000000000164</v>
      </c>
      <c r="Y155" s="275">
        <f>VLOOKUP(Y$10,'C.II.1.7.5'!$A$152:$I$180,8,0)</f>
        <v>0</v>
      </c>
      <c r="Z155" s="275">
        <f>VLOOKUP(Z$10,'C.II.1.7.5'!$A$152:$I$180,8,0)</f>
        <v>0</v>
      </c>
      <c r="AA155" s="275">
        <f>VLOOKUP(AA$10,'C.II.1.7.5'!$A$152:$I$180,8,0)</f>
        <v>0</v>
      </c>
      <c r="AB155" s="275">
        <f>VLOOKUP(AB$10,'C.II.1.7.5'!$A$152:$I$180,8,0)</f>
        <v>0</v>
      </c>
      <c r="AC155" s="275">
        <f>VLOOKUP(AC$10,'C.II.1.7.5'!$A$152:$I$180,8,0)</f>
        <v>0</v>
      </c>
      <c r="AD155" s="275">
        <f>VLOOKUP(AD$10,'C.II.1.7.5'!$A$152:$I$180,8,0)</f>
        <v>0</v>
      </c>
      <c r="AE155" s="275">
        <f>VLOOKUP(AE$10,'C.II.1.7.5'!$A$152:$I$180,8,0)</f>
        <v>0</v>
      </c>
      <c r="AF155" s="276">
        <f t="shared" si="4"/>
        <v>5973.14</v>
      </c>
      <c r="AG155" s="279" t="s">
        <v>630</v>
      </c>
    </row>
    <row r="156" spans="1:33" s="185" customFormat="1" ht="15">
      <c r="A156" s="197">
        <f>THKLQT!A156</f>
        <v>210</v>
      </c>
      <c r="B156" s="273">
        <v>6</v>
      </c>
      <c r="C156" s="271" t="s">
        <v>302</v>
      </c>
      <c r="D156" s="273" t="s">
        <v>7</v>
      </c>
      <c r="E156" s="274">
        <v>358.56</v>
      </c>
      <c r="F156" s="275">
        <f>VLOOKUP(F$10,'C.II.1.7.6'!$A$44:$I$72,8,0)</f>
        <v>0</v>
      </c>
      <c r="G156" s="275">
        <f>VLOOKUP(G$10,'C.II.1.7.6'!$A$44:$I$72,8,0)</f>
        <v>0</v>
      </c>
      <c r="H156" s="275">
        <f>VLOOKUP(H$10,'C.II.1.7.6'!$A$44:$I$72,8,0)</f>
        <v>0</v>
      </c>
      <c r="I156" s="275">
        <f>VLOOKUP(I$10,'C.II.1.7.6'!$A$44:$I$72,8,0)</f>
        <v>0</v>
      </c>
      <c r="J156" s="275">
        <f>VLOOKUP(J$10,'C.II.1.7.6'!$A$44:$I$72,8,0)</f>
        <v>0</v>
      </c>
      <c r="K156" s="275">
        <f>VLOOKUP(K$10,'C.II.1.7.6'!$A$44:$I$72,8,0)</f>
        <v>0</v>
      </c>
      <c r="L156" s="275">
        <f>VLOOKUP(L$10,'C.II.1.7.6'!$A$44:$I$72,8,0)</f>
        <v>0</v>
      </c>
      <c r="M156" s="275">
        <f>VLOOKUP(M$10,'C.II.1.7.6'!$A$44:$I$72,8,0)</f>
        <v>0</v>
      </c>
      <c r="N156" s="275">
        <f>VLOOKUP(N$10,'C.II.1.7.6'!$A$44:$I$72,8,0)</f>
        <v>0</v>
      </c>
      <c r="O156" s="275">
        <f>VLOOKUP(O$10,'C.II.1.7.6'!$A$44:$I$72,8,0)</f>
        <v>0</v>
      </c>
      <c r="P156" s="275">
        <f>VLOOKUP(P$10,'C.II.1.7.6'!$A$44:$I$72,8,0)</f>
        <v>0</v>
      </c>
      <c r="Q156" s="275">
        <f>VLOOKUP(Q$10,'C.II.1.7.6'!$A$44:$I$72,8,0)</f>
        <v>0</v>
      </c>
      <c r="R156" s="275">
        <f>VLOOKUP(R$10,'C.II.1.7.6'!$A$44:$I$72,8,0)</f>
        <v>0</v>
      </c>
      <c r="S156" s="275">
        <f>VLOOKUP(S$10,'C.II.1.7.6'!$A$44:$I$72,8,0)</f>
        <v>0</v>
      </c>
      <c r="T156" s="275">
        <f>VLOOKUP(T$10,'C.II.1.7.6'!$A$44:$I$72,8,0)</f>
        <v>0</v>
      </c>
      <c r="U156" s="275">
        <f>VLOOKUP(U$10,'C.II.1.7.6'!$A$44:$I$72,8,0)</f>
        <v>0</v>
      </c>
      <c r="V156" s="275">
        <f>VLOOKUP(V$10,'C.II.1.7.6'!$A$44:$I$72,8,0)</f>
        <v>0</v>
      </c>
      <c r="W156" s="275">
        <f>VLOOKUP(W$10,'C.II.1.7.6'!$A$44:$I$72,8,0)</f>
        <v>0</v>
      </c>
      <c r="X156" s="275">
        <f>VLOOKUP(X$10,'C.II.1.7.6'!$A$44:$I$72,8,0)</f>
        <v>639.30999999999995</v>
      </c>
      <c r="Y156" s="275">
        <f>VLOOKUP(Y$10,'C.II.1.7.6'!$A$44:$I$72,8,0)</f>
        <v>0</v>
      </c>
      <c r="Z156" s="275">
        <f>VLOOKUP(Z$10,'C.II.1.7.6'!$A$44:$I$72,8,0)</f>
        <v>0</v>
      </c>
      <c r="AA156" s="275">
        <f>VLOOKUP(AA$10,'C.II.1.7.6'!$A$44:$I$72,8,0)</f>
        <v>0</v>
      </c>
      <c r="AB156" s="275">
        <f>VLOOKUP(AB$10,'C.II.1.7.6'!$A$44:$I$72,8,0)</f>
        <v>0</v>
      </c>
      <c r="AC156" s="275">
        <f>VLOOKUP(AC$10,'C.II.1.7.6'!$A$44:$I$72,8,0)</f>
        <v>0</v>
      </c>
      <c r="AD156" s="275">
        <f>VLOOKUP(AD$10,'C.II.1.7.6'!$A$44:$I$72,8,0)</f>
        <v>0</v>
      </c>
      <c r="AE156" s="275">
        <f>VLOOKUP(AE$10,'C.II.1.7.6'!$A$44:$I$72,8,0)</f>
        <v>0</v>
      </c>
      <c r="AF156" s="276">
        <f t="shared" si="4"/>
        <v>639.30999999999995</v>
      </c>
      <c r="AG156" s="279" t="s">
        <v>631</v>
      </c>
    </row>
    <row r="157" spans="1:33" s="185" customFormat="1" ht="15" hidden="1">
      <c r="A157" s="197">
        <f>THKLQT!A157</f>
        <v>0</v>
      </c>
      <c r="B157" s="242"/>
      <c r="C157" s="243" t="s">
        <v>303</v>
      </c>
      <c r="D157" s="242" t="s">
        <v>7</v>
      </c>
      <c r="E157" s="176">
        <v>0</v>
      </c>
      <c r="F157" s="177"/>
      <c r="G157" s="177"/>
      <c r="H157" s="177"/>
      <c r="I157" s="177"/>
      <c r="J157" s="177"/>
      <c r="K157" s="177"/>
      <c r="L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206">
        <f t="shared" si="4"/>
        <v>0</v>
      </c>
    </row>
    <row r="158" spans="1:33" s="185" customFormat="1" ht="15">
      <c r="A158" s="197">
        <f>THKLQT!A158</f>
        <v>0</v>
      </c>
      <c r="B158" s="239" t="s">
        <v>119</v>
      </c>
      <c r="C158" s="240" t="s">
        <v>206</v>
      </c>
      <c r="D158" s="241" t="s">
        <v>153</v>
      </c>
      <c r="E158" s="176" t="s">
        <v>326</v>
      </c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206">
        <f t="shared" si="4"/>
        <v>0</v>
      </c>
    </row>
    <row r="159" spans="1:33" s="185" customFormat="1" ht="30">
      <c r="A159" s="197">
        <f>THKLQT!A159</f>
        <v>211</v>
      </c>
      <c r="B159" s="242">
        <v>1</v>
      </c>
      <c r="C159" s="256" t="s">
        <v>304</v>
      </c>
      <c r="D159" s="242" t="s">
        <v>234</v>
      </c>
      <c r="E159" s="176">
        <v>54.67</v>
      </c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>
        <f>'C.II.2.1'!H48</f>
        <v>54.67</v>
      </c>
      <c r="R159" s="177">
        <f>R161</f>
        <v>0</v>
      </c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206">
        <f t="shared" si="4"/>
        <v>54.67</v>
      </c>
    </row>
    <row r="160" spans="1:33" s="185" customFormat="1" ht="30">
      <c r="A160" s="197">
        <f>THKLQT!A160</f>
        <v>212</v>
      </c>
      <c r="B160" s="242">
        <f>B159+1</f>
        <v>2</v>
      </c>
      <c r="C160" s="256" t="s">
        <v>305</v>
      </c>
      <c r="D160" s="242" t="s">
        <v>234</v>
      </c>
      <c r="E160" s="176">
        <v>54.67</v>
      </c>
      <c r="F160" s="177"/>
      <c r="G160" s="177"/>
      <c r="H160" s="177"/>
      <c r="I160" s="177"/>
      <c r="J160" s="177"/>
      <c r="K160" s="177"/>
      <c r="L160" s="177"/>
      <c r="M160" s="177"/>
      <c r="N160" s="177"/>
      <c r="O160" s="177"/>
      <c r="P160" s="177"/>
      <c r="Q160" s="177"/>
      <c r="R160" s="177">
        <f>R159</f>
        <v>0</v>
      </c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206">
        <f t="shared" si="4"/>
        <v>0</v>
      </c>
    </row>
    <row r="161" spans="1:33" s="185" customFormat="1" ht="15">
      <c r="A161" s="197">
        <f>THKLQT!A161</f>
        <v>213</v>
      </c>
      <c r="B161" s="273">
        <f t="shared" ref="B161:B178" si="6">B160+1</f>
        <v>3</v>
      </c>
      <c r="C161" s="271" t="s">
        <v>306</v>
      </c>
      <c r="D161" s="273" t="s">
        <v>234</v>
      </c>
      <c r="E161" s="274">
        <v>98.8</v>
      </c>
      <c r="F161" s="275">
        <f>VLOOKUP(F$10,'C.II.2.3'!$A$41:$I$68,8,0)</f>
        <v>0</v>
      </c>
      <c r="G161" s="275">
        <f>VLOOKUP(G$10,'C.II.2.3'!$A$41:$I$68,8,0)</f>
        <v>0</v>
      </c>
      <c r="H161" s="275">
        <f>VLOOKUP(H$10,'C.II.2.3'!$A$41:$I$68,8,0)</f>
        <v>0</v>
      </c>
      <c r="I161" s="275">
        <f>VLOOKUP(I$10,'C.II.2.3'!$A$41:$I$68,8,0)</f>
        <v>0</v>
      </c>
      <c r="J161" s="275">
        <f>VLOOKUP(J$10,'C.II.2.3'!$A$41:$I$68,8,0)</f>
        <v>0</v>
      </c>
      <c r="K161" s="275">
        <f>VLOOKUP(K$10,'C.II.2.3'!$A$41:$I$68,8,0)</f>
        <v>0</v>
      </c>
      <c r="L161" s="275">
        <f>VLOOKUP(L$10,'C.II.2.3'!$A$41:$I$68,8,0)</f>
        <v>0</v>
      </c>
      <c r="M161" s="275">
        <f>VLOOKUP(M$10,'C.II.2.3'!$A$41:$I$68,8,0)</f>
        <v>0</v>
      </c>
      <c r="N161" s="275">
        <f>VLOOKUP(N$10,'C.II.2.3'!$A$41:$I$68,8,0)</f>
        <v>0</v>
      </c>
      <c r="O161" s="275">
        <f>VLOOKUP(O$10,'C.II.2.3'!$A$41:$I$68,8,0)</f>
        <v>0</v>
      </c>
      <c r="P161" s="275">
        <f>VLOOKUP(P$10,'C.II.2.3'!$A$41:$I$68,8,0)</f>
        <v>0</v>
      </c>
      <c r="Q161" s="275">
        <f>VLOOKUP(Q$10,'C.II.2.3'!$A$41:$I$68,8,0)</f>
        <v>17.93</v>
      </c>
      <c r="R161" s="275">
        <f>VLOOKUP(R$10,'C.II.2.3'!$A$41:$I$68,8,0)</f>
        <v>0</v>
      </c>
      <c r="S161" s="275">
        <f>VLOOKUP(S$10,'C.II.2.3'!$A$41:$I$68,8,0)</f>
        <v>57.39</v>
      </c>
      <c r="T161" s="275">
        <f>VLOOKUP(T$10,'C.II.2.3'!$A$41:$I$68,8,0)</f>
        <v>39.46</v>
      </c>
      <c r="U161" s="275">
        <f>VLOOKUP(U$10,'C.II.2.3'!$A$41:$I$68,8,0)</f>
        <v>0</v>
      </c>
      <c r="V161" s="275">
        <f>VLOOKUP(V$10,'C.II.2.3'!$A$41:$I$68,8,0)</f>
        <v>0</v>
      </c>
      <c r="W161" s="275">
        <f>VLOOKUP(W$10,'C.II.2.3'!$A$41:$I$68,8,0)</f>
        <v>0</v>
      </c>
      <c r="X161" s="275">
        <f>VLOOKUP(X$10,'C.II.2.3'!$A$41:$I$68,8,0)</f>
        <v>0</v>
      </c>
      <c r="Y161" s="275">
        <f>VLOOKUP(Y$10,'C.II.2.3'!$A$41:$I$68,8,0)</f>
        <v>0</v>
      </c>
      <c r="Z161" s="275">
        <f>VLOOKUP(Z$10,'C.II.2.3'!$A$41:$I$68,8,0)</f>
        <v>0</v>
      </c>
      <c r="AA161" s="275">
        <f>VLOOKUP(AA$10,'C.II.2.3'!$A$41:$I$68,8,0)</f>
        <v>0</v>
      </c>
      <c r="AB161" s="275">
        <f>VLOOKUP(AB$10,'C.II.2.3'!$A$41:$I$68,8,0)</f>
        <v>0</v>
      </c>
      <c r="AC161" s="275">
        <f>VLOOKUP(AC$10,'C.II.2.3'!$A$41:$I$68,8,0)</f>
        <v>0</v>
      </c>
      <c r="AD161" s="275">
        <f>VLOOKUP(AD$10,'C.II.2.3'!$A$41:$I$68,8,0)</f>
        <v>0</v>
      </c>
      <c r="AE161" s="275">
        <f>VLOOKUP(AE$10,'C.II.2.3'!$A$41:$I$70,8,0)</f>
        <v>0</v>
      </c>
      <c r="AF161" s="276">
        <f t="shared" si="4"/>
        <v>114.78</v>
      </c>
      <c r="AG161" s="279" t="s">
        <v>632</v>
      </c>
    </row>
    <row r="162" spans="1:33" s="185" customFormat="1" ht="15">
      <c r="A162" s="197">
        <f>THKLQT!A162</f>
        <v>214</v>
      </c>
      <c r="B162" s="273">
        <f t="shared" si="6"/>
        <v>4</v>
      </c>
      <c r="C162" s="271" t="s">
        <v>307</v>
      </c>
      <c r="D162" s="273" t="s">
        <v>7</v>
      </c>
      <c r="E162" s="274">
        <v>562.4</v>
      </c>
      <c r="F162" s="275">
        <f>VLOOKUP(F$10,'C.II.2.4'!$A$37:$I$64,8,0)</f>
        <v>0</v>
      </c>
      <c r="G162" s="275">
        <f>VLOOKUP(G$10,'C.II.2.4'!$A$37:$I$64,8,0)</f>
        <v>0</v>
      </c>
      <c r="H162" s="275">
        <f>VLOOKUP(H$10,'C.II.2.4'!$A$37:$I$64,8,0)</f>
        <v>0</v>
      </c>
      <c r="I162" s="275">
        <f>VLOOKUP(I$10,'C.II.2.4'!$A$37:$I$64,8,0)</f>
        <v>0</v>
      </c>
      <c r="J162" s="275">
        <f>VLOOKUP(J$10,'C.II.2.4'!$A$37:$I$64,8,0)</f>
        <v>0</v>
      </c>
      <c r="K162" s="275">
        <f>VLOOKUP(K$10,'C.II.2.4'!$A$37:$I$64,8,0)</f>
        <v>0</v>
      </c>
      <c r="L162" s="275">
        <f>VLOOKUP(L$10,'C.II.2.4'!$A$37:$I$64,8,0)</f>
        <v>0</v>
      </c>
      <c r="M162" s="275">
        <f>VLOOKUP(M$10,'C.II.2.4'!$A$37:$I$64,8,0)</f>
        <v>0</v>
      </c>
      <c r="N162" s="275">
        <f>VLOOKUP(N$10,'C.II.2.4'!$A$37:$I$64,8,0)</f>
        <v>0</v>
      </c>
      <c r="O162" s="275">
        <f>VLOOKUP(O$10,'C.II.2.4'!$A$37:$I$64,8,0)</f>
        <v>0</v>
      </c>
      <c r="P162" s="275">
        <f>VLOOKUP(P$10,'C.II.2.4'!$A$37:$I$64,8,0)</f>
        <v>0</v>
      </c>
      <c r="Q162" s="275">
        <f>VLOOKUP(Q$10,'C.II.2.4'!$A$37:$I$64,8,0)</f>
        <v>0</v>
      </c>
      <c r="R162" s="275">
        <f>VLOOKUP(R$10,'C.II.2.4'!$A$37:$I$64,8,0)</f>
        <v>288.60000000000002</v>
      </c>
      <c r="S162" s="275">
        <f>VLOOKUP(S$10,'C.II.2.4'!$A$37:$I$64,8,0)</f>
        <v>0</v>
      </c>
      <c r="T162" s="275">
        <f>VLOOKUP(T$10,'C.II.2.4'!$A$37:$I$64,8,0)</f>
        <v>0</v>
      </c>
      <c r="U162" s="275">
        <f>VLOOKUP(U$10,'C.II.2.4'!$A$37:$I$64,8,0)</f>
        <v>0</v>
      </c>
      <c r="V162" s="275">
        <f>VLOOKUP(V$10,'C.II.2.4'!$A$37:$I$64,8,0)</f>
        <v>0</v>
      </c>
      <c r="W162" s="275">
        <f>VLOOKUP(W$10,'C.II.2.4'!$A$37:$I$64,8,0)</f>
        <v>0</v>
      </c>
      <c r="X162" s="275">
        <f>VLOOKUP(X$10,'C.II.2.4'!$A$37:$I$64,8,0)</f>
        <v>0</v>
      </c>
      <c r="Y162" s="275">
        <f>VLOOKUP(Y$10,'C.II.2.4'!$A$37:$I$64,8,0)</f>
        <v>0</v>
      </c>
      <c r="Z162" s="275">
        <f>VLOOKUP(Z$10,'C.II.2.4'!$A$37:$I$64,8,0)</f>
        <v>0</v>
      </c>
      <c r="AA162" s="275">
        <f>VLOOKUP(AA$10,'C.II.2.4'!$A$37:$I$64,8,0)</f>
        <v>0</v>
      </c>
      <c r="AB162" s="275">
        <f>VLOOKUP(AB$10,'C.II.2.4'!$A$37:$I$64,8,0)</f>
        <v>0</v>
      </c>
      <c r="AC162" s="275">
        <f>VLOOKUP(AC$10,'C.II.2.4'!$A$37:$I$64,8,0)</f>
        <v>0</v>
      </c>
      <c r="AD162" s="275">
        <f>VLOOKUP(AD$10,'C.II.2.4'!$A$37:$I$64,8,0)</f>
        <v>0</v>
      </c>
      <c r="AE162" s="275">
        <f>VLOOKUP(AE$10,'C.II.2.4'!$A$37:$I$66,8,0)</f>
        <v>0</v>
      </c>
      <c r="AF162" s="276">
        <f t="shared" si="4"/>
        <v>288.60000000000002</v>
      </c>
      <c r="AG162" s="279" t="s">
        <v>633</v>
      </c>
    </row>
    <row r="163" spans="1:33" s="185" customFormat="1" ht="15">
      <c r="A163" s="197">
        <f>THKLQT!A163</f>
        <v>215</v>
      </c>
      <c r="B163" s="273">
        <f t="shared" si="6"/>
        <v>5</v>
      </c>
      <c r="C163" s="271" t="s">
        <v>308</v>
      </c>
      <c r="D163" s="273" t="s">
        <v>7</v>
      </c>
      <c r="E163" s="274">
        <v>2661.73</v>
      </c>
      <c r="F163" s="275">
        <f>VLOOKUP(F$10,'C.II.2.5'!$A$37:$I$64,8,0)</f>
        <v>0</v>
      </c>
      <c r="G163" s="275">
        <f>VLOOKUP(G$10,'C.II.2.5'!$A$37:$I$64,8,0)</f>
        <v>0</v>
      </c>
      <c r="H163" s="275">
        <f>VLOOKUP(H$10,'C.II.2.5'!$A$37:$I$64,8,0)</f>
        <v>0</v>
      </c>
      <c r="I163" s="275">
        <f>VLOOKUP(I$10,'C.II.2.5'!$A$37:$I$64,8,0)</f>
        <v>0</v>
      </c>
      <c r="J163" s="275">
        <f>VLOOKUP(J$10,'C.II.2.5'!$A$37:$I$64,8,0)</f>
        <v>0</v>
      </c>
      <c r="K163" s="275">
        <f>VLOOKUP(K$10,'C.II.2.5'!$A$37:$I$64,8,0)</f>
        <v>0</v>
      </c>
      <c r="L163" s="275">
        <f>VLOOKUP(L$10,'C.II.2.5'!$A$37:$I$64,8,0)</f>
        <v>0</v>
      </c>
      <c r="M163" s="275">
        <f>VLOOKUP(M$10,'C.II.2.5'!$A$37:$I$64,8,0)</f>
        <v>0</v>
      </c>
      <c r="N163" s="275">
        <f>VLOOKUP(N$10,'C.II.2.5'!$A$37:$I$64,8,0)</f>
        <v>0</v>
      </c>
      <c r="O163" s="275">
        <f>VLOOKUP(O$10,'C.II.2.5'!$A$37:$I$64,8,0)</f>
        <v>0</v>
      </c>
      <c r="P163" s="275">
        <f>VLOOKUP(P$10,'C.II.2.5'!$A$37:$I$64,8,0)</f>
        <v>0</v>
      </c>
      <c r="Q163" s="275">
        <f>VLOOKUP(Q$10,'C.II.2.5'!$A$37:$I$64,8,0)</f>
        <v>0</v>
      </c>
      <c r="R163" s="275">
        <f>VLOOKUP(R$10,'C.II.2.5'!$A$37:$I$64,8,0)</f>
        <v>3917.34</v>
      </c>
      <c r="S163" s="275">
        <f>VLOOKUP(S$10,'C.II.2.5'!$A$37:$I$64,8,0)</f>
        <v>1166.98</v>
      </c>
      <c r="T163" s="275">
        <f>VLOOKUP(T$10,'C.II.2.5'!$A$37:$I$64,8,0)</f>
        <v>0</v>
      </c>
      <c r="U163" s="275">
        <f>VLOOKUP(U$10,'C.II.2.5'!$A$37:$I$64,8,0)</f>
        <v>0</v>
      </c>
      <c r="V163" s="275">
        <f>VLOOKUP(V$10,'C.II.2.5'!$A$37:$I$64,8,0)</f>
        <v>0</v>
      </c>
      <c r="W163" s="275">
        <f>VLOOKUP(W$10,'C.II.2.5'!$A$37:$I$64,8,0)</f>
        <v>0</v>
      </c>
      <c r="X163" s="275">
        <f>VLOOKUP(X$10,'C.II.2.5'!$A$37:$I$64,8,0)</f>
        <v>0</v>
      </c>
      <c r="Y163" s="275">
        <f>VLOOKUP(Y$10,'C.II.2.5'!$A$37:$I$64,8,0)</f>
        <v>0</v>
      </c>
      <c r="Z163" s="275">
        <f>VLOOKUP(Z$10,'C.II.2.5'!$A$37:$I$64,8,0)</f>
        <v>0</v>
      </c>
      <c r="AA163" s="275">
        <f>VLOOKUP(AA$10,'C.II.2.5'!$A$37:$I$64,8,0)</f>
        <v>0</v>
      </c>
      <c r="AB163" s="275">
        <f>VLOOKUP(AB$10,'C.II.2.5'!$A$37:$I$64,8,0)</f>
        <v>0</v>
      </c>
      <c r="AC163" s="275">
        <f>VLOOKUP(AC$10,'C.II.2.5'!$A$37:$I$64,8,0)</f>
        <v>0</v>
      </c>
      <c r="AD163" s="275">
        <f>VLOOKUP(AD$10,'C.II.2.5'!$A$37:$I$64,8,0)</f>
        <v>0</v>
      </c>
      <c r="AE163" s="275">
        <f>VLOOKUP(AE$10,'C.II.2.5'!$A$37:$I$66,8,0)</f>
        <v>0</v>
      </c>
      <c r="AF163" s="276">
        <f t="shared" si="4"/>
        <v>5084.32</v>
      </c>
      <c r="AG163" s="279" t="s">
        <v>634</v>
      </c>
    </row>
    <row r="164" spans="1:33" s="185" customFormat="1" ht="15">
      <c r="A164" s="197">
        <f>THKLQT!A164</f>
        <v>216</v>
      </c>
      <c r="B164" s="242">
        <f t="shared" si="6"/>
        <v>6</v>
      </c>
      <c r="C164" s="256" t="s">
        <v>29</v>
      </c>
      <c r="D164" s="242" t="s">
        <v>7</v>
      </c>
      <c r="E164" s="176">
        <v>205.4</v>
      </c>
      <c r="F164" s="177"/>
      <c r="G164" s="177"/>
      <c r="H164" s="177"/>
      <c r="I164" s="177"/>
      <c r="J164" s="177"/>
      <c r="K164" s="177"/>
      <c r="L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206">
        <f t="shared" ref="AF164:AF181" si="7">ROUND(SUM(F164:AE164),2)</f>
        <v>0</v>
      </c>
    </row>
    <row r="165" spans="1:33" s="185" customFormat="1" ht="15">
      <c r="A165" s="197">
        <f>THKLQT!A165</f>
        <v>217</v>
      </c>
      <c r="B165" s="273">
        <f t="shared" si="6"/>
        <v>7</v>
      </c>
      <c r="C165" s="271" t="s">
        <v>309</v>
      </c>
      <c r="D165" s="273" t="s">
        <v>7</v>
      </c>
      <c r="E165" s="274">
        <v>271.3</v>
      </c>
      <c r="F165" s="275">
        <f>VLOOKUP(F$10,'C.II.2.7'!$A$37:$I$64,8,0)</f>
        <v>0</v>
      </c>
      <c r="G165" s="275">
        <f>VLOOKUP(G$10,'C.II.2.7'!$A$37:$I$64,8,0)</f>
        <v>0</v>
      </c>
      <c r="H165" s="275">
        <f>VLOOKUP(H$10,'C.II.2.7'!$A$37:$I$64,8,0)</f>
        <v>0</v>
      </c>
      <c r="I165" s="275">
        <f>VLOOKUP(I$10,'C.II.2.7'!$A$37:$I$64,8,0)</f>
        <v>0</v>
      </c>
      <c r="J165" s="275">
        <f>VLOOKUP(J$10,'C.II.2.7'!$A$37:$I$64,8,0)</f>
        <v>0</v>
      </c>
      <c r="K165" s="275">
        <f>VLOOKUP(K$10,'C.II.2.7'!$A$37:$I$64,8,0)</f>
        <v>0</v>
      </c>
      <c r="L165" s="275">
        <f>VLOOKUP(L$10,'C.II.2.7'!$A$37:$I$64,8,0)</f>
        <v>0</v>
      </c>
      <c r="M165" s="275">
        <f>VLOOKUP(M$10,'C.II.2.7'!$A$37:$I$64,8,0)</f>
        <v>0</v>
      </c>
      <c r="N165" s="275">
        <f>VLOOKUP(N$10,'C.II.2.7'!$A$37:$I$64,8,0)</f>
        <v>0</v>
      </c>
      <c r="O165" s="275">
        <f>VLOOKUP(O$10,'C.II.2.7'!$A$37:$I$64,8,0)</f>
        <v>0</v>
      </c>
      <c r="P165" s="275">
        <f>VLOOKUP(P$10,'C.II.2.7'!$A$37:$I$64,8,0)</f>
        <v>0</v>
      </c>
      <c r="Q165" s="275">
        <f>VLOOKUP(Q$10,'C.II.2.7'!$A$37:$I$64,8,0)</f>
        <v>0</v>
      </c>
      <c r="R165" s="275">
        <f>VLOOKUP(R$10,'C.II.2.7'!$A$37:$I$64,8,0)</f>
        <v>142.34</v>
      </c>
      <c r="S165" s="275">
        <f>VLOOKUP(S$10,'C.II.2.7'!$A$37:$I$64,8,0)</f>
        <v>0</v>
      </c>
      <c r="T165" s="275">
        <f>VLOOKUP(T$10,'C.II.2.7'!$A$37:$I$64,8,0)</f>
        <v>0</v>
      </c>
      <c r="U165" s="275">
        <f>VLOOKUP(U$10,'C.II.2.7'!$A$37:$I$64,8,0)</f>
        <v>0</v>
      </c>
      <c r="V165" s="275">
        <f>VLOOKUP(V$10,'C.II.2.7'!$A$37:$I$64,8,0)</f>
        <v>0</v>
      </c>
      <c r="W165" s="275">
        <f>VLOOKUP(W$10,'C.II.2.7'!$A$37:$I$64,8,0)</f>
        <v>0</v>
      </c>
      <c r="X165" s="275">
        <f>VLOOKUP(X$10,'C.II.2.7'!$A$37:$I$64,8,0)</f>
        <v>0</v>
      </c>
      <c r="Y165" s="275">
        <f>VLOOKUP(Y$10,'C.II.2.7'!$A$37:$I$64,8,0)</f>
        <v>0</v>
      </c>
      <c r="Z165" s="275">
        <f>VLOOKUP(Z$10,'C.II.2.7'!$A$37:$I$64,8,0)</f>
        <v>0</v>
      </c>
      <c r="AA165" s="275">
        <f>VLOOKUP(AA$10,'C.II.2.7'!$A$37:$I$64,8,0)</f>
        <v>0</v>
      </c>
      <c r="AB165" s="275">
        <f>VLOOKUP(AB$10,'C.II.2.7'!$A$37:$I$64,8,0)</f>
        <v>0</v>
      </c>
      <c r="AC165" s="275">
        <f>VLOOKUP(AC$10,'C.II.2.7'!$A$37:$I$64,8,0)</f>
        <v>0</v>
      </c>
      <c r="AD165" s="275">
        <f>VLOOKUP(AD$10,'C.II.2.7'!$A$37:$I$64,8,0)</f>
        <v>0</v>
      </c>
      <c r="AE165" s="275">
        <f>VLOOKUP(AE$10,'C.II.2.7'!$A$37:$I$66,8,0)</f>
        <v>0</v>
      </c>
      <c r="AF165" s="276">
        <f t="shared" si="7"/>
        <v>142.34</v>
      </c>
      <c r="AG165" s="279" t="s">
        <v>635</v>
      </c>
    </row>
    <row r="166" spans="1:33" s="185" customFormat="1" ht="15">
      <c r="A166" s="197">
        <f>THKLQT!A166</f>
        <v>218</v>
      </c>
      <c r="B166" s="273">
        <f t="shared" si="6"/>
        <v>8</v>
      </c>
      <c r="C166" s="271" t="s">
        <v>123</v>
      </c>
      <c r="D166" s="273" t="s">
        <v>7</v>
      </c>
      <c r="E166" s="274">
        <v>271.3</v>
      </c>
      <c r="F166" s="275">
        <f>VLOOKUP(F$10,'C.II.2.8'!$A$37:$I$64,8,0)</f>
        <v>0</v>
      </c>
      <c r="G166" s="275">
        <f>VLOOKUP(G$10,'C.II.2.8'!$A$37:$I$64,8,0)</f>
        <v>0</v>
      </c>
      <c r="H166" s="275">
        <f>VLOOKUP(H$10,'C.II.2.8'!$A$37:$I$64,8,0)</f>
        <v>0</v>
      </c>
      <c r="I166" s="275">
        <f>VLOOKUP(I$10,'C.II.2.8'!$A$37:$I$64,8,0)</f>
        <v>0</v>
      </c>
      <c r="J166" s="275">
        <f>VLOOKUP(J$10,'C.II.2.8'!$A$37:$I$64,8,0)</f>
        <v>0</v>
      </c>
      <c r="K166" s="275">
        <f>VLOOKUP(K$10,'C.II.2.8'!$A$37:$I$64,8,0)</f>
        <v>0</v>
      </c>
      <c r="L166" s="275">
        <f>VLOOKUP(L$10,'C.II.2.8'!$A$37:$I$64,8,0)</f>
        <v>0</v>
      </c>
      <c r="M166" s="275">
        <f>VLOOKUP(M$10,'C.II.2.8'!$A$37:$I$64,8,0)</f>
        <v>0</v>
      </c>
      <c r="N166" s="275">
        <f>VLOOKUP(N$10,'C.II.2.8'!$A$37:$I$64,8,0)</f>
        <v>0</v>
      </c>
      <c r="O166" s="275">
        <f>VLOOKUP(O$10,'C.II.2.8'!$A$37:$I$64,8,0)</f>
        <v>0</v>
      </c>
      <c r="P166" s="275">
        <f>VLOOKUP(P$10,'C.II.2.8'!$A$37:$I$64,8,0)</f>
        <v>0</v>
      </c>
      <c r="Q166" s="275">
        <f>VLOOKUP(Q$10,'C.II.2.8'!$A$37:$I$64,8,0)</f>
        <v>0</v>
      </c>
      <c r="R166" s="275">
        <f>VLOOKUP(R$10,'C.II.2.8'!$A$37:$I$64,8,0)</f>
        <v>142.34</v>
      </c>
      <c r="S166" s="275">
        <f>VLOOKUP(S$10,'C.II.2.8'!$A$37:$I$64,8,0)</f>
        <v>0</v>
      </c>
      <c r="T166" s="275">
        <f>VLOOKUP(T$10,'C.II.2.8'!$A$37:$I$64,8,0)</f>
        <v>0</v>
      </c>
      <c r="U166" s="275">
        <f>VLOOKUP(U$10,'C.II.2.8'!$A$37:$I$64,8,0)</f>
        <v>0</v>
      </c>
      <c r="V166" s="275">
        <f>VLOOKUP(V$10,'C.II.2.8'!$A$37:$I$64,8,0)</f>
        <v>0</v>
      </c>
      <c r="W166" s="275">
        <f>VLOOKUP(W$10,'C.II.2.8'!$A$37:$I$64,8,0)</f>
        <v>0</v>
      </c>
      <c r="X166" s="275">
        <f>VLOOKUP(X$10,'C.II.2.8'!$A$37:$I$64,8,0)</f>
        <v>0</v>
      </c>
      <c r="Y166" s="275">
        <f>VLOOKUP(Y$10,'C.II.2.8'!$A$37:$I$64,8,0)</f>
        <v>0</v>
      </c>
      <c r="Z166" s="275">
        <f>VLOOKUP(Z$10,'C.II.2.8'!$A$37:$I$64,8,0)</f>
        <v>0</v>
      </c>
      <c r="AA166" s="275">
        <f>VLOOKUP(AA$10,'C.II.2.8'!$A$37:$I$64,8,0)</f>
        <v>0</v>
      </c>
      <c r="AB166" s="275">
        <f>VLOOKUP(AB$10,'C.II.2.8'!$A$37:$I$64,8,0)</f>
        <v>0</v>
      </c>
      <c r="AC166" s="275">
        <f>VLOOKUP(AC$10,'C.II.2.8'!$A$37:$I$64,8,0)</f>
        <v>0</v>
      </c>
      <c r="AD166" s="275">
        <f>VLOOKUP(AD$10,'C.II.2.8'!$A$37:$I$64,8,0)</f>
        <v>0</v>
      </c>
      <c r="AE166" s="275">
        <f>VLOOKUP(AE$10,'C.II.2.8'!$A$37:$I$66,8,0)</f>
        <v>0</v>
      </c>
      <c r="AF166" s="276">
        <f t="shared" si="7"/>
        <v>142.34</v>
      </c>
      <c r="AG166" s="279" t="s">
        <v>637</v>
      </c>
    </row>
    <row r="167" spans="1:33" s="185" customFormat="1" ht="15">
      <c r="A167" s="197">
        <f>THKLQT!A167</f>
        <v>219</v>
      </c>
      <c r="B167" s="273">
        <f t="shared" si="6"/>
        <v>9</v>
      </c>
      <c r="C167" s="271" t="s">
        <v>310</v>
      </c>
      <c r="D167" s="273" t="s">
        <v>7</v>
      </c>
      <c r="E167" s="274">
        <v>2233.0300000000002</v>
      </c>
      <c r="F167" s="275">
        <f>VLOOKUP(F$10,'C.II.2.9'!$A$53:$I$80,8,0)</f>
        <v>0</v>
      </c>
      <c r="G167" s="275">
        <f>VLOOKUP(G$10,'C.II.2.9'!$A$53:$I$80,8,0)</f>
        <v>0</v>
      </c>
      <c r="H167" s="275">
        <f>VLOOKUP(H$10,'C.II.2.9'!$A$53:$I$80,8,0)</f>
        <v>0</v>
      </c>
      <c r="I167" s="275">
        <f>VLOOKUP(I$10,'C.II.2.9'!$A$53:$I$80,8,0)</f>
        <v>0</v>
      </c>
      <c r="J167" s="275">
        <f>VLOOKUP(J$10,'C.II.2.9'!$A$53:$I$80,8,0)</f>
        <v>0</v>
      </c>
      <c r="K167" s="275">
        <f>VLOOKUP(K$10,'C.II.2.9'!$A$53:$I$80,8,0)</f>
        <v>0</v>
      </c>
      <c r="L167" s="275">
        <f>VLOOKUP(L$10,'C.II.2.9'!$A$53:$I$80,8,0)</f>
        <v>0</v>
      </c>
      <c r="M167" s="275">
        <f>VLOOKUP(M$10,'C.II.2.9'!$A$53:$I$80,8,0)</f>
        <v>0</v>
      </c>
      <c r="N167" s="275">
        <f>VLOOKUP(N$10,'C.II.2.9'!$A$53:$I$80,8,0)</f>
        <v>0</v>
      </c>
      <c r="O167" s="275">
        <f>VLOOKUP(O$10,'C.II.2.9'!$A$53:$I$80,8,0)</f>
        <v>0</v>
      </c>
      <c r="P167" s="275">
        <f>VLOOKUP(P$10,'C.II.2.9'!$A$53:$I$80,8,0)</f>
        <v>0</v>
      </c>
      <c r="Q167" s="275">
        <f>VLOOKUP(Q$10,'C.II.2.9'!$A$53:$I$80,8,0)</f>
        <v>0</v>
      </c>
      <c r="R167" s="275">
        <f>VLOOKUP(R$10,'C.II.2.9'!$A$53:$I$80,8,0)</f>
        <v>597.49789312500002</v>
      </c>
      <c r="S167" s="275">
        <f>VLOOKUP(S$10,'C.II.2.9'!$A$53:$I$80,8,0)</f>
        <v>381.21791999999976</v>
      </c>
      <c r="T167" s="275">
        <f>VLOOKUP(T$10,'C.II.2.9'!$A$53:$I$80,8,0)</f>
        <v>0</v>
      </c>
      <c r="U167" s="275">
        <f>VLOOKUP(U$10,'C.II.2.9'!$A$53:$I$80,8,0)</f>
        <v>0</v>
      </c>
      <c r="V167" s="275">
        <f>VLOOKUP(V$10,'C.II.2.9'!$A$53:$I$80,8,0)</f>
        <v>0</v>
      </c>
      <c r="W167" s="275">
        <f>VLOOKUP(W$10,'C.II.2.9'!$A$53:$I$80,8,0)</f>
        <v>0</v>
      </c>
      <c r="X167" s="275">
        <f>VLOOKUP(X$10,'C.II.2.9'!$A$53:$I$80,8,0)</f>
        <v>0</v>
      </c>
      <c r="Y167" s="275">
        <f>VLOOKUP(Y$10,'C.II.2.9'!$A$53:$I$80,8,0)</f>
        <v>0</v>
      </c>
      <c r="Z167" s="275">
        <f>VLOOKUP(Z$10,'C.II.2.9'!$A$53:$I$80,8,0)</f>
        <v>0</v>
      </c>
      <c r="AA167" s="275">
        <f>VLOOKUP(AA$10,'C.II.2.9'!$A$53:$I$80,8,0)</f>
        <v>0</v>
      </c>
      <c r="AB167" s="275">
        <f>VLOOKUP(AB$10,'C.II.2.9'!$A$53:$I$80,8,0)</f>
        <v>0</v>
      </c>
      <c r="AC167" s="275">
        <f>VLOOKUP(AC$10,'C.II.2.9'!$A$53:$I$80,8,0)</f>
        <v>0</v>
      </c>
      <c r="AD167" s="275">
        <f>VLOOKUP(AD$10,'C.II.2.9'!$A$53:$I$80,8,0)</f>
        <v>0</v>
      </c>
      <c r="AE167" s="275">
        <f>VLOOKUP(AE$10,'C.II.2.9'!$A$53:$I$82,8,0)</f>
        <v>0</v>
      </c>
      <c r="AF167" s="276">
        <f t="shared" si="7"/>
        <v>978.72</v>
      </c>
      <c r="AG167" s="279" t="s">
        <v>636</v>
      </c>
    </row>
    <row r="168" spans="1:33" s="185" customFormat="1" ht="30">
      <c r="A168" s="197">
        <f>THKLQT!A168</f>
        <v>220</v>
      </c>
      <c r="B168" s="242">
        <f t="shared" si="6"/>
        <v>10</v>
      </c>
      <c r="C168" s="256" t="s">
        <v>311</v>
      </c>
      <c r="D168" s="242" t="s">
        <v>8</v>
      </c>
      <c r="E168" s="176">
        <v>1.18</v>
      </c>
      <c r="F168" s="177"/>
      <c r="G168" s="177"/>
      <c r="H168" s="177"/>
      <c r="I168" s="177"/>
      <c r="J168" s="177"/>
      <c r="K168" s="177"/>
      <c r="L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206">
        <f t="shared" si="7"/>
        <v>0</v>
      </c>
    </row>
    <row r="169" spans="1:33" s="185" customFormat="1" ht="15">
      <c r="A169" s="197">
        <f>THKLQT!A169</f>
        <v>221</v>
      </c>
      <c r="B169" s="273">
        <f t="shared" si="6"/>
        <v>11</v>
      </c>
      <c r="C169" s="271" t="s">
        <v>312</v>
      </c>
      <c r="D169" s="273" t="s">
        <v>7</v>
      </c>
      <c r="E169" s="274">
        <v>5.3</v>
      </c>
      <c r="F169" s="275">
        <f>VLOOKUP(F$10,'C.II.2.11'!$A$37:$I$64,8,0)</f>
        <v>0</v>
      </c>
      <c r="G169" s="275">
        <f>VLOOKUP(G$10,'C.II.2.11'!$A$37:$I$64,8,0)</f>
        <v>0</v>
      </c>
      <c r="H169" s="275">
        <f>VLOOKUP(H$10,'C.II.2.11'!$A$37:$I$64,8,0)</f>
        <v>0</v>
      </c>
      <c r="I169" s="275">
        <f>VLOOKUP(I$10,'C.II.2.11'!$A$37:$I$64,8,0)</f>
        <v>0</v>
      </c>
      <c r="J169" s="275">
        <f>VLOOKUP(J$10,'C.II.2.11'!$A$37:$I$64,8,0)</f>
        <v>0</v>
      </c>
      <c r="K169" s="275">
        <f>VLOOKUP(K$10,'C.II.2.11'!$A$37:$I$64,8,0)</f>
        <v>0</v>
      </c>
      <c r="L169" s="275">
        <f>VLOOKUP(L$10,'C.II.2.11'!$A$37:$I$64,8,0)</f>
        <v>0</v>
      </c>
      <c r="M169" s="275">
        <f>VLOOKUP(M$10,'C.II.2.11'!$A$37:$I$64,8,0)</f>
        <v>0</v>
      </c>
      <c r="N169" s="275">
        <f>VLOOKUP(N$10,'C.II.2.11'!$A$37:$I$64,8,0)</f>
        <v>0</v>
      </c>
      <c r="O169" s="275">
        <f>VLOOKUP(O$10,'C.II.2.11'!$A$37:$I$64,8,0)</f>
        <v>0</v>
      </c>
      <c r="P169" s="275">
        <f>VLOOKUP(P$10,'C.II.2.11'!$A$37:$I$64,8,0)</f>
        <v>0</v>
      </c>
      <c r="Q169" s="275">
        <f>VLOOKUP(Q$10,'C.II.2.11'!$A$37:$I$64,8,0)</f>
        <v>0</v>
      </c>
      <c r="R169" s="275">
        <f>VLOOKUP(R$10,'C.II.2.11'!$A$37:$I$64,8,0)</f>
        <v>2.6999999999999997</v>
      </c>
      <c r="S169" s="275">
        <f>VLOOKUP(S$10,'C.II.2.11'!$A$37:$I$64,8,0)</f>
        <v>2.6</v>
      </c>
      <c r="T169" s="275">
        <f>VLOOKUP(T$10,'C.II.2.11'!$A$37:$I$64,8,0)</f>
        <v>0</v>
      </c>
      <c r="U169" s="275">
        <f>VLOOKUP(U$10,'C.II.2.11'!$A$37:$I$64,8,0)</f>
        <v>0</v>
      </c>
      <c r="V169" s="275">
        <f>VLOOKUP(V$10,'C.II.2.11'!$A$37:$I$64,8,0)</f>
        <v>0</v>
      </c>
      <c r="W169" s="275">
        <f>VLOOKUP(W$10,'C.II.2.11'!$A$37:$I$64,8,0)</f>
        <v>0</v>
      </c>
      <c r="X169" s="275">
        <f>VLOOKUP(X$10,'C.II.2.11'!$A$37:$I$64,8,0)</f>
        <v>0</v>
      </c>
      <c r="Y169" s="275">
        <f>VLOOKUP(Y$10,'C.II.2.11'!$A$37:$I$64,8,0)</f>
        <v>0</v>
      </c>
      <c r="Z169" s="275">
        <f>VLOOKUP(Z$10,'C.II.2.11'!$A$37:$I$64,8,0)</f>
        <v>0</v>
      </c>
      <c r="AA169" s="275">
        <f>VLOOKUP(AA$10,'C.II.2.11'!$A$37:$I$64,8,0)</f>
        <v>0</v>
      </c>
      <c r="AB169" s="275">
        <f>VLOOKUP(AB$10,'C.II.2.11'!$A$37:$I$64,8,0)</f>
        <v>0</v>
      </c>
      <c r="AC169" s="275">
        <f>VLOOKUP(AC$10,'C.II.2.11'!$A$37:$I$64,8,0)</f>
        <v>0</v>
      </c>
      <c r="AD169" s="275">
        <f>VLOOKUP(AD$10,'C.II.2.11'!$A$37:$I$64,8,0)</f>
        <v>0</v>
      </c>
      <c r="AE169" s="275">
        <f>VLOOKUP(AE$10,'C.II.2.11'!$A$37:$I$66,8,0)</f>
        <v>0</v>
      </c>
      <c r="AF169" s="276">
        <f t="shared" si="7"/>
        <v>5.3</v>
      </c>
      <c r="AG169" s="279" t="s">
        <v>668</v>
      </c>
    </row>
    <row r="170" spans="1:33" s="185" customFormat="1" ht="15">
      <c r="A170" s="197">
        <f>THKLQT!A170</f>
        <v>0</v>
      </c>
      <c r="B170" s="239" t="s">
        <v>120</v>
      </c>
      <c r="C170" s="240" t="s">
        <v>313</v>
      </c>
      <c r="D170" s="241" t="s">
        <v>153</v>
      </c>
      <c r="E170" s="176" t="s">
        <v>326</v>
      </c>
      <c r="F170" s="177"/>
      <c r="G170" s="177"/>
      <c r="H170" s="177"/>
      <c r="I170" s="177"/>
      <c r="J170" s="17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206">
        <f t="shared" si="7"/>
        <v>0</v>
      </c>
    </row>
    <row r="171" spans="1:33" s="185" customFormat="1" ht="15">
      <c r="A171" s="197">
        <f>THKLQT!A171</f>
        <v>0</v>
      </c>
      <c r="B171" s="239" t="s">
        <v>314</v>
      </c>
      <c r="C171" s="240" t="s">
        <v>315</v>
      </c>
      <c r="D171" s="241" t="s">
        <v>153</v>
      </c>
      <c r="E171" s="176" t="s">
        <v>326</v>
      </c>
      <c r="F171" s="177"/>
      <c r="G171" s="177"/>
      <c r="H171" s="177"/>
      <c r="I171" s="177"/>
      <c r="J171" s="177"/>
      <c r="K171" s="177"/>
      <c r="L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206">
        <f t="shared" si="7"/>
        <v>0</v>
      </c>
    </row>
    <row r="172" spans="1:33" s="185" customFormat="1" ht="15">
      <c r="A172" s="197">
        <f>THKLQT!A172</f>
        <v>222</v>
      </c>
      <c r="B172" s="273">
        <v>1</v>
      </c>
      <c r="C172" s="271" t="s">
        <v>298</v>
      </c>
      <c r="D172" s="273" t="s">
        <v>27</v>
      </c>
      <c r="E172" s="274">
        <v>1351</v>
      </c>
      <c r="F172" s="275">
        <f>VLOOKUP(F$10,'C.III.1.1'!$A$36:$I$63,8,0)</f>
        <v>0</v>
      </c>
      <c r="G172" s="275">
        <f>VLOOKUP(G$10,'C.III.1.1'!$A$36:$I$63,8,0)</f>
        <v>0</v>
      </c>
      <c r="H172" s="275">
        <f>VLOOKUP(H$10,'C.III.1.1'!$A$36:$I$63,8,0)</f>
        <v>0</v>
      </c>
      <c r="I172" s="275">
        <f>VLOOKUP(I$10,'C.III.1.1'!$A$36:$I$63,8,0)</f>
        <v>0</v>
      </c>
      <c r="J172" s="275">
        <f>VLOOKUP(J$10,'C.III.1.1'!$A$36:$I$63,8,0)</f>
        <v>0</v>
      </c>
      <c r="K172" s="275">
        <f>VLOOKUP(K$10,'C.III.1.1'!$A$36:$I$63,8,0)</f>
        <v>0</v>
      </c>
      <c r="L172" s="275">
        <f>VLOOKUP(L$10,'C.III.1.1'!$A$36:$I$63,8,0)</f>
        <v>0</v>
      </c>
      <c r="M172" s="275">
        <f>VLOOKUP(M$10,'C.III.1.1'!$A$36:$I$63,8,0)</f>
        <v>0</v>
      </c>
      <c r="N172" s="275">
        <f>VLOOKUP(N$10,'C.III.1.1'!$A$36:$I$63,8,0)</f>
        <v>0</v>
      </c>
      <c r="O172" s="275">
        <f>VLOOKUP(O$10,'C.III.1.1'!$A$36:$I$63,8,0)</f>
        <v>0</v>
      </c>
      <c r="P172" s="275">
        <f>VLOOKUP(P$10,'C.III.1.1'!$A$36:$I$63,8,0)</f>
        <v>1351</v>
      </c>
      <c r="Q172" s="275">
        <f>VLOOKUP(Q$10,'C.III.1.1'!$A$36:$I$63,8,0)</f>
        <v>0</v>
      </c>
      <c r="R172" s="275">
        <f>VLOOKUP(R$10,'C.III.1.1'!$A$36:$I$63,8,0)</f>
        <v>0</v>
      </c>
      <c r="S172" s="275">
        <f>VLOOKUP(S$10,'C.III.1.1'!$A$36:$I$63,8,0)</f>
        <v>0</v>
      </c>
      <c r="T172" s="275">
        <f>VLOOKUP(T$10,'C.III.1.1'!$A$36:$I$63,8,0)</f>
        <v>0</v>
      </c>
      <c r="U172" s="275">
        <f>VLOOKUP(U$10,'C.III.1.1'!$A$36:$I$63,8,0)</f>
        <v>0</v>
      </c>
      <c r="V172" s="275">
        <f>VLOOKUP(V$10,'C.III.1.1'!$A$36:$I$63,8,0)</f>
        <v>0</v>
      </c>
      <c r="W172" s="275">
        <f>VLOOKUP(W$10,'C.III.1.1'!$A$36:$I$63,8,0)</f>
        <v>0</v>
      </c>
      <c r="X172" s="275">
        <f>VLOOKUP(X$10,'C.III.1.1'!$A$36:$I$63,8,0)</f>
        <v>0</v>
      </c>
      <c r="Y172" s="275">
        <f>VLOOKUP(Y$10,'C.III.1.1'!$A$36:$I$63,8,0)</f>
        <v>0</v>
      </c>
      <c r="Z172" s="275">
        <f>VLOOKUP(Z$10,'C.III.1.1'!$A$36:$I$63,8,0)</f>
        <v>0</v>
      </c>
      <c r="AA172" s="275">
        <f>VLOOKUP(AA$10,'C.III.1.1'!$A$36:$I$63,8,0)</f>
        <v>0</v>
      </c>
      <c r="AB172" s="275">
        <f>VLOOKUP(AB$10,'C.III.1.1'!$A$36:$I$63,8,0)</f>
        <v>0</v>
      </c>
      <c r="AC172" s="275">
        <f>VLOOKUP(AC$10,'C.III.1.1'!$A$36:$I$63,8,0)</f>
        <v>0</v>
      </c>
      <c r="AD172" s="275">
        <f>VLOOKUP(AD$10,'C.III.1.1'!$A$36:$I$63,8,0)</f>
        <v>0</v>
      </c>
      <c r="AE172" s="275">
        <f>VLOOKUP(AE$10,'C.III.1.1'!$A$36:$I$63,8,0)</f>
        <v>0</v>
      </c>
      <c r="AF172" s="276">
        <f t="shared" si="7"/>
        <v>1351</v>
      </c>
      <c r="AG172" s="279" t="s">
        <v>663</v>
      </c>
    </row>
    <row r="173" spans="1:33" s="185" customFormat="1" ht="15">
      <c r="A173" s="197">
        <f>THKLQT!A173</f>
        <v>223</v>
      </c>
      <c r="B173" s="273">
        <f>B172+1</f>
        <v>2</v>
      </c>
      <c r="C173" s="271" t="s">
        <v>316</v>
      </c>
      <c r="D173" s="273" t="s">
        <v>7</v>
      </c>
      <c r="E173" s="274">
        <v>198</v>
      </c>
      <c r="F173" s="275">
        <f>VLOOKUP(F$10,'C.III.1.2'!$A$36:$I$63,8,0)</f>
        <v>0</v>
      </c>
      <c r="G173" s="275">
        <f>VLOOKUP(G$10,'C.III.1.2'!$A$36:$I$63,8,0)</f>
        <v>0</v>
      </c>
      <c r="H173" s="275">
        <f>VLOOKUP(H$10,'C.III.1.2'!$A$36:$I$63,8,0)</f>
        <v>0</v>
      </c>
      <c r="I173" s="275">
        <f>VLOOKUP(I$10,'C.III.1.2'!$A$36:$I$63,8,0)</f>
        <v>0</v>
      </c>
      <c r="J173" s="275">
        <f>VLOOKUP(J$10,'C.III.1.2'!$A$36:$I$63,8,0)</f>
        <v>0</v>
      </c>
      <c r="K173" s="275">
        <f>VLOOKUP(K$10,'C.III.1.2'!$A$36:$I$63,8,0)</f>
        <v>0</v>
      </c>
      <c r="L173" s="275">
        <f>VLOOKUP(L$10,'C.III.1.2'!$A$36:$I$63,8,0)</f>
        <v>0</v>
      </c>
      <c r="M173" s="275">
        <f>VLOOKUP(M$10,'C.III.1.2'!$A$36:$I$63,8,0)</f>
        <v>0</v>
      </c>
      <c r="N173" s="275">
        <f>VLOOKUP(N$10,'C.III.1.2'!$A$36:$I$63,8,0)</f>
        <v>0</v>
      </c>
      <c r="O173" s="275">
        <f>VLOOKUP(O$10,'C.III.1.2'!$A$36:$I$63,8,0)</f>
        <v>0</v>
      </c>
      <c r="P173" s="275">
        <f>VLOOKUP(P$10,'C.III.1.2'!$A$36:$I$63,8,0)</f>
        <v>198</v>
      </c>
      <c r="Q173" s="275">
        <f>VLOOKUP(Q$10,'C.III.1.2'!$A$36:$I$63,8,0)</f>
        <v>0</v>
      </c>
      <c r="R173" s="275">
        <f>VLOOKUP(R$10,'C.III.1.2'!$A$36:$I$63,8,0)</f>
        <v>0</v>
      </c>
      <c r="S173" s="275">
        <f>VLOOKUP(S$10,'C.III.1.2'!$A$36:$I$63,8,0)</f>
        <v>0</v>
      </c>
      <c r="T173" s="275">
        <f>VLOOKUP(T$10,'C.III.1.2'!$A$36:$I$63,8,0)</f>
        <v>0</v>
      </c>
      <c r="U173" s="275">
        <f>VLOOKUP(U$10,'C.III.1.2'!$A$36:$I$63,8,0)</f>
        <v>0</v>
      </c>
      <c r="V173" s="275">
        <f>VLOOKUP(V$10,'C.III.1.2'!$A$36:$I$63,8,0)</f>
        <v>0</v>
      </c>
      <c r="W173" s="275">
        <f>VLOOKUP(W$10,'C.III.1.2'!$A$36:$I$63,8,0)</f>
        <v>0</v>
      </c>
      <c r="X173" s="275">
        <f>VLOOKUP(X$10,'C.III.1.2'!$A$36:$I$63,8,0)</f>
        <v>0</v>
      </c>
      <c r="Y173" s="275">
        <f>VLOOKUP(Y$10,'C.III.1.2'!$A$36:$I$63,8,0)</f>
        <v>0</v>
      </c>
      <c r="Z173" s="275">
        <f>VLOOKUP(Z$10,'C.III.1.2'!$A$36:$I$63,8,0)</f>
        <v>0</v>
      </c>
      <c r="AA173" s="275">
        <f>VLOOKUP(AA$10,'C.III.1.2'!$A$36:$I$63,8,0)</f>
        <v>0</v>
      </c>
      <c r="AB173" s="275">
        <f>VLOOKUP(AB$10,'C.III.1.2'!$A$36:$I$63,8,0)</f>
        <v>0</v>
      </c>
      <c r="AC173" s="275">
        <f>VLOOKUP(AC$10,'C.III.1.2'!$A$36:$I$63,8,0)</f>
        <v>0</v>
      </c>
      <c r="AD173" s="275">
        <f>VLOOKUP(AD$10,'C.III.1.2'!$A$36:$I$63,8,0)</f>
        <v>0</v>
      </c>
      <c r="AE173" s="275">
        <f>VLOOKUP(AE$10,'C.III.1.2'!$A$36:$I$63,8,0)</f>
        <v>0</v>
      </c>
      <c r="AF173" s="276">
        <f t="shared" si="7"/>
        <v>198</v>
      </c>
      <c r="AG173" s="279" t="s">
        <v>664</v>
      </c>
    </row>
    <row r="174" spans="1:33" s="185" customFormat="1" ht="35.25" customHeight="1">
      <c r="A174" s="197">
        <f>THKLQT!A174</f>
        <v>224</v>
      </c>
      <c r="B174" s="273">
        <f t="shared" si="6"/>
        <v>3</v>
      </c>
      <c r="C174" s="271" t="s">
        <v>77</v>
      </c>
      <c r="D174" s="273" t="s">
        <v>7</v>
      </c>
      <c r="E174" s="274">
        <v>198</v>
      </c>
      <c r="F174" s="275">
        <f>F173</f>
        <v>0</v>
      </c>
      <c r="G174" s="275">
        <f t="shared" ref="G174:AE174" si="8">G173</f>
        <v>0</v>
      </c>
      <c r="H174" s="275">
        <f t="shared" si="8"/>
        <v>0</v>
      </c>
      <c r="I174" s="275">
        <f t="shared" si="8"/>
        <v>0</v>
      </c>
      <c r="J174" s="275">
        <f t="shared" si="8"/>
        <v>0</v>
      </c>
      <c r="K174" s="275">
        <f t="shared" si="8"/>
        <v>0</v>
      </c>
      <c r="L174" s="275">
        <f t="shared" si="8"/>
        <v>0</v>
      </c>
      <c r="M174" s="275">
        <f t="shared" si="8"/>
        <v>0</v>
      </c>
      <c r="N174" s="275">
        <f t="shared" si="8"/>
        <v>0</v>
      </c>
      <c r="O174" s="275">
        <f t="shared" si="8"/>
        <v>0</v>
      </c>
      <c r="P174" s="275">
        <f t="shared" si="8"/>
        <v>198</v>
      </c>
      <c r="Q174" s="275">
        <f t="shared" si="8"/>
        <v>0</v>
      </c>
      <c r="R174" s="275">
        <f t="shared" si="8"/>
        <v>0</v>
      </c>
      <c r="S174" s="275">
        <f t="shared" si="8"/>
        <v>0</v>
      </c>
      <c r="T174" s="275">
        <f t="shared" si="8"/>
        <v>0</v>
      </c>
      <c r="U174" s="275">
        <f t="shared" si="8"/>
        <v>0</v>
      </c>
      <c r="V174" s="275">
        <f t="shared" si="8"/>
        <v>0</v>
      </c>
      <c r="W174" s="275">
        <f t="shared" si="8"/>
        <v>0</v>
      </c>
      <c r="X174" s="275">
        <f t="shared" si="8"/>
        <v>0</v>
      </c>
      <c r="Y174" s="275">
        <f t="shared" si="8"/>
        <v>0</v>
      </c>
      <c r="Z174" s="275">
        <f t="shared" si="8"/>
        <v>0</v>
      </c>
      <c r="AA174" s="275">
        <f t="shared" si="8"/>
        <v>0</v>
      </c>
      <c r="AB174" s="275">
        <f t="shared" si="8"/>
        <v>0</v>
      </c>
      <c r="AC174" s="275">
        <f t="shared" si="8"/>
        <v>0</v>
      </c>
      <c r="AD174" s="275">
        <f t="shared" ref="AD174" si="9">AD173</f>
        <v>0</v>
      </c>
      <c r="AE174" s="275">
        <f t="shared" si="8"/>
        <v>0</v>
      </c>
      <c r="AF174" s="276">
        <f t="shared" si="7"/>
        <v>198</v>
      </c>
    </row>
    <row r="175" spans="1:33" s="185" customFormat="1" ht="15">
      <c r="A175" s="197">
        <f>THKLQT!A175</f>
        <v>225</v>
      </c>
      <c r="B175" s="273">
        <f t="shared" si="6"/>
        <v>4</v>
      </c>
      <c r="C175" s="271" t="s">
        <v>317</v>
      </c>
      <c r="D175" s="273" t="s">
        <v>7</v>
      </c>
      <c r="E175" s="274">
        <v>1195.83</v>
      </c>
      <c r="F175" s="275">
        <f>VLOOKUP(F$10,'C.III.1.4'!$A$36:$I$63,8,0)</f>
        <v>0</v>
      </c>
      <c r="G175" s="275">
        <f>VLOOKUP(G$10,'C.III.1.4'!$A$36:$I$63,8,0)</f>
        <v>0</v>
      </c>
      <c r="H175" s="275">
        <f>VLOOKUP(H$10,'C.III.1.4'!$A$36:$I$63,8,0)</f>
        <v>0</v>
      </c>
      <c r="I175" s="275">
        <f>VLOOKUP(I$10,'C.III.1.4'!$A$36:$I$63,8,0)</f>
        <v>0</v>
      </c>
      <c r="J175" s="275">
        <f>VLOOKUP(J$10,'C.III.1.4'!$A$36:$I$63,8,0)</f>
        <v>0</v>
      </c>
      <c r="K175" s="275">
        <f>VLOOKUP(K$10,'C.III.1.4'!$A$36:$I$63,8,0)</f>
        <v>0</v>
      </c>
      <c r="L175" s="275">
        <f>VLOOKUP(L$10,'C.III.1.4'!$A$36:$I$63,8,0)</f>
        <v>0</v>
      </c>
      <c r="M175" s="275">
        <f>VLOOKUP(M$10,'C.III.1.4'!$A$36:$I$63,8,0)</f>
        <v>0</v>
      </c>
      <c r="N175" s="275">
        <f>VLOOKUP(N$10,'C.III.1.4'!$A$36:$I$63,8,0)</f>
        <v>0</v>
      </c>
      <c r="O175" s="275">
        <f>VLOOKUP(O$10,'C.III.1.4'!$A$36:$I$63,8,0)</f>
        <v>0</v>
      </c>
      <c r="P175" s="275">
        <f>VLOOKUP(P$10,'C.III.1.4'!$A$36:$I$63,8,0)</f>
        <v>1195.83</v>
      </c>
      <c r="Q175" s="275">
        <f>VLOOKUP(Q$10,'C.III.1.4'!$A$36:$I$63,8,0)</f>
        <v>0</v>
      </c>
      <c r="R175" s="275">
        <f>VLOOKUP(R$10,'C.III.1.4'!$A$36:$I$63,8,0)</f>
        <v>0</v>
      </c>
      <c r="S175" s="275">
        <f>VLOOKUP(S$10,'C.III.1.4'!$A$36:$I$63,8,0)</f>
        <v>0</v>
      </c>
      <c r="T175" s="275">
        <f>VLOOKUP(T$10,'C.III.1.4'!$A$36:$I$63,8,0)</f>
        <v>0</v>
      </c>
      <c r="U175" s="275">
        <f>VLOOKUP(U$10,'C.III.1.4'!$A$36:$I$63,8,0)</f>
        <v>0</v>
      </c>
      <c r="V175" s="275">
        <f>VLOOKUP(V$10,'C.III.1.4'!$A$36:$I$63,8,0)</f>
        <v>0</v>
      </c>
      <c r="W175" s="275">
        <f>VLOOKUP(W$10,'C.III.1.4'!$A$36:$I$63,8,0)</f>
        <v>0</v>
      </c>
      <c r="X175" s="275">
        <f>VLOOKUP(X$10,'C.III.1.4'!$A$36:$I$63,8,0)</f>
        <v>0</v>
      </c>
      <c r="Y175" s="275">
        <f>VLOOKUP(Y$10,'C.III.1.4'!$A$36:$I$63,8,0)</f>
        <v>0</v>
      </c>
      <c r="Z175" s="275">
        <f>VLOOKUP(Z$10,'C.III.1.4'!$A$36:$I$63,8,0)</f>
        <v>0</v>
      </c>
      <c r="AA175" s="275">
        <f>VLOOKUP(AA$10,'C.III.1.4'!$A$36:$I$63,8,0)</f>
        <v>0</v>
      </c>
      <c r="AB175" s="275">
        <f>VLOOKUP(AB$10,'C.III.1.4'!$A$36:$I$63,8,0)</f>
        <v>0</v>
      </c>
      <c r="AC175" s="275">
        <f>VLOOKUP(AC$10,'C.III.1.4'!$A$36:$I$63,8,0)</f>
        <v>0</v>
      </c>
      <c r="AD175" s="275">
        <f>VLOOKUP(AD$10,'C.III.1.4'!$A$36:$I$63,8,0)</f>
        <v>0</v>
      </c>
      <c r="AE175" s="275">
        <f>VLOOKUP(AE$10,'C.III.1.4'!$A$36:$I$63,8,0)</f>
        <v>0</v>
      </c>
      <c r="AF175" s="276">
        <f t="shared" si="7"/>
        <v>1195.83</v>
      </c>
      <c r="AG175" s="279" t="s">
        <v>665</v>
      </c>
    </row>
    <row r="176" spans="1:33" s="185" customFormat="1" ht="15" hidden="1">
      <c r="A176" s="197">
        <f>THKLQT!A176</f>
        <v>0</v>
      </c>
      <c r="B176" s="273"/>
      <c r="C176" s="271" t="s">
        <v>318</v>
      </c>
      <c r="D176" s="273" t="s">
        <v>7</v>
      </c>
      <c r="E176" s="274">
        <v>0</v>
      </c>
      <c r="F176" s="275"/>
      <c r="G176" s="275"/>
      <c r="H176" s="275"/>
      <c r="I176" s="275"/>
      <c r="J176" s="275"/>
      <c r="K176" s="275"/>
      <c r="L176" s="275"/>
      <c r="M176" s="275"/>
      <c r="N176" s="275"/>
      <c r="O176" s="275"/>
      <c r="P176" s="275"/>
      <c r="Q176" s="275"/>
      <c r="R176" s="275"/>
      <c r="S176" s="275"/>
      <c r="T176" s="275"/>
      <c r="U176" s="275"/>
      <c r="V176" s="275"/>
      <c r="W176" s="275"/>
      <c r="X176" s="275"/>
      <c r="Y176" s="275"/>
      <c r="Z176" s="275"/>
      <c r="AA176" s="275"/>
      <c r="AB176" s="275"/>
      <c r="AC176" s="275"/>
      <c r="AD176" s="275"/>
      <c r="AE176" s="275"/>
      <c r="AF176" s="276">
        <f t="shared" si="7"/>
        <v>0</v>
      </c>
    </row>
    <row r="177" spans="1:33" s="185" customFormat="1" ht="15">
      <c r="A177" s="197">
        <f>THKLQT!A177</f>
        <v>226</v>
      </c>
      <c r="B177" s="273">
        <f>B175+1</f>
        <v>5</v>
      </c>
      <c r="C177" s="271" t="s">
        <v>319</v>
      </c>
      <c r="D177" s="273" t="s">
        <v>7</v>
      </c>
      <c r="E177" s="274">
        <v>148.94999999999999</v>
      </c>
      <c r="F177" s="275">
        <f>VLOOKUP(F$10,'C.III.1.5'!$A$36:$I$63,8,0)</f>
        <v>0</v>
      </c>
      <c r="G177" s="275">
        <f>VLOOKUP(G$10,'C.III.1.5'!$A$36:$I$63,8,0)</f>
        <v>0</v>
      </c>
      <c r="H177" s="275">
        <f>VLOOKUP(H$10,'C.III.1.5'!$A$36:$I$63,8,0)</f>
        <v>0</v>
      </c>
      <c r="I177" s="275">
        <f>VLOOKUP(I$10,'C.III.1.5'!$A$36:$I$63,8,0)</f>
        <v>0</v>
      </c>
      <c r="J177" s="275">
        <f>VLOOKUP(J$10,'C.III.1.5'!$A$36:$I$63,8,0)</f>
        <v>0</v>
      </c>
      <c r="K177" s="275">
        <f>VLOOKUP(K$10,'C.III.1.5'!$A$36:$I$63,8,0)</f>
        <v>0</v>
      </c>
      <c r="L177" s="275">
        <f>VLOOKUP(L$10,'C.III.1.5'!$A$36:$I$63,8,0)</f>
        <v>0</v>
      </c>
      <c r="M177" s="275">
        <f>VLOOKUP(M$10,'C.III.1.5'!$A$36:$I$63,8,0)</f>
        <v>0</v>
      </c>
      <c r="N177" s="275">
        <f>VLOOKUP(N$10,'C.III.1.5'!$A$36:$I$63,8,0)</f>
        <v>0</v>
      </c>
      <c r="O177" s="275">
        <f>VLOOKUP(O$10,'C.III.1.5'!$A$36:$I$63,8,0)</f>
        <v>0</v>
      </c>
      <c r="P177" s="275">
        <f>VLOOKUP(P$10,'C.III.1.5'!$A$36:$I$63,8,0)</f>
        <v>148.94999999999999</v>
      </c>
      <c r="Q177" s="275">
        <f>VLOOKUP(Q$10,'C.III.1.5'!$A$36:$I$63,8,0)</f>
        <v>0</v>
      </c>
      <c r="R177" s="275">
        <f>VLOOKUP(R$10,'C.III.1.5'!$A$36:$I$63,8,0)</f>
        <v>0</v>
      </c>
      <c r="S177" s="275">
        <f>VLOOKUP(S$10,'C.III.1.5'!$A$36:$I$63,8,0)</f>
        <v>0</v>
      </c>
      <c r="T177" s="275">
        <f>VLOOKUP(T$10,'C.III.1.5'!$A$36:$I$63,8,0)</f>
        <v>0</v>
      </c>
      <c r="U177" s="275">
        <f>VLOOKUP(U$10,'C.III.1.5'!$A$36:$I$63,8,0)</f>
        <v>0</v>
      </c>
      <c r="V177" s="275">
        <f>VLOOKUP(V$10,'C.III.1.5'!$A$36:$I$63,8,0)</f>
        <v>0</v>
      </c>
      <c r="W177" s="275">
        <f>VLOOKUP(W$10,'C.III.1.5'!$A$36:$I$63,8,0)</f>
        <v>0</v>
      </c>
      <c r="X177" s="275">
        <f>VLOOKUP(X$10,'C.III.1.5'!$A$36:$I$63,8,0)</f>
        <v>0</v>
      </c>
      <c r="Y177" s="275">
        <f>VLOOKUP(Y$10,'C.III.1.5'!$A$36:$I$63,8,0)</f>
        <v>0</v>
      </c>
      <c r="Z177" s="275">
        <f>VLOOKUP(Z$10,'C.III.1.5'!$A$36:$I$63,8,0)</f>
        <v>0</v>
      </c>
      <c r="AA177" s="275">
        <f>VLOOKUP(AA$10,'C.III.1.5'!$A$36:$I$63,8,0)</f>
        <v>0</v>
      </c>
      <c r="AB177" s="275">
        <f>VLOOKUP(AB$10,'C.III.1.5'!$A$36:$I$63,8,0)</f>
        <v>0</v>
      </c>
      <c r="AC177" s="275">
        <f>VLOOKUP(AC$10,'C.III.1.5'!$A$36:$I$63,8,0)</f>
        <v>0</v>
      </c>
      <c r="AD177" s="275">
        <f>VLOOKUP(AD$10,'C.III.1.5'!$A$36:$I$63,8,0)</f>
        <v>0</v>
      </c>
      <c r="AE177" s="275">
        <f>VLOOKUP(AE$10,'C.III.1.5'!$A$36:$I$63,8,0)</f>
        <v>0</v>
      </c>
      <c r="AF177" s="276">
        <f t="shared" si="7"/>
        <v>148.94999999999999</v>
      </c>
      <c r="AG177" s="279" t="s">
        <v>666</v>
      </c>
    </row>
    <row r="178" spans="1:33" s="185" customFormat="1" ht="15">
      <c r="A178" s="197">
        <f>THKLQT!A178</f>
        <v>227</v>
      </c>
      <c r="B178" s="273">
        <f t="shared" si="6"/>
        <v>6</v>
      </c>
      <c r="C178" s="271" t="s">
        <v>320</v>
      </c>
      <c r="D178" s="273" t="s">
        <v>7</v>
      </c>
      <c r="E178" s="274">
        <v>31.1</v>
      </c>
      <c r="F178" s="275">
        <f>VLOOKUP(F$10,'C.III.1.6'!$A$36:$I$63,8,0)</f>
        <v>0</v>
      </c>
      <c r="G178" s="275">
        <f>VLOOKUP(G$10,'C.III.1.6'!$A$36:$I$63,8,0)</f>
        <v>0</v>
      </c>
      <c r="H178" s="275">
        <f>VLOOKUP(H$10,'C.III.1.6'!$A$36:$I$63,8,0)</f>
        <v>0</v>
      </c>
      <c r="I178" s="275">
        <f>VLOOKUP(I$10,'C.III.1.6'!$A$36:$I$63,8,0)</f>
        <v>0</v>
      </c>
      <c r="J178" s="275">
        <f>VLOOKUP(J$10,'C.III.1.6'!$A$36:$I$63,8,0)</f>
        <v>0</v>
      </c>
      <c r="K178" s="275">
        <f>VLOOKUP(K$10,'C.III.1.6'!$A$36:$I$63,8,0)</f>
        <v>0</v>
      </c>
      <c r="L178" s="275">
        <f>VLOOKUP(L$10,'C.III.1.6'!$A$36:$I$63,8,0)</f>
        <v>0</v>
      </c>
      <c r="M178" s="275">
        <f>VLOOKUP(M$10,'C.III.1.6'!$A$36:$I$63,8,0)</f>
        <v>0</v>
      </c>
      <c r="N178" s="275">
        <f>VLOOKUP(N$10,'C.III.1.6'!$A$36:$I$63,8,0)</f>
        <v>0</v>
      </c>
      <c r="O178" s="275">
        <f>VLOOKUP(O$10,'C.III.1.6'!$A$36:$I$63,8,0)</f>
        <v>0</v>
      </c>
      <c r="P178" s="275">
        <f>VLOOKUP(P$10,'C.III.1.6'!$A$36:$I$63,8,0)</f>
        <v>31.1</v>
      </c>
      <c r="Q178" s="275">
        <f>VLOOKUP(Q$10,'C.III.1.6'!$A$36:$I$63,8,0)</f>
        <v>0</v>
      </c>
      <c r="R178" s="275">
        <f>VLOOKUP(R$10,'C.III.1.6'!$A$36:$I$63,8,0)</f>
        <v>0</v>
      </c>
      <c r="S178" s="275">
        <f>VLOOKUP(S$10,'C.III.1.6'!$A$36:$I$63,8,0)</f>
        <v>0</v>
      </c>
      <c r="T178" s="275">
        <f>VLOOKUP(T$10,'C.III.1.6'!$A$36:$I$63,8,0)</f>
        <v>0</v>
      </c>
      <c r="U178" s="275">
        <f>VLOOKUP(U$10,'C.III.1.6'!$A$36:$I$63,8,0)</f>
        <v>0</v>
      </c>
      <c r="V178" s="275">
        <f>VLOOKUP(V$10,'C.III.1.6'!$A$36:$I$63,8,0)</f>
        <v>0</v>
      </c>
      <c r="W178" s="275">
        <f>VLOOKUP(W$10,'C.III.1.6'!$A$36:$I$63,8,0)</f>
        <v>0</v>
      </c>
      <c r="X178" s="275">
        <f>VLOOKUP(X$10,'C.III.1.6'!$A$36:$I$63,8,0)</f>
        <v>0</v>
      </c>
      <c r="Y178" s="275">
        <f>VLOOKUP(Y$10,'C.III.1.6'!$A$36:$I$63,8,0)</f>
        <v>0</v>
      </c>
      <c r="Z178" s="275">
        <f>VLOOKUP(Z$10,'C.III.1.6'!$A$36:$I$63,8,0)</f>
        <v>0</v>
      </c>
      <c r="AA178" s="275">
        <f>VLOOKUP(AA$10,'C.III.1.6'!$A$36:$I$63,8,0)</f>
        <v>0</v>
      </c>
      <c r="AB178" s="275">
        <f>VLOOKUP(AB$10,'C.III.1.6'!$A$36:$I$63,8,0)</f>
        <v>0</v>
      </c>
      <c r="AC178" s="275">
        <f>VLOOKUP(AC$10,'C.III.1.6'!$A$36:$I$63,8,0)</f>
        <v>0</v>
      </c>
      <c r="AD178" s="275">
        <f>VLOOKUP(AD$10,'C.III.1.6'!$A$36:$I$63,8,0)</f>
        <v>0</v>
      </c>
      <c r="AE178" s="275">
        <f>VLOOKUP(AE$10,'C.III.1.6'!$A$36:$I$63,8,0)</f>
        <v>0</v>
      </c>
      <c r="AF178" s="276">
        <f t="shared" si="7"/>
        <v>31.1</v>
      </c>
      <c r="AG178" s="279" t="s">
        <v>667</v>
      </c>
    </row>
    <row r="179" spans="1:33" s="185" customFormat="1" ht="15" hidden="1">
      <c r="A179" s="197" t="str">
        <f>THKLQT!A179</f>
        <v/>
      </c>
      <c r="B179" s="242"/>
      <c r="C179" s="243" t="s">
        <v>321</v>
      </c>
      <c r="D179" s="242" t="s">
        <v>7</v>
      </c>
      <c r="E179" s="176">
        <v>0</v>
      </c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206">
        <f t="shared" si="7"/>
        <v>0</v>
      </c>
    </row>
    <row r="180" spans="1:33" s="185" customFormat="1" ht="15">
      <c r="A180" s="197">
        <f>THKLQT!A180</f>
        <v>0</v>
      </c>
      <c r="B180" s="239" t="s">
        <v>121</v>
      </c>
      <c r="C180" s="244" t="s">
        <v>322</v>
      </c>
      <c r="D180" s="241" t="s">
        <v>153</v>
      </c>
      <c r="E180" s="176" t="s">
        <v>326</v>
      </c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206">
        <f t="shared" si="7"/>
        <v>0</v>
      </c>
    </row>
    <row r="181" spans="1:33" s="185" customFormat="1" ht="15">
      <c r="A181" s="197">
        <f>THKLQT!A181</f>
        <v>228</v>
      </c>
      <c r="B181" s="273" t="s">
        <v>323</v>
      </c>
      <c r="C181" s="271" t="s">
        <v>225</v>
      </c>
      <c r="D181" s="273" t="s">
        <v>7</v>
      </c>
      <c r="E181" s="274">
        <v>180.05</v>
      </c>
      <c r="F181" s="275">
        <f>VLOOKUP(F$10,'C.III.2.1'!$A$36:$I$63,8,0)</f>
        <v>0</v>
      </c>
      <c r="G181" s="275">
        <f>VLOOKUP(G$10,'C.III.2.1'!$A$36:$I$63,8,0)</f>
        <v>0</v>
      </c>
      <c r="H181" s="275">
        <f>VLOOKUP(H$10,'C.III.2.1'!$A$36:$I$63,8,0)</f>
        <v>0</v>
      </c>
      <c r="I181" s="275">
        <f>VLOOKUP(I$10,'C.III.2.1'!$A$36:$I$63,8,0)</f>
        <v>0</v>
      </c>
      <c r="J181" s="275">
        <f>VLOOKUP(J$10,'C.III.2.1'!$A$36:$I$63,8,0)</f>
        <v>0</v>
      </c>
      <c r="K181" s="275">
        <f>VLOOKUP(K$10,'C.III.2.1'!$A$36:$I$63,8,0)</f>
        <v>0</v>
      </c>
      <c r="L181" s="275">
        <f>VLOOKUP(L$10,'C.III.2.1'!$A$36:$I$63,8,0)</f>
        <v>0</v>
      </c>
      <c r="M181" s="275">
        <f>VLOOKUP(M$10,'C.III.2.1'!$A$36:$I$63,8,0)</f>
        <v>0</v>
      </c>
      <c r="N181" s="275">
        <f>VLOOKUP(N$10,'C.III.2.1'!$A$36:$I$63,8,0)</f>
        <v>0</v>
      </c>
      <c r="O181" s="275">
        <f>VLOOKUP(O$10,'C.III.2.1'!$A$36:$I$63,8,0)</f>
        <v>0</v>
      </c>
      <c r="P181" s="275">
        <f>VLOOKUP(P$10,'C.III.2.1'!$A$36:$I$63,8,0)</f>
        <v>0</v>
      </c>
      <c r="Q181" s="275">
        <f>VLOOKUP(Q$10,'C.III.2.1'!$A$36:$I$63,8,0)</f>
        <v>0</v>
      </c>
      <c r="R181" s="275">
        <f>VLOOKUP(R$10,'C.III.2.1'!$A$36:$I$63,8,0)</f>
        <v>0</v>
      </c>
      <c r="S181" s="275">
        <f>VLOOKUP(S$10,'C.III.2.1'!$A$36:$I$63,8,0)</f>
        <v>0</v>
      </c>
      <c r="T181" s="275">
        <f>VLOOKUP(T$10,'C.III.2.1'!$A$36:$I$63,8,0)</f>
        <v>0</v>
      </c>
      <c r="U181" s="275">
        <f>VLOOKUP(U$10,'C.III.2.1'!$A$36:$I$63,8,0)</f>
        <v>0</v>
      </c>
      <c r="V181" s="275">
        <f>VLOOKUP(V$10,'C.III.2.1'!$A$36:$I$63,8,0)</f>
        <v>180.05</v>
      </c>
      <c r="W181" s="275">
        <f>VLOOKUP(W$10,'C.III.2.1'!$A$36:$I$63,8,0)</f>
        <v>0</v>
      </c>
      <c r="X181" s="275">
        <f>VLOOKUP(X$10,'C.III.2.1'!$A$36:$I$63,8,0)</f>
        <v>0</v>
      </c>
      <c r="Y181" s="275">
        <f>VLOOKUP(Y$10,'C.III.2.1'!$A$36:$I$63,8,0)</f>
        <v>0</v>
      </c>
      <c r="Z181" s="275">
        <f>VLOOKUP(Z$10,'C.III.2.1'!$A$36:$I$63,8,0)</f>
        <v>0</v>
      </c>
      <c r="AA181" s="275">
        <f>VLOOKUP(AA$10,'C.III.2.1'!$A$36:$I$63,8,0)</f>
        <v>0</v>
      </c>
      <c r="AB181" s="275">
        <f>VLOOKUP(AB$10,'C.III.2.1'!$A$36:$I$63,8,0)</f>
        <v>0</v>
      </c>
      <c r="AC181" s="275">
        <f>VLOOKUP(AC$10,'C.III.2.1'!$A$36:$I$63,8,0)</f>
        <v>0</v>
      </c>
      <c r="AD181" s="275">
        <f>VLOOKUP(AD$10,'C.III.2.1'!$A$36:$I$63,8,0)</f>
        <v>0</v>
      </c>
      <c r="AE181" s="275">
        <f>VLOOKUP(AE$10,'C.III.2.1'!$A$36:$I$63,8,0)</f>
        <v>0</v>
      </c>
      <c r="AF181" s="206">
        <f t="shared" si="7"/>
        <v>180.05</v>
      </c>
      <c r="AG181" s="279" t="s">
        <v>669</v>
      </c>
    </row>
    <row r="182" spans="1:33" s="185" customFormat="1" ht="44.25" customHeight="1">
      <c r="B182" s="198" t="s">
        <v>128</v>
      </c>
      <c r="C182" s="199" t="s">
        <v>129</v>
      </c>
      <c r="D182" s="200"/>
      <c r="E182" s="201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6"/>
    </row>
    <row r="183" spans="1:33" s="185" customFormat="1" ht="12.75">
      <c r="B183" s="202"/>
      <c r="C183" s="203"/>
      <c r="D183" s="204"/>
      <c r="E183" s="205"/>
      <c r="F183" s="177"/>
      <c r="G183" s="177"/>
      <c r="H183" s="177"/>
      <c r="I183" s="177"/>
      <c r="J183" s="177"/>
      <c r="K183" s="177"/>
      <c r="L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206"/>
    </row>
    <row r="184" spans="1:33" s="185" customFormat="1" ht="14.25" thickBot="1">
      <c r="B184" s="207"/>
      <c r="C184" s="208"/>
      <c r="D184" s="209"/>
      <c r="E184" s="210"/>
      <c r="F184" s="211"/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2"/>
    </row>
    <row r="185" spans="1:33" s="185" customFormat="1" ht="13.5" thickTop="1">
      <c r="D185" s="197"/>
      <c r="E185" s="213"/>
    </row>
    <row r="186" spans="1:33" s="185" customFormat="1" ht="12.75">
      <c r="D186" s="197"/>
      <c r="E186" s="213"/>
    </row>
    <row r="187" spans="1:33" s="185" customFormat="1" ht="15" customHeight="1">
      <c r="B187" s="553" t="s">
        <v>105</v>
      </c>
      <c r="C187" s="553"/>
      <c r="D187" s="553"/>
      <c r="E187" s="553"/>
      <c r="F187" s="553"/>
      <c r="G187" s="553"/>
      <c r="H187" s="214"/>
      <c r="I187" s="214"/>
      <c r="J187" s="214"/>
      <c r="K187" s="214"/>
      <c r="L187" s="214"/>
      <c r="M187" s="214"/>
      <c r="N187" s="214"/>
      <c r="O187" s="214"/>
      <c r="P187" s="214"/>
      <c r="Q187" s="215"/>
      <c r="R187" s="215"/>
      <c r="S187" s="215"/>
      <c r="T187" s="215"/>
      <c r="U187" s="215"/>
      <c r="V187" s="215"/>
      <c r="W187" s="215"/>
      <c r="X187" s="554" t="s">
        <v>130</v>
      </c>
      <c r="Y187" s="554"/>
      <c r="Z187" s="554"/>
      <c r="AA187" s="554"/>
      <c r="AB187" s="554"/>
      <c r="AC187" s="554"/>
      <c r="AD187" s="554"/>
      <c r="AE187" s="554"/>
      <c r="AF187" s="554"/>
    </row>
    <row r="188" spans="1:33" s="216" customFormat="1" ht="19.5" customHeight="1">
      <c r="B188" s="553"/>
      <c r="C188" s="553"/>
      <c r="D188" s="553"/>
      <c r="E188" s="553"/>
      <c r="F188" s="553"/>
      <c r="G188" s="553"/>
      <c r="H188" s="214"/>
      <c r="I188" s="214"/>
      <c r="J188" s="214"/>
      <c r="K188" s="214"/>
      <c r="L188" s="214"/>
      <c r="M188" s="214"/>
      <c r="N188" s="214"/>
      <c r="O188" s="214"/>
      <c r="P188" s="214"/>
      <c r="Q188" s="215"/>
      <c r="R188" s="215"/>
      <c r="S188" s="215"/>
      <c r="T188" s="215"/>
      <c r="U188" s="215"/>
      <c r="V188" s="215"/>
      <c r="W188" s="215"/>
      <c r="X188" s="554"/>
      <c r="Y188" s="554"/>
      <c r="Z188" s="554"/>
      <c r="AA188" s="554"/>
      <c r="AB188" s="554"/>
      <c r="AC188" s="554"/>
      <c r="AD188" s="554"/>
      <c r="AE188" s="554"/>
      <c r="AF188" s="554"/>
    </row>
    <row r="189" spans="1:33" s="185" customFormat="1" ht="12.75">
      <c r="D189" s="197"/>
      <c r="E189" s="213"/>
    </row>
    <row r="190" spans="1:33" s="185" customFormat="1" ht="12.75">
      <c r="D190" s="197"/>
      <c r="E190" s="213"/>
    </row>
    <row r="191" spans="1:33" s="185" customFormat="1" ht="12.75">
      <c r="D191" s="197"/>
      <c r="E191" s="213"/>
    </row>
    <row r="192" spans="1:33" s="185" customFormat="1" ht="12.75">
      <c r="D192" s="197"/>
      <c r="E192" s="213"/>
    </row>
    <row r="193" spans="4:5" s="185" customFormat="1" ht="12.75">
      <c r="D193" s="197"/>
      <c r="E193" s="213"/>
    </row>
    <row r="194" spans="4:5" s="185" customFormat="1" ht="12.75">
      <c r="D194" s="197"/>
      <c r="E194" s="213"/>
    </row>
    <row r="195" spans="4:5" s="185" customFormat="1" ht="12.75">
      <c r="D195" s="197"/>
      <c r="E195" s="213"/>
    </row>
    <row r="196" spans="4:5" s="185" customFormat="1" ht="12.75">
      <c r="D196" s="197"/>
      <c r="E196" s="213"/>
    </row>
    <row r="197" spans="4:5" s="185" customFormat="1" ht="12.75">
      <c r="D197" s="197"/>
      <c r="E197" s="213"/>
    </row>
    <row r="198" spans="4:5" s="185" customFormat="1" ht="12.75">
      <c r="D198" s="197"/>
      <c r="E198" s="213"/>
    </row>
    <row r="199" spans="4:5" s="185" customFormat="1" ht="12.75">
      <c r="D199" s="197"/>
      <c r="E199" s="213"/>
    </row>
    <row r="200" spans="4:5" s="185" customFormat="1" ht="12.75">
      <c r="D200" s="197"/>
      <c r="E200" s="213"/>
    </row>
    <row r="201" spans="4:5" s="185" customFormat="1" ht="12.75">
      <c r="D201" s="197"/>
      <c r="E201" s="213"/>
    </row>
    <row r="202" spans="4:5" s="185" customFormat="1" ht="12.75">
      <c r="D202" s="197"/>
      <c r="E202" s="213"/>
    </row>
    <row r="203" spans="4:5" s="185" customFormat="1" ht="12.75">
      <c r="D203" s="197"/>
      <c r="E203" s="213"/>
    </row>
    <row r="204" spans="4:5" s="185" customFormat="1" ht="12.75">
      <c r="D204" s="197"/>
      <c r="E204" s="213"/>
    </row>
    <row r="205" spans="4:5" s="185" customFormat="1" ht="12.75">
      <c r="D205" s="197"/>
      <c r="E205" s="213"/>
    </row>
    <row r="206" spans="4:5" s="185" customFormat="1" ht="12.75">
      <c r="D206" s="197"/>
      <c r="E206" s="213"/>
    </row>
    <row r="207" spans="4:5" s="185" customFormat="1" ht="12.75">
      <c r="D207" s="197"/>
      <c r="E207" s="213"/>
    </row>
  </sheetData>
  <protectedRanges>
    <protectedRange sqref="C53:D130" name="Range1_1"/>
    <protectedRange sqref="B20:C20 B12:D19" name="Range1_2"/>
    <protectedRange sqref="C21:D181" name="Range1_1_1"/>
    <protectedRange sqref="B21:B181" name="Range1_1_3_2_7_1"/>
  </protectedRanges>
  <mergeCells count="16">
    <mergeCell ref="B1:AF2"/>
    <mergeCell ref="B3:AF3"/>
    <mergeCell ref="B4:AF4"/>
    <mergeCell ref="B5:AF5"/>
    <mergeCell ref="B6:AF6"/>
    <mergeCell ref="AF7:AF9"/>
    <mergeCell ref="F8:J8"/>
    <mergeCell ref="K8:V8"/>
    <mergeCell ref="W8:AE8"/>
    <mergeCell ref="B187:G188"/>
    <mergeCell ref="X187:AF188"/>
    <mergeCell ref="B7:B9"/>
    <mergeCell ref="C7:C9"/>
    <mergeCell ref="D7:D9"/>
    <mergeCell ref="E7:E9"/>
    <mergeCell ref="F7:AE7"/>
  </mergeCells>
  <hyperlinks>
    <hyperlink ref="AG101" location="C.II.1.1.2!A1" display="C.II.1.1.2!A1" xr:uid="{00000000-0004-0000-0300-000000000000}"/>
    <hyperlink ref="AG99" location="C.II.1.1.1!A1" display="C.II.1.1.1!A1" xr:uid="{00000000-0004-0000-0300-000001000000}"/>
    <hyperlink ref="AG24" location="C.I.1.1!A1" display="C.I.1.1!A1" xr:uid="{00000000-0004-0000-0300-000002000000}"/>
    <hyperlink ref="AG25" location="C.I.1.2!A1" display="C.I.1.2!A1" xr:uid="{00000000-0004-0000-0300-000003000000}"/>
    <hyperlink ref="AG27" location="C.I.1.3!A1" display="C.I.1.3!A1" xr:uid="{00000000-0004-0000-0300-000004000000}"/>
    <hyperlink ref="AG28" location="C.I.1.4!A1" display="C.I.1.4!A1" xr:uid="{00000000-0004-0000-0300-000005000000}"/>
    <hyperlink ref="AG31" location="C.I.1.5!A1" display="C.I.1.5!A1" xr:uid="{00000000-0004-0000-0300-000006000000}"/>
    <hyperlink ref="AG32" location="C.I.1.6!A1" display="C.I.1.6!A1" xr:uid="{00000000-0004-0000-0300-000007000000}"/>
    <hyperlink ref="AG37" location="C.I.2.2.1!A1" display="C.I.2.2.1!A1" xr:uid="{00000000-0004-0000-0300-000008000000}"/>
    <hyperlink ref="AG48" location="C.I.2.2.7!A1" display="C.I.2.2.7!A1" xr:uid="{00000000-0004-0000-0300-000009000000}"/>
    <hyperlink ref="AG49" location="C.I.2.2.8!A1" display="C.I.2.2.8!A1" xr:uid="{00000000-0004-0000-0300-00000A000000}"/>
    <hyperlink ref="AG50" location="C.I.2.2.9!A1" display="C.I.2.2.9!A1" xr:uid="{00000000-0004-0000-0300-00000B000000}"/>
    <hyperlink ref="AG58" location="C.I.2.2.10!A1" display="C.I.2.2.10!A1" xr:uid="{00000000-0004-0000-0300-00000C000000}"/>
    <hyperlink ref="AG60" location="C.I.2.3.1!A1" display="C.I.2.3.1!A1" xr:uid="{00000000-0004-0000-0300-00000D000000}"/>
    <hyperlink ref="AG67" location="C.I.3.1!A1" display="C.I.3.1!A1" xr:uid="{00000000-0004-0000-0300-00000E000000}"/>
    <hyperlink ref="AG81" location="C.I.3.2!A1" display="C.I.3.2!A1" xr:uid="{00000000-0004-0000-0300-00000F000000}"/>
    <hyperlink ref="AG131" location="C.II.1.3.1!A1" display="C.II.1.3.1!A1" xr:uid="{00000000-0004-0000-0300-000010000000}"/>
    <hyperlink ref="AG135" location="C.II.1.4.1!A1" display="C.II.1.4.1!A1" xr:uid="{00000000-0004-0000-0300-000011000000}"/>
    <hyperlink ref="AG136" location="C.II.1.4.2!A1" display="C.II.1.4.2!A1" xr:uid="{00000000-0004-0000-0300-000012000000}"/>
    <hyperlink ref="AG137" location="C.II.1.4.3!A1" display="C.II.1.4.3!A1" xr:uid="{00000000-0004-0000-0300-000013000000}"/>
    <hyperlink ref="AG138" location="C.II.1.4.4!A1" display="C.II.1.4.4!A1" xr:uid="{00000000-0004-0000-0300-000014000000}"/>
    <hyperlink ref="AG140" location="C.II.1.5.1!A1" display="C.II.1.5.1!A1" xr:uid="{00000000-0004-0000-0300-000015000000}"/>
    <hyperlink ref="AG142" location="C.II.1.5.2!A1" display="C.II.1.5.2!A1" xr:uid="{00000000-0004-0000-0300-000016000000}"/>
    <hyperlink ref="AG143" location="C.II.1.5.3!A1" display="C.II.1.5.3!A1" xr:uid="{00000000-0004-0000-0300-000017000000}"/>
    <hyperlink ref="AG144" location="C.II.1.5.4!A1" display="C.II.1.5.4!A1" xr:uid="{00000000-0004-0000-0300-000018000000}"/>
    <hyperlink ref="AG145" location="C.II.1.5.5!A1" display="C.II.1.5.5!A1" xr:uid="{00000000-0004-0000-0300-000019000000}"/>
    <hyperlink ref="AG147" location="C.II.1.6.1!A1" display="C.II.1.6.1!A1" xr:uid="{00000000-0004-0000-0300-00001A000000}"/>
    <hyperlink ref="AG148" location="C.II.1.6.2!A1" display="C.II.1.6.2!A1" xr:uid="{00000000-0004-0000-0300-00001B000000}"/>
    <hyperlink ref="AG153" location="C.II.1.7.3!A1" display="C.II.1.7.3!A1" xr:uid="{00000000-0004-0000-0300-00001C000000}"/>
    <hyperlink ref="AG154" location="C.II.1.7.4!A1" display="C.II.1.7.4!A1" xr:uid="{00000000-0004-0000-0300-00001D000000}"/>
    <hyperlink ref="AG155" location="C.II.1.7.5!A1" display="C.II.1.7.5!A1" xr:uid="{00000000-0004-0000-0300-00001E000000}"/>
    <hyperlink ref="AG156" location="C.II.1.7.6!A1" display="C.II.1.7.6!A1" xr:uid="{00000000-0004-0000-0300-00001F000000}"/>
    <hyperlink ref="AG161" location="C.II.2.3!A1" display="C.II.2.3!A1" xr:uid="{00000000-0004-0000-0300-000020000000}"/>
    <hyperlink ref="AG162" location="C.II.2.4!A1" display="C.II.2.4!A1" xr:uid="{00000000-0004-0000-0300-000021000000}"/>
    <hyperlink ref="AG163" location="C.II.2.5!A1" display="C.II.2.5!A1" xr:uid="{00000000-0004-0000-0300-000022000000}"/>
    <hyperlink ref="AG165" location="C.II.2.7!A1" display="C.II.2.7!A1" xr:uid="{00000000-0004-0000-0300-000023000000}"/>
    <hyperlink ref="AG167" location="C.II.2.9!A1" display="C.II.2.9!A1" xr:uid="{00000000-0004-0000-0300-000024000000}"/>
    <hyperlink ref="AG166" location="C.II.2.8!A1" display="C.II.2.8!A1" xr:uid="{00000000-0004-0000-0300-000025000000}"/>
    <hyperlink ref="AG102" location="C.II.1.1.3!A1" display="C.II.1.1.3!A1" xr:uid="{00000000-0004-0000-0300-000026000000}"/>
    <hyperlink ref="AG110" location="C.II.1.1.10!A1" display="C.II.1.1.10!A1" xr:uid="{00000000-0004-0000-0300-000027000000}"/>
    <hyperlink ref="AG109" location="C.II.1.1.9!A1" display="C.II.1.1.9!A1" xr:uid="{00000000-0004-0000-0300-000028000000}"/>
    <hyperlink ref="AG108" location="C.II.1.1.8!A1" display="C.II.1.1.8!A1" xr:uid="{00000000-0004-0000-0300-000029000000}"/>
    <hyperlink ref="AG116" location="C.II.1.1.16!A1" display="C.II.1.1.16!A1" xr:uid="{00000000-0004-0000-0300-00002A000000}"/>
    <hyperlink ref="AG115" location="C.II.1.1.15!A1" display="C.II.1.1.15!A1" xr:uid="{00000000-0004-0000-0300-00002B000000}"/>
    <hyperlink ref="AG113" location="C.II.1.1.13!A1" display="C.II.1.1.13!A1" xr:uid="{00000000-0004-0000-0300-00002C000000}"/>
    <hyperlink ref="AG112" location="C.II.1.1.12!A1" display="C.II.1.1.12!A1" xr:uid="{00000000-0004-0000-0300-00002D000000}"/>
    <hyperlink ref="AG111" location="C.II.1.1.11!A1" display="C.II.1.1.11!A1" xr:uid="{00000000-0004-0000-0300-00002E000000}"/>
    <hyperlink ref="AG114" location="C.II.1.1.14!A1" display="C.II.1.1.14!A1" xr:uid="{00000000-0004-0000-0300-00002F000000}"/>
    <hyperlink ref="AG35" location="C.I.2.1.1!A1" display="C.I.2.1.1!A1" xr:uid="{00000000-0004-0000-0300-000030000000}"/>
    <hyperlink ref="AG105" location="C.II.1.1.5!A1" display="C.II.1.1.5!A1" xr:uid="{00000000-0004-0000-0300-000031000000}"/>
    <hyperlink ref="AG106" location="C.II.1.1.6!A1" display="C.II.1.1.6!A1" xr:uid="{00000000-0004-0000-0300-000032000000}"/>
    <hyperlink ref="AG107" location="C.II.1.1.7!A1" display="C.II.1.1.7!A1" xr:uid="{00000000-0004-0000-0300-000033000000}"/>
    <hyperlink ref="AG119" location="C.II.1.2.1!A1" display="C.II.1.2.1!A1" xr:uid="{00000000-0004-0000-0300-000034000000}"/>
    <hyperlink ref="AG121" location="C.II.1.2.2!A1" display="C.II.1.2.2!A1" xr:uid="{00000000-0004-0000-0300-000035000000}"/>
    <hyperlink ref="AG122" location="C.II.1.2.3!A1" display="C.II.1.2.3!A1" xr:uid="{00000000-0004-0000-0300-000036000000}"/>
    <hyperlink ref="AG123" location="C.II.1.2.4!A1" display="C.II.1.2.4!A1" xr:uid="{00000000-0004-0000-0300-000037000000}"/>
    <hyperlink ref="AG124" location="C.II.1.2.5!A1" display="C.II.1.2.5!A1" xr:uid="{00000000-0004-0000-0300-000038000000}"/>
    <hyperlink ref="AG125" location="C.II.1.2.6!A1" display="C.II.1.2.6!A1" xr:uid="{00000000-0004-0000-0300-000039000000}"/>
    <hyperlink ref="AG126" location="C.II.1.2.7!A1" display="C.II.1.2.7!A1" xr:uid="{00000000-0004-0000-0300-00003A000000}"/>
    <hyperlink ref="AG128" location="C.II.1.2.8!A1" display="C.II.1.2.8!A1" xr:uid="{00000000-0004-0000-0300-00003B000000}"/>
    <hyperlink ref="AG172" location="C.III.1.1!A1" display="C.III.1.1!A1" xr:uid="{00000000-0004-0000-0300-00003C000000}"/>
    <hyperlink ref="AG173" location="C.III.1.2!A1" display="C.III.1.2!A1" xr:uid="{00000000-0004-0000-0300-00003D000000}"/>
    <hyperlink ref="AG175" location="C.III.1.4!A1" display="C.III.1.4!A1" xr:uid="{00000000-0004-0000-0300-00003E000000}"/>
    <hyperlink ref="AG177" location="C.III.1.5!A1" display="C.III.1.5!A1" xr:uid="{00000000-0004-0000-0300-00003F000000}"/>
    <hyperlink ref="AG178" location="C.III.1.6!A1" display="C.III.1.6!A1" xr:uid="{00000000-0004-0000-0300-000040000000}"/>
    <hyperlink ref="AG169" location="C.II.2.11!A1" display="C.II.2.11!A1" xr:uid="{00000000-0004-0000-0300-000041000000}"/>
    <hyperlink ref="AG181" location="C.III.2.1!A1" display="C.III.2.1!A1" xr:uid="{00000000-0004-0000-0300-000042000000}"/>
    <hyperlink ref="AG93" location="C.I.3.3!A1" display="C.I.3.3!A1" xr:uid="{00000000-0004-0000-0300-000043000000}"/>
    <hyperlink ref="AG95" location="C.I.3.4!A1" display="C.I.3.4!A1" xr:uid="{00000000-0004-0000-0300-000044000000}"/>
    <hyperlink ref="AG152" location="C.II.1.7.2!A1" display="C.II.1.7.2!A1" xr:uid="{00000000-0004-0000-0300-000045000000}"/>
    <hyperlink ref="AG151" location="C.II.1.7.1!A1" display="C.II.1.7.1!A1" xr:uid="{00000000-0004-0000-0300-000046000000}"/>
  </hyperlinks>
  <pageMargins left="0.7" right="0.7" top="0.75" bottom="0.75" header="0.3" footer="0.3"/>
  <pageSetup paperSize="9"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>
    <tabColor rgb="FF92D050"/>
  </sheetPr>
  <dimension ref="A1:T96"/>
  <sheetViews>
    <sheetView topLeftCell="A82" zoomScaleSheetLayoutView="100" workbookViewId="0">
      <selection activeCell="A89" sqref="A89:K9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C.I.1.1. Dầm bản lắp ghép BTCT DƯL L=18m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 t="s">
        <v>332</v>
      </c>
      <c r="N6" s="245" t="str">
        <f>THKLQT!C24</f>
        <v>Dầm bản lắp ghép BTCT DƯL L=18m</v>
      </c>
      <c r="Q6" s="17"/>
    </row>
    <row r="7" spans="1:20" s="14" customFormat="1" ht="18.75" customHeight="1">
      <c r="A7" s="634">
        <f>I36</f>
        <v>24</v>
      </c>
      <c r="B7" s="635"/>
      <c r="C7" s="635"/>
      <c r="D7" s="635"/>
      <c r="E7" s="106" t="str">
        <f>"("&amp;L7&amp;")"</f>
        <v>(Dầm)</v>
      </c>
      <c r="F7" s="113"/>
      <c r="G7" s="113"/>
      <c r="H7" s="113"/>
      <c r="I7" s="113"/>
      <c r="J7" s="113"/>
      <c r="K7" s="114"/>
      <c r="L7" s="26" t="str">
        <f>THKLQT!D24</f>
        <v>Dầm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2"/>
      <c r="M8" s="22"/>
      <c r="N8" s="22"/>
      <c r="O8" s="22"/>
      <c r="P8" s="22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43307</v>
      </c>
      <c r="C12" s="571" t="str">
        <f>T12</f>
        <v>Dầm bản lắp ghép BTCT DƯL L=18m</v>
      </c>
      <c r="D12" s="572"/>
      <c r="E12" s="573"/>
      <c r="F12" s="27">
        <f>P12</f>
        <v>1</v>
      </c>
      <c r="G12" s="33">
        <f>P12</f>
        <v>1</v>
      </c>
      <c r="H12" s="295">
        <f>P12</f>
        <v>1</v>
      </c>
      <c r="I12" s="107">
        <f>P12</f>
        <v>1</v>
      </c>
      <c r="J12" s="107">
        <f>P12</f>
        <v>1</v>
      </c>
      <c r="K12" s="603" t="s">
        <v>674</v>
      </c>
      <c r="N12" s="118"/>
      <c r="O12" s="118"/>
      <c r="P12" s="88">
        <v>1</v>
      </c>
      <c r="Q12" s="89">
        <v>43307</v>
      </c>
      <c r="R12" s="83"/>
      <c r="S12" s="88" t="e">
        <f t="shared" ref="S12:S35" si="0">VLOOKUP($S$11,hamchuigoi3,M12,0)</f>
        <v>#VALUE!</v>
      </c>
      <c r="T12" s="83" t="str">
        <f>N6</f>
        <v>Dầm bản lắp ghép BTCT DƯL L=18m</v>
      </c>
    </row>
    <row r="13" spans="1:20" ht="14.25" outlineLevel="2">
      <c r="A13" s="81">
        <f>SUBTOTAL(103,$B$12:B13)</f>
        <v>2</v>
      </c>
      <c r="B13" s="78">
        <f t="shared" ref="B13" si="1">Q13</f>
        <v>43325</v>
      </c>
      <c r="C13" s="571" t="str">
        <f t="shared" ref="C13:C35" si="2">T13</f>
        <v>Dầm bản lắp ghép BTCT DƯL L=18m</v>
      </c>
      <c r="D13" s="572"/>
      <c r="E13" s="573"/>
      <c r="F13" s="27">
        <f t="shared" ref="F13" si="3">P13</f>
        <v>1</v>
      </c>
      <c r="G13" s="33">
        <f t="shared" ref="G13" si="4">P13</f>
        <v>1</v>
      </c>
      <c r="H13" s="295">
        <f t="shared" ref="H13" si="5">P13</f>
        <v>1</v>
      </c>
      <c r="I13" s="107">
        <f t="shared" ref="I13" si="6">P13</f>
        <v>1</v>
      </c>
      <c r="J13" s="107">
        <f t="shared" ref="J13" si="7">P13</f>
        <v>1</v>
      </c>
      <c r="K13" s="604"/>
      <c r="N13" s="118"/>
      <c r="O13" s="118"/>
      <c r="P13" s="88">
        <v>1</v>
      </c>
      <c r="Q13" s="89">
        <v>43325</v>
      </c>
      <c r="R13" s="83"/>
      <c r="S13" s="88" t="e">
        <f t="shared" si="0"/>
        <v>#VALUE!</v>
      </c>
      <c r="T13" s="83" t="str">
        <f>T12</f>
        <v>Dầm bản lắp ghép BTCT DƯL L=18m</v>
      </c>
    </row>
    <row r="14" spans="1:20" ht="14.25" outlineLevel="2">
      <c r="A14" s="81">
        <f>SUBTOTAL(103,$B$12:B14)</f>
        <v>3</v>
      </c>
      <c r="B14" s="78">
        <f t="shared" ref="B14:B35" si="8">Q14</f>
        <v>43332</v>
      </c>
      <c r="C14" s="571" t="str">
        <f t="shared" si="2"/>
        <v>Dầm bản lắp ghép BTCT DƯL L=18m</v>
      </c>
      <c r="D14" s="572"/>
      <c r="E14" s="573"/>
      <c r="F14" s="27">
        <f t="shared" ref="F14:F35" si="9">P14</f>
        <v>1</v>
      </c>
      <c r="G14" s="33">
        <f t="shared" ref="G14:G35" si="10">P14</f>
        <v>1</v>
      </c>
      <c r="H14" s="295">
        <f t="shared" ref="H14:H35" si="11">P14</f>
        <v>1</v>
      </c>
      <c r="I14" s="107">
        <f t="shared" ref="I14:I35" si="12">P14</f>
        <v>1</v>
      </c>
      <c r="J14" s="107">
        <f t="shared" ref="J14:J35" si="13">P14</f>
        <v>1</v>
      </c>
      <c r="K14" s="604"/>
      <c r="N14" s="118"/>
      <c r="O14" s="118"/>
      <c r="P14" s="88">
        <v>1</v>
      </c>
      <c r="Q14" s="89">
        <v>43332</v>
      </c>
      <c r="R14" s="83"/>
      <c r="S14" s="88" t="e">
        <f t="shared" si="0"/>
        <v>#VALUE!</v>
      </c>
      <c r="T14" s="83" t="str">
        <f t="shared" ref="T14:T35" si="14">T13</f>
        <v>Dầm bản lắp ghép BTCT DƯL L=18m</v>
      </c>
    </row>
    <row r="15" spans="1:20" ht="14.25" outlineLevel="2">
      <c r="A15" s="81">
        <f>SUBTOTAL(103,$B$12:B15)</f>
        <v>4</v>
      </c>
      <c r="B15" s="78">
        <f t="shared" si="8"/>
        <v>43333</v>
      </c>
      <c r="C15" s="571" t="str">
        <f t="shared" si="2"/>
        <v>Dầm bản lắp ghép BTCT DƯL L=18m</v>
      </c>
      <c r="D15" s="572"/>
      <c r="E15" s="573"/>
      <c r="F15" s="27">
        <f t="shared" si="9"/>
        <v>1</v>
      </c>
      <c r="G15" s="33">
        <f t="shared" si="10"/>
        <v>1</v>
      </c>
      <c r="H15" s="295">
        <f t="shared" si="11"/>
        <v>1</v>
      </c>
      <c r="I15" s="107">
        <f t="shared" si="12"/>
        <v>1</v>
      </c>
      <c r="J15" s="107">
        <f t="shared" si="13"/>
        <v>1</v>
      </c>
      <c r="K15" s="604"/>
      <c r="N15" s="118"/>
      <c r="O15" s="118"/>
      <c r="P15" s="88">
        <v>1</v>
      </c>
      <c r="Q15" s="89">
        <v>43333</v>
      </c>
      <c r="R15" s="83"/>
      <c r="S15" s="88" t="e">
        <f t="shared" si="0"/>
        <v>#VALUE!</v>
      </c>
      <c r="T15" s="83" t="str">
        <f t="shared" si="14"/>
        <v>Dầm bản lắp ghép BTCT DƯL L=18m</v>
      </c>
    </row>
    <row r="16" spans="1:20" ht="14.25" outlineLevel="2">
      <c r="A16" s="81">
        <f>SUBTOTAL(103,$B$12:B16)</f>
        <v>5</v>
      </c>
      <c r="B16" s="78">
        <f t="shared" si="8"/>
        <v>43341</v>
      </c>
      <c r="C16" s="571" t="str">
        <f t="shared" si="2"/>
        <v>Dầm bản lắp ghép BTCT DƯL L=18m</v>
      </c>
      <c r="D16" s="572"/>
      <c r="E16" s="573"/>
      <c r="F16" s="27">
        <f t="shared" si="9"/>
        <v>1</v>
      </c>
      <c r="G16" s="33">
        <f t="shared" si="10"/>
        <v>1</v>
      </c>
      <c r="H16" s="295">
        <f t="shared" si="11"/>
        <v>1</v>
      </c>
      <c r="I16" s="107">
        <f t="shared" si="12"/>
        <v>1</v>
      </c>
      <c r="J16" s="107">
        <f t="shared" si="13"/>
        <v>1</v>
      </c>
      <c r="K16" s="604"/>
      <c r="N16" s="118"/>
      <c r="O16" s="118"/>
      <c r="P16" s="88">
        <v>1</v>
      </c>
      <c r="Q16" s="89">
        <v>43341</v>
      </c>
      <c r="R16" s="83"/>
      <c r="S16" s="88" t="e">
        <f t="shared" si="0"/>
        <v>#VALUE!</v>
      </c>
      <c r="T16" s="83" t="str">
        <f t="shared" si="14"/>
        <v>Dầm bản lắp ghép BTCT DƯL L=18m</v>
      </c>
    </row>
    <row r="17" spans="1:20" ht="14.25" outlineLevel="2">
      <c r="A17" s="81">
        <f>SUBTOTAL(103,$B$12:B17)</f>
        <v>6</v>
      </c>
      <c r="B17" s="78">
        <f t="shared" si="8"/>
        <v>43344</v>
      </c>
      <c r="C17" s="571" t="str">
        <f t="shared" si="2"/>
        <v>Dầm bản lắp ghép BTCT DƯL L=18m</v>
      </c>
      <c r="D17" s="572"/>
      <c r="E17" s="573"/>
      <c r="F17" s="27">
        <f t="shared" si="9"/>
        <v>1</v>
      </c>
      <c r="G17" s="33">
        <f t="shared" si="10"/>
        <v>1</v>
      </c>
      <c r="H17" s="295">
        <f t="shared" si="11"/>
        <v>1</v>
      </c>
      <c r="I17" s="107">
        <f t="shared" si="12"/>
        <v>1</v>
      </c>
      <c r="J17" s="107">
        <f t="shared" si="13"/>
        <v>1</v>
      </c>
      <c r="K17" s="604"/>
      <c r="N17" s="118"/>
      <c r="O17" s="118"/>
      <c r="P17" s="88">
        <v>1</v>
      </c>
      <c r="Q17" s="89">
        <v>43344</v>
      </c>
      <c r="R17" s="83"/>
      <c r="S17" s="88" t="e">
        <f t="shared" si="0"/>
        <v>#VALUE!</v>
      </c>
      <c r="T17" s="83" t="str">
        <f t="shared" si="14"/>
        <v>Dầm bản lắp ghép BTCT DƯL L=18m</v>
      </c>
    </row>
    <row r="18" spans="1:20" ht="14.25" outlineLevel="2">
      <c r="A18" s="81">
        <f>SUBTOTAL(103,$B$12:B18)</f>
        <v>7</v>
      </c>
      <c r="B18" s="78">
        <f t="shared" si="8"/>
        <v>43347</v>
      </c>
      <c r="C18" s="571" t="str">
        <f t="shared" si="2"/>
        <v>Dầm bản lắp ghép BTCT DƯL L=18m</v>
      </c>
      <c r="D18" s="572"/>
      <c r="E18" s="573"/>
      <c r="F18" s="27">
        <f t="shared" si="9"/>
        <v>1</v>
      </c>
      <c r="G18" s="33">
        <f t="shared" si="10"/>
        <v>1</v>
      </c>
      <c r="H18" s="295">
        <f t="shared" si="11"/>
        <v>1</v>
      </c>
      <c r="I18" s="107">
        <f t="shared" si="12"/>
        <v>1</v>
      </c>
      <c r="J18" s="107">
        <f t="shared" si="13"/>
        <v>1</v>
      </c>
      <c r="K18" s="604"/>
      <c r="N18" s="118"/>
      <c r="O18" s="118"/>
      <c r="P18" s="88">
        <v>1</v>
      </c>
      <c r="Q18" s="89">
        <v>43347</v>
      </c>
      <c r="R18" s="83"/>
      <c r="S18" s="88" t="e">
        <f t="shared" si="0"/>
        <v>#VALUE!</v>
      </c>
      <c r="T18" s="83" t="str">
        <f t="shared" si="14"/>
        <v>Dầm bản lắp ghép BTCT DƯL L=18m</v>
      </c>
    </row>
    <row r="19" spans="1:20" ht="14.25" outlineLevel="2">
      <c r="A19" s="81">
        <f>SUBTOTAL(103,$B$12:B19)</f>
        <v>8</v>
      </c>
      <c r="B19" s="78">
        <f t="shared" si="8"/>
        <v>43350</v>
      </c>
      <c r="C19" s="571" t="str">
        <f t="shared" si="2"/>
        <v>Dầm bản lắp ghép BTCT DƯL L=18m</v>
      </c>
      <c r="D19" s="572"/>
      <c r="E19" s="573"/>
      <c r="F19" s="27">
        <f t="shared" si="9"/>
        <v>1</v>
      </c>
      <c r="G19" s="33">
        <f t="shared" si="10"/>
        <v>1</v>
      </c>
      <c r="H19" s="295">
        <f t="shared" si="11"/>
        <v>1</v>
      </c>
      <c r="I19" s="107">
        <f t="shared" si="12"/>
        <v>1</v>
      </c>
      <c r="J19" s="107">
        <f t="shared" si="13"/>
        <v>1</v>
      </c>
      <c r="K19" s="604"/>
      <c r="N19" s="118"/>
      <c r="O19" s="118"/>
      <c r="P19" s="88">
        <v>1</v>
      </c>
      <c r="Q19" s="89">
        <v>43350</v>
      </c>
      <c r="R19" s="83"/>
      <c r="S19" s="88" t="e">
        <f t="shared" si="0"/>
        <v>#VALUE!</v>
      </c>
      <c r="T19" s="83" t="str">
        <f t="shared" si="14"/>
        <v>Dầm bản lắp ghép BTCT DƯL L=18m</v>
      </c>
    </row>
    <row r="20" spans="1:20" ht="14.25" outlineLevel="2">
      <c r="A20" s="81">
        <f>SUBTOTAL(103,$B$12:B20)</f>
        <v>9</v>
      </c>
      <c r="B20" s="78">
        <f t="shared" si="8"/>
        <v>43353</v>
      </c>
      <c r="C20" s="571" t="str">
        <f t="shared" si="2"/>
        <v>Dầm bản lắp ghép BTCT DƯL L=18m</v>
      </c>
      <c r="D20" s="572"/>
      <c r="E20" s="573"/>
      <c r="F20" s="27">
        <f t="shared" si="9"/>
        <v>1</v>
      </c>
      <c r="G20" s="33">
        <f t="shared" si="10"/>
        <v>1</v>
      </c>
      <c r="H20" s="295">
        <f t="shared" si="11"/>
        <v>1</v>
      </c>
      <c r="I20" s="107">
        <f t="shared" si="12"/>
        <v>1</v>
      </c>
      <c r="J20" s="107">
        <f t="shared" si="13"/>
        <v>1</v>
      </c>
      <c r="K20" s="604"/>
      <c r="N20" s="118"/>
      <c r="O20" s="118"/>
      <c r="P20" s="88">
        <v>1</v>
      </c>
      <c r="Q20" s="89">
        <v>43353</v>
      </c>
      <c r="R20" s="83"/>
      <c r="S20" s="88" t="e">
        <f t="shared" si="0"/>
        <v>#VALUE!</v>
      </c>
      <c r="T20" s="83" t="str">
        <f t="shared" si="14"/>
        <v>Dầm bản lắp ghép BTCT DƯL L=18m</v>
      </c>
    </row>
    <row r="21" spans="1:20" ht="14.25" outlineLevel="2">
      <c r="A21" s="81">
        <f>SUBTOTAL(103,$B$12:B21)</f>
        <v>10</v>
      </c>
      <c r="B21" s="78">
        <f t="shared" si="8"/>
        <v>43358</v>
      </c>
      <c r="C21" s="571" t="str">
        <f t="shared" si="2"/>
        <v>Dầm bản lắp ghép BTCT DƯL L=18m</v>
      </c>
      <c r="D21" s="572"/>
      <c r="E21" s="573"/>
      <c r="F21" s="27">
        <f t="shared" si="9"/>
        <v>1</v>
      </c>
      <c r="G21" s="33">
        <f t="shared" si="10"/>
        <v>1</v>
      </c>
      <c r="H21" s="295">
        <f t="shared" si="11"/>
        <v>1</v>
      </c>
      <c r="I21" s="107">
        <f t="shared" si="12"/>
        <v>1</v>
      </c>
      <c r="J21" s="107">
        <f t="shared" si="13"/>
        <v>1</v>
      </c>
      <c r="K21" s="604"/>
      <c r="N21" s="118"/>
      <c r="O21" s="118"/>
      <c r="P21" s="88">
        <v>1</v>
      </c>
      <c r="Q21" s="89">
        <v>43358</v>
      </c>
      <c r="R21" s="83"/>
      <c r="S21" s="88" t="e">
        <f t="shared" si="0"/>
        <v>#VALUE!</v>
      </c>
      <c r="T21" s="83" t="str">
        <f t="shared" si="14"/>
        <v>Dầm bản lắp ghép BTCT DƯL L=18m</v>
      </c>
    </row>
    <row r="22" spans="1:20" ht="14.25" outlineLevel="2">
      <c r="A22" s="81">
        <f>SUBTOTAL(103,$B$12:B22)</f>
        <v>11</v>
      </c>
      <c r="B22" s="78">
        <f t="shared" si="8"/>
        <v>43361</v>
      </c>
      <c r="C22" s="571" t="str">
        <f t="shared" si="2"/>
        <v>Dầm bản lắp ghép BTCT DƯL L=18m</v>
      </c>
      <c r="D22" s="572"/>
      <c r="E22" s="573"/>
      <c r="F22" s="27">
        <f t="shared" si="9"/>
        <v>1</v>
      </c>
      <c r="G22" s="33">
        <f t="shared" si="10"/>
        <v>1</v>
      </c>
      <c r="H22" s="295">
        <f t="shared" si="11"/>
        <v>1</v>
      </c>
      <c r="I22" s="107">
        <f t="shared" si="12"/>
        <v>1</v>
      </c>
      <c r="J22" s="107">
        <f t="shared" si="13"/>
        <v>1</v>
      </c>
      <c r="K22" s="604"/>
      <c r="N22" s="118"/>
      <c r="O22" s="118"/>
      <c r="P22" s="88">
        <v>1</v>
      </c>
      <c r="Q22" s="89">
        <v>43361</v>
      </c>
      <c r="R22" s="83"/>
      <c r="S22" s="88" t="e">
        <f t="shared" si="0"/>
        <v>#VALUE!</v>
      </c>
      <c r="T22" s="83" t="str">
        <f t="shared" si="14"/>
        <v>Dầm bản lắp ghép BTCT DƯL L=18m</v>
      </c>
    </row>
    <row r="23" spans="1:20" ht="14.25" outlineLevel="2">
      <c r="A23" s="81">
        <f>SUBTOTAL(103,$B$12:B23)</f>
        <v>12</v>
      </c>
      <c r="B23" s="78">
        <f t="shared" si="8"/>
        <v>43364</v>
      </c>
      <c r="C23" s="571" t="str">
        <f t="shared" si="2"/>
        <v>Dầm bản lắp ghép BTCT DƯL L=18m</v>
      </c>
      <c r="D23" s="572"/>
      <c r="E23" s="573"/>
      <c r="F23" s="27">
        <f t="shared" si="9"/>
        <v>1</v>
      </c>
      <c r="G23" s="33">
        <f t="shared" si="10"/>
        <v>1</v>
      </c>
      <c r="H23" s="295">
        <f t="shared" si="11"/>
        <v>1</v>
      </c>
      <c r="I23" s="107">
        <f t="shared" si="12"/>
        <v>1</v>
      </c>
      <c r="J23" s="107">
        <f t="shared" si="13"/>
        <v>1</v>
      </c>
      <c r="K23" s="604"/>
      <c r="N23" s="118"/>
      <c r="O23" s="118"/>
      <c r="P23" s="88">
        <v>1</v>
      </c>
      <c r="Q23" s="89">
        <v>43364</v>
      </c>
      <c r="R23" s="83"/>
      <c r="S23" s="88" t="e">
        <f t="shared" si="0"/>
        <v>#VALUE!</v>
      </c>
      <c r="T23" s="83" t="str">
        <f t="shared" si="14"/>
        <v>Dầm bản lắp ghép BTCT DƯL L=18m</v>
      </c>
    </row>
    <row r="24" spans="1:20" ht="14.25" outlineLevel="2">
      <c r="A24" s="81">
        <f>SUBTOTAL(103,$B$12:B24)</f>
        <v>13</v>
      </c>
      <c r="B24" s="78">
        <f t="shared" si="8"/>
        <v>43367</v>
      </c>
      <c r="C24" s="571" t="str">
        <f t="shared" si="2"/>
        <v>Dầm bản lắp ghép BTCT DƯL L=18m</v>
      </c>
      <c r="D24" s="572"/>
      <c r="E24" s="573"/>
      <c r="F24" s="27">
        <f t="shared" si="9"/>
        <v>1</v>
      </c>
      <c r="G24" s="33">
        <f t="shared" si="10"/>
        <v>1</v>
      </c>
      <c r="H24" s="295">
        <f t="shared" si="11"/>
        <v>1</v>
      </c>
      <c r="I24" s="107">
        <f t="shared" si="12"/>
        <v>1</v>
      </c>
      <c r="J24" s="107">
        <f t="shared" si="13"/>
        <v>1</v>
      </c>
      <c r="K24" s="604"/>
      <c r="N24" s="118"/>
      <c r="O24" s="118"/>
      <c r="P24" s="88">
        <v>1</v>
      </c>
      <c r="Q24" s="89">
        <v>43367</v>
      </c>
      <c r="R24" s="83"/>
      <c r="S24" s="88" t="e">
        <f t="shared" si="0"/>
        <v>#VALUE!</v>
      </c>
      <c r="T24" s="83" t="str">
        <f t="shared" si="14"/>
        <v>Dầm bản lắp ghép BTCT DƯL L=18m</v>
      </c>
    </row>
    <row r="25" spans="1:20" ht="14.25" outlineLevel="2">
      <c r="A25" s="81">
        <f>SUBTOTAL(103,$B$12:B25)</f>
        <v>14</v>
      </c>
      <c r="B25" s="78">
        <f t="shared" si="8"/>
        <v>43371</v>
      </c>
      <c r="C25" s="571" t="str">
        <f t="shared" si="2"/>
        <v>Dầm bản lắp ghép BTCT DƯL L=18m</v>
      </c>
      <c r="D25" s="572"/>
      <c r="E25" s="573"/>
      <c r="F25" s="27">
        <f t="shared" si="9"/>
        <v>1</v>
      </c>
      <c r="G25" s="33">
        <f t="shared" si="10"/>
        <v>1</v>
      </c>
      <c r="H25" s="295">
        <f t="shared" si="11"/>
        <v>1</v>
      </c>
      <c r="I25" s="107">
        <f t="shared" si="12"/>
        <v>1</v>
      </c>
      <c r="J25" s="107">
        <f t="shared" si="13"/>
        <v>1</v>
      </c>
      <c r="K25" s="604"/>
      <c r="N25" s="118"/>
      <c r="O25" s="118"/>
      <c r="P25" s="88">
        <v>1</v>
      </c>
      <c r="Q25" s="89">
        <v>43371</v>
      </c>
      <c r="R25" s="83"/>
      <c r="S25" s="88" t="e">
        <f t="shared" si="0"/>
        <v>#VALUE!</v>
      </c>
      <c r="T25" s="83" t="str">
        <f t="shared" si="14"/>
        <v>Dầm bản lắp ghép BTCT DƯL L=18m</v>
      </c>
    </row>
    <row r="26" spans="1:20" ht="14.25" outlineLevel="2">
      <c r="A26" s="81">
        <f>SUBTOTAL(103,$B$12:B26)</f>
        <v>15</v>
      </c>
      <c r="B26" s="78">
        <f t="shared" si="8"/>
        <v>43373</v>
      </c>
      <c r="C26" s="571" t="str">
        <f t="shared" si="2"/>
        <v>Dầm bản lắp ghép BTCT DƯL L=18m</v>
      </c>
      <c r="D26" s="572"/>
      <c r="E26" s="573"/>
      <c r="F26" s="27">
        <f t="shared" si="9"/>
        <v>1</v>
      </c>
      <c r="G26" s="33">
        <f t="shared" si="10"/>
        <v>1</v>
      </c>
      <c r="H26" s="295">
        <f t="shared" si="11"/>
        <v>1</v>
      </c>
      <c r="I26" s="107">
        <f t="shared" si="12"/>
        <v>1</v>
      </c>
      <c r="J26" s="107">
        <f t="shared" si="13"/>
        <v>1</v>
      </c>
      <c r="K26" s="604"/>
      <c r="N26" s="118"/>
      <c r="O26" s="118"/>
      <c r="P26" s="88">
        <v>1</v>
      </c>
      <c r="Q26" s="89">
        <v>43373</v>
      </c>
      <c r="R26" s="83"/>
      <c r="S26" s="88" t="e">
        <f t="shared" si="0"/>
        <v>#VALUE!</v>
      </c>
      <c r="T26" s="83" t="str">
        <f t="shared" si="14"/>
        <v>Dầm bản lắp ghép BTCT DƯL L=18m</v>
      </c>
    </row>
    <row r="27" spans="1:20" ht="14.25" outlineLevel="2">
      <c r="A27" s="81">
        <f>SUBTOTAL(103,$B$12:B27)</f>
        <v>16</v>
      </c>
      <c r="B27" s="78">
        <f t="shared" si="8"/>
        <v>43375</v>
      </c>
      <c r="C27" s="571" t="str">
        <f t="shared" si="2"/>
        <v>Dầm bản lắp ghép BTCT DƯL L=18m</v>
      </c>
      <c r="D27" s="572"/>
      <c r="E27" s="573"/>
      <c r="F27" s="27">
        <f t="shared" si="9"/>
        <v>1</v>
      </c>
      <c r="G27" s="33">
        <f t="shared" si="10"/>
        <v>1</v>
      </c>
      <c r="H27" s="295">
        <f t="shared" si="11"/>
        <v>1</v>
      </c>
      <c r="I27" s="107">
        <f t="shared" si="12"/>
        <v>1</v>
      </c>
      <c r="J27" s="107">
        <f t="shared" si="13"/>
        <v>1</v>
      </c>
      <c r="K27" s="604"/>
      <c r="N27" s="118"/>
      <c r="O27" s="118"/>
      <c r="P27" s="88">
        <v>1</v>
      </c>
      <c r="Q27" s="89">
        <v>43375</v>
      </c>
      <c r="R27" s="83"/>
      <c r="S27" s="88" t="e">
        <f t="shared" si="0"/>
        <v>#VALUE!</v>
      </c>
      <c r="T27" s="83" t="str">
        <f t="shared" si="14"/>
        <v>Dầm bản lắp ghép BTCT DƯL L=18m</v>
      </c>
    </row>
    <row r="28" spans="1:20" ht="14.25" outlineLevel="2">
      <c r="A28" s="81">
        <f>SUBTOTAL(103,$B$12:B28)</f>
        <v>17</v>
      </c>
      <c r="B28" s="78">
        <f t="shared" si="8"/>
        <v>43378</v>
      </c>
      <c r="C28" s="571" t="str">
        <f t="shared" si="2"/>
        <v>Dầm bản lắp ghép BTCT DƯL L=18m</v>
      </c>
      <c r="D28" s="572"/>
      <c r="E28" s="573"/>
      <c r="F28" s="27">
        <f t="shared" si="9"/>
        <v>1</v>
      </c>
      <c r="G28" s="33">
        <f t="shared" si="10"/>
        <v>1</v>
      </c>
      <c r="H28" s="295">
        <f t="shared" si="11"/>
        <v>1</v>
      </c>
      <c r="I28" s="107">
        <f t="shared" si="12"/>
        <v>1</v>
      </c>
      <c r="J28" s="107">
        <f t="shared" si="13"/>
        <v>1</v>
      </c>
      <c r="K28" s="604"/>
      <c r="N28" s="118"/>
      <c r="O28" s="118"/>
      <c r="P28" s="88">
        <v>1</v>
      </c>
      <c r="Q28" s="89">
        <v>43378</v>
      </c>
      <c r="R28" s="83"/>
      <c r="S28" s="88" t="e">
        <f t="shared" si="0"/>
        <v>#VALUE!</v>
      </c>
      <c r="T28" s="83" t="str">
        <f t="shared" si="14"/>
        <v>Dầm bản lắp ghép BTCT DƯL L=18m</v>
      </c>
    </row>
    <row r="29" spans="1:20" ht="14.25" outlineLevel="2">
      <c r="A29" s="81">
        <f>SUBTOTAL(103,$B$12:B29)</f>
        <v>18</v>
      </c>
      <c r="B29" s="78">
        <f t="shared" si="8"/>
        <v>43381</v>
      </c>
      <c r="C29" s="571" t="str">
        <f t="shared" si="2"/>
        <v>Dầm bản lắp ghép BTCT DƯL L=18m</v>
      </c>
      <c r="D29" s="572"/>
      <c r="E29" s="573"/>
      <c r="F29" s="27">
        <f t="shared" si="9"/>
        <v>1</v>
      </c>
      <c r="G29" s="33">
        <f t="shared" si="10"/>
        <v>1</v>
      </c>
      <c r="H29" s="295">
        <f t="shared" si="11"/>
        <v>1</v>
      </c>
      <c r="I29" s="107">
        <f t="shared" si="12"/>
        <v>1</v>
      </c>
      <c r="J29" s="107">
        <f t="shared" si="13"/>
        <v>1</v>
      </c>
      <c r="K29" s="604"/>
      <c r="N29" s="118"/>
      <c r="O29" s="118"/>
      <c r="P29" s="88">
        <v>1</v>
      </c>
      <c r="Q29" s="89">
        <v>43381</v>
      </c>
      <c r="R29" s="83"/>
      <c r="S29" s="88" t="e">
        <f t="shared" si="0"/>
        <v>#VALUE!</v>
      </c>
      <c r="T29" s="83" t="str">
        <f t="shared" si="14"/>
        <v>Dầm bản lắp ghép BTCT DƯL L=18m</v>
      </c>
    </row>
    <row r="30" spans="1:20" ht="14.25" outlineLevel="2">
      <c r="A30" s="81">
        <f>SUBTOTAL(103,$B$12:B30)</f>
        <v>19</v>
      </c>
      <c r="B30" s="78">
        <f t="shared" si="8"/>
        <v>43384</v>
      </c>
      <c r="C30" s="571" t="str">
        <f t="shared" si="2"/>
        <v>Dầm bản lắp ghép BTCT DƯL L=18m</v>
      </c>
      <c r="D30" s="572"/>
      <c r="E30" s="573"/>
      <c r="F30" s="27">
        <f t="shared" si="9"/>
        <v>1</v>
      </c>
      <c r="G30" s="33">
        <f t="shared" si="10"/>
        <v>1</v>
      </c>
      <c r="H30" s="295">
        <f t="shared" si="11"/>
        <v>1</v>
      </c>
      <c r="I30" s="107">
        <f t="shared" si="12"/>
        <v>1</v>
      </c>
      <c r="J30" s="107">
        <f t="shared" si="13"/>
        <v>1</v>
      </c>
      <c r="K30" s="604"/>
      <c r="N30" s="118"/>
      <c r="O30" s="118"/>
      <c r="P30" s="88">
        <v>1</v>
      </c>
      <c r="Q30" s="89">
        <v>43384</v>
      </c>
      <c r="R30" s="83"/>
      <c r="S30" s="88" t="e">
        <f t="shared" si="0"/>
        <v>#VALUE!</v>
      </c>
      <c r="T30" s="83" t="str">
        <f t="shared" si="14"/>
        <v>Dầm bản lắp ghép BTCT DƯL L=18m</v>
      </c>
    </row>
    <row r="31" spans="1:20" ht="14.25" outlineLevel="2">
      <c r="A31" s="81">
        <f>SUBTOTAL(103,$B$12:B31)</f>
        <v>20</v>
      </c>
      <c r="B31" s="78">
        <f t="shared" si="8"/>
        <v>43387</v>
      </c>
      <c r="C31" s="571" t="str">
        <f t="shared" si="2"/>
        <v>Dầm bản lắp ghép BTCT DƯL L=18m</v>
      </c>
      <c r="D31" s="572"/>
      <c r="E31" s="573"/>
      <c r="F31" s="27">
        <f t="shared" si="9"/>
        <v>1</v>
      </c>
      <c r="G31" s="33">
        <f t="shared" si="10"/>
        <v>1</v>
      </c>
      <c r="H31" s="295">
        <f t="shared" si="11"/>
        <v>1</v>
      </c>
      <c r="I31" s="107">
        <f t="shared" si="12"/>
        <v>1</v>
      </c>
      <c r="J31" s="107">
        <f t="shared" si="13"/>
        <v>1</v>
      </c>
      <c r="K31" s="604"/>
      <c r="N31" s="118"/>
      <c r="O31" s="118"/>
      <c r="P31" s="88">
        <v>1</v>
      </c>
      <c r="Q31" s="89">
        <v>43387</v>
      </c>
      <c r="R31" s="83"/>
      <c r="S31" s="88" t="e">
        <f t="shared" si="0"/>
        <v>#VALUE!</v>
      </c>
      <c r="T31" s="83" t="str">
        <f t="shared" si="14"/>
        <v>Dầm bản lắp ghép BTCT DƯL L=18m</v>
      </c>
    </row>
    <row r="32" spans="1:20" ht="14.25" outlineLevel="2">
      <c r="A32" s="81">
        <f>SUBTOTAL(103,$B$12:B32)</f>
        <v>21</v>
      </c>
      <c r="B32" s="78">
        <f t="shared" si="8"/>
        <v>43390</v>
      </c>
      <c r="C32" s="571" t="str">
        <f t="shared" si="2"/>
        <v>Dầm bản lắp ghép BTCT DƯL L=18m</v>
      </c>
      <c r="D32" s="572"/>
      <c r="E32" s="573"/>
      <c r="F32" s="27">
        <f t="shared" si="9"/>
        <v>1</v>
      </c>
      <c r="G32" s="33">
        <f t="shared" si="10"/>
        <v>1</v>
      </c>
      <c r="H32" s="295">
        <f t="shared" si="11"/>
        <v>1</v>
      </c>
      <c r="I32" s="107">
        <f t="shared" si="12"/>
        <v>1</v>
      </c>
      <c r="J32" s="107">
        <f t="shared" si="13"/>
        <v>1</v>
      </c>
      <c r="K32" s="604"/>
      <c r="N32" s="118"/>
      <c r="O32" s="118"/>
      <c r="P32" s="88">
        <v>1</v>
      </c>
      <c r="Q32" s="89">
        <v>43390</v>
      </c>
      <c r="R32" s="83"/>
      <c r="S32" s="88" t="e">
        <f t="shared" si="0"/>
        <v>#VALUE!</v>
      </c>
      <c r="T32" s="83" t="str">
        <f t="shared" si="14"/>
        <v>Dầm bản lắp ghép BTCT DƯL L=18m</v>
      </c>
    </row>
    <row r="33" spans="1:20" ht="14.25" outlineLevel="2">
      <c r="A33" s="81">
        <f>SUBTOTAL(103,$B$12:B33)</f>
        <v>22</v>
      </c>
      <c r="B33" s="78">
        <f t="shared" si="8"/>
        <v>43393</v>
      </c>
      <c r="C33" s="571" t="str">
        <f t="shared" si="2"/>
        <v>Dầm bản lắp ghép BTCT DƯL L=18m</v>
      </c>
      <c r="D33" s="572"/>
      <c r="E33" s="573"/>
      <c r="F33" s="27">
        <f t="shared" si="9"/>
        <v>1</v>
      </c>
      <c r="G33" s="33">
        <f t="shared" si="10"/>
        <v>1</v>
      </c>
      <c r="H33" s="295">
        <f t="shared" si="11"/>
        <v>1</v>
      </c>
      <c r="I33" s="107">
        <f t="shared" si="12"/>
        <v>1</v>
      </c>
      <c r="J33" s="107">
        <f t="shared" si="13"/>
        <v>1</v>
      </c>
      <c r="K33" s="604"/>
      <c r="N33" s="118"/>
      <c r="O33" s="118"/>
      <c r="P33" s="88">
        <v>1</v>
      </c>
      <c r="Q33" s="89">
        <v>43393</v>
      </c>
      <c r="R33" s="83"/>
      <c r="S33" s="88" t="e">
        <f t="shared" si="0"/>
        <v>#VALUE!</v>
      </c>
      <c r="T33" s="83" t="str">
        <f t="shared" si="14"/>
        <v>Dầm bản lắp ghép BTCT DƯL L=18m</v>
      </c>
    </row>
    <row r="34" spans="1:20" ht="14.25" outlineLevel="2">
      <c r="A34" s="81">
        <f>SUBTOTAL(103,$B$12:B34)</f>
        <v>23</v>
      </c>
      <c r="B34" s="78">
        <f t="shared" si="8"/>
        <v>43396</v>
      </c>
      <c r="C34" s="571" t="str">
        <f t="shared" si="2"/>
        <v>Dầm bản lắp ghép BTCT DƯL L=18m</v>
      </c>
      <c r="D34" s="572"/>
      <c r="E34" s="573"/>
      <c r="F34" s="27">
        <f t="shared" si="9"/>
        <v>1</v>
      </c>
      <c r="G34" s="33">
        <f t="shared" si="10"/>
        <v>1</v>
      </c>
      <c r="H34" s="295">
        <f t="shared" si="11"/>
        <v>1</v>
      </c>
      <c r="I34" s="107">
        <f t="shared" si="12"/>
        <v>1</v>
      </c>
      <c r="J34" s="107">
        <f t="shared" si="13"/>
        <v>1</v>
      </c>
      <c r="K34" s="604"/>
      <c r="N34" s="118"/>
      <c r="O34" s="118"/>
      <c r="P34" s="88">
        <v>1</v>
      </c>
      <c r="Q34" s="89">
        <v>43396</v>
      </c>
      <c r="R34" s="83"/>
      <c r="S34" s="88" t="e">
        <f t="shared" si="0"/>
        <v>#VALUE!</v>
      </c>
      <c r="T34" s="83" t="str">
        <f t="shared" si="14"/>
        <v>Dầm bản lắp ghép BTCT DƯL L=18m</v>
      </c>
    </row>
    <row r="35" spans="1:20" ht="14.25" outlineLevel="2">
      <c r="A35" s="81">
        <f>SUBTOTAL(103,$B$12:B35)</f>
        <v>24</v>
      </c>
      <c r="B35" s="78">
        <f t="shared" si="8"/>
        <v>43399</v>
      </c>
      <c r="C35" s="571" t="str">
        <f t="shared" si="2"/>
        <v>Dầm bản lắp ghép BTCT DƯL L=18m</v>
      </c>
      <c r="D35" s="572"/>
      <c r="E35" s="573"/>
      <c r="F35" s="27">
        <f t="shared" si="9"/>
        <v>1</v>
      </c>
      <c r="G35" s="33">
        <f t="shared" si="10"/>
        <v>1</v>
      </c>
      <c r="H35" s="295">
        <f t="shared" si="11"/>
        <v>1</v>
      </c>
      <c r="I35" s="107">
        <f t="shared" si="12"/>
        <v>1</v>
      </c>
      <c r="J35" s="107">
        <f t="shared" si="13"/>
        <v>1</v>
      </c>
      <c r="K35" s="605"/>
      <c r="N35" s="118"/>
      <c r="O35" s="118"/>
      <c r="P35" s="88">
        <v>1</v>
      </c>
      <c r="Q35" s="89">
        <v>43399</v>
      </c>
      <c r="R35" s="83"/>
      <c r="S35" s="88" t="e">
        <f t="shared" si="0"/>
        <v>#VALUE!</v>
      </c>
      <c r="T35" s="83" t="str">
        <f t="shared" si="14"/>
        <v>Dầm bản lắp ghép BTCT DƯL L=18m</v>
      </c>
    </row>
    <row r="36" spans="1:20" thickBot="1">
      <c r="A36" s="574" t="s">
        <v>4</v>
      </c>
      <c r="B36" s="575"/>
      <c r="C36" s="575"/>
      <c r="D36" s="575"/>
      <c r="E36" s="575"/>
      <c r="F36" s="79">
        <f>ROUND(SUM(F12:F35),2)</f>
        <v>24</v>
      </c>
      <c r="G36" s="79">
        <f>ROUND(SUM(G12:G35),2)</f>
        <v>24</v>
      </c>
      <c r="H36" s="79">
        <f>ROUND(SUM(H12:H35),2)</f>
        <v>24</v>
      </c>
      <c r="I36" s="79">
        <f>ROUND(SUM(I12:I35),2)</f>
        <v>24</v>
      </c>
      <c r="J36" s="79">
        <f>ROUND(SUM(J12:J35),2)</f>
        <v>24</v>
      </c>
      <c r="K36" s="80"/>
      <c r="N36" s="118"/>
      <c r="O36" s="118"/>
      <c r="P36" s="90">
        <f>SUM(P12:P35)</f>
        <v>24</v>
      </c>
    </row>
    <row r="37" spans="1:20" s="122" customFormat="1" ht="18" customHeight="1" thickTop="1" thickBot="1">
      <c r="A37" s="115"/>
      <c r="B37" s="115"/>
      <c r="C37" s="115"/>
      <c r="D37" s="115"/>
      <c r="E37" s="115"/>
      <c r="F37" s="116"/>
      <c r="G37" s="116"/>
      <c r="H37" s="116"/>
      <c r="I37" s="116"/>
      <c r="J37" s="116"/>
      <c r="K37" s="117"/>
      <c r="L37" s="4"/>
      <c r="M37" s="4"/>
      <c r="N37" s="118"/>
      <c r="O37" s="118"/>
      <c r="P37" s="119"/>
      <c r="Q37" s="120"/>
      <c r="R37" s="120"/>
      <c r="S37" s="120"/>
      <c r="T37" s="121"/>
    </row>
    <row r="38" spans="1:20" s="5" customFormat="1" ht="13.9" customHeight="1" thickTop="1">
      <c r="A38" s="578" t="s">
        <v>68</v>
      </c>
      <c r="B38" s="579"/>
      <c r="C38" s="579"/>
      <c r="D38" s="579"/>
      <c r="E38" s="579"/>
      <c r="F38" s="580" t="s">
        <v>69</v>
      </c>
      <c r="G38" s="580"/>
      <c r="H38" s="580"/>
      <c r="I38" s="581"/>
      <c r="J38" s="581"/>
      <c r="K38" s="582"/>
      <c r="L38" s="4"/>
      <c r="M38" s="4"/>
      <c r="N38" s="4"/>
      <c r="O38" s="4"/>
      <c r="P38" s="4"/>
    </row>
    <row r="39" spans="1:20" s="5" customFormat="1" ht="13.9" customHeight="1">
      <c r="A39" s="583" t="s">
        <v>5</v>
      </c>
      <c r="B39" s="584"/>
      <c r="C39" s="584"/>
      <c r="D39" s="584"/>
      <c r="E39" s="584"/>
      <c r="F39" s="585" t="s">
        <v>6</v>
      </c>
      <c r="G39" s="585"/>
      <c r="H39" s="585"/>
      <c r="I39" s="586"/>
      <c r="J39" s="586"/>
      <c r="K39" s="587"/>
      <c r="L39" s="4"/>
      <c r="M39" s="4"/>
      <c r="N39" s="4"/>
      <c r="O39" s="4"/>
      <c r="P39" s="4"/>
    </row>
    <row r="40" spans="1:20" s="5" customFormat="1" ht="13.9" customHeight="1">
      <c r="A40" s="583" t="s">
        <v>836</v>
      </c>
      <c r="B40" s="584"/>
      <c r="C40" s="584"/>
      <c r="D40" s="584"/>
      <c r="E40" s="584"/>
      <c r="F40" s="590" t="s">
        <v>837</v>
      </c>
      <c r="G40" s="590"/>
      <c r="H40" s="590"/>
      <c r="I40" s="591"/>
      <c r="J40" s="591"/>
      <c r="K40" s="592"/>
      <c r="L40" s="4"/>
      <c r="M40" s="4"/>
      <c r="N40" s="4"/>
      <c r="O40" s="4"/>
      <c r="P40" s="4"/>
    </row>
    <row r="41" spans="1:20" s="5" customFormat="1" ht="13.9" customHeight="1">
      <c r="A41" s="583"/>
      <c r="B41" s="584"/>
      <c r="C41" s="584"/>
      <c r="D41" s="584"/>
      <c r="E41" s="584"/>
      <c r="F41" s="590"/>
      <c r="G41" s="590"/>
      <c r="H41" s="590"/>
      <c r="I41" s="591"/>
      <c r="J41" s="591"/>
      <c r="K41" s="592"/>
      <c r="L41" s="4"/>
      <c r="M41" s="4"/>
      <c r="N41" s="4"/>
      <c r="O41" s="4"/>
      <c r="P41" s="4"/>
    </row>
    <row r="42" spans="1:20" s="5" customFormat="1" ht="13.9" customHeight="1">
      <c r="A42" s="583"/>
      <c r="B42" s="584"/>
      <c r="C42" s="584"/>
      <c r="D42" s="584"/>
      <c r="E42" s="584"/>
      <c r="F42" s="590"/>
      <c r="G42" s="590"/>
      <c r="H42" s="590"/>
      <c r="I42" s="591"/>
      <c r="J42" s="591"/>
      <c r="K42" s="592"/>
      <c r="L42" s="4"/>
      <c r="M42" s="4"/>
      <c r="N42" s="4"/>
      <c r="O42" s="4"/>
      <c r="P42" s="4"/>
    </row>
    <row r="43" spans="1:20" s="5" customFormat="1" ht="13.9" customHeight="1">
      <c r="A43" s="583"/>
      <c r="B43" s="584"/>
      <c r="C43" s="584"/>
      <c r="D43" s="584"/>
      <c r="E43" s="584"/>
      <c r="F43" s="590"/>
      <c r="G43" s="590"/>
      <c r="H43" s="590"/>
      <c r="I43" s="591"/>
      <c r="J43" s="591"/>
      <c r="K43" s="592"/>
      <c r="L43" s="4"/>
      <c r="M43" s="4"/>
      <c r="N43" s="4"/>
      <c r="O43" s="4"/>
      <c r="P43" s="4"/>
    </row>
    <row r="44" spans="1:20" s="5" customFormat="1" ht="13.9" customHeight="1">
      <c r="A44" s="583"/>
      <c r="B44" s="584"/>
      <c r="C44" s="584"/>
      <c r="D44" s="584"/>
      <c r="E44" s="584"/>
      <c r="F44" s="590"/>
      <c r="G44" s="590"/>
      <c r="H44" s="590"/>
      <c r="I44" s="591"/>
      <c r="J44" s="591"/>
      <c r="K44" s="592"/>
      <c r="L44" s="4"/>
      <c r="M44" s="4"/>
      <c r="N44" s="4"/>
      <c r="O44" s="4"/>
      <c r="P44" s="4"/>
    </row>
    <row r="45" spans="1:20" s="5" customFormat="1" ht="13.9" customHeight="1">
      <c r="A45" s="583"/>
      <c r="B45" s="584"/>
      <c r="C45" s="584"/>
      <c r="D45" s="584"/>
      <c r="E45" s="584"/>
      <c r="F45" s="590"/>
      <c r="G45" s="590"/>
      <c r="H45" s="590"/>
      <c r="I45" s="591"/>
      <c r="J45" s="591"/>
      <c r="K45" s="592"/>
      <c r="L45" s="4"/>
      <c r="M45" s="4"/>
      <c r="N45" s="4"/>
      <c r="O45" s="4"/>
      <c r="P45" s="4"/>
    </row>
    <row r="46" spans="1:20" s="5" customFormat="1" ht="13.9" customHeight="1" thickBot="1">
      <c r="A46" s="588"/>
      <c r="B46" s="589"/>
      <c r="C46" s="589"/>
      <c r="D46" s="589"/>
      <c r="E46" s="589"/>
      <c r="F46" s="593"/>
      <c r="G46" s="593"/>
      <c r="H46" s="593"/>
      <c r="I46" s="594"/>
      <c r="J46" s="594"/>
      <c r="K46" s="595"/>
      <c r="L46" s="4"/>
      <c r="M46" s="4"/>
      <c r="N46" s="4"/>
      <c r="O46" s="4"/>
      <c r="P46" s="4"/>
    </row>
    <row r="47" spans="1:20" s="122" customFormat="1" ht="18" customHeight="1" thickTop="1">
      <c r="A47" s="115"/>
      <c r="B47" s="115"/>
      <c r="C47" s="115"/>
      <c r="D47" s="115"/>
      <c r="E47" s="115"/>
      <c r="F47" s="116"/>
      <c r="G47" s="116"/>
      <c r="H47" s="116"/>
      <c r="I47" s="116"/>
      <c r="J47" s="116"/>
      <c r="K47" s="117"/>
      <c r="L47" s="118"/>
      <c r="M47" s="118"/>
      <c r="N47" s="118"/>
      <c r="O47" s="118"/>
      <c r="P47" s="119"/>
      <c r="Q47" s="120"/>
      <c r="R47" s="120"/>
      <c r="S47" s="120"/>
      <c r="T47" s="121"/>
    </row>
    <row r="48" spans="1:20" s="111" customFormat="1" ht="48" customHeight="1">
      <c r="A48" s="596" t="s">
        <v>87</v>
      </c>
      <c r="B48" s="596"/>
      <c r="C48" s="596"/>
      <c r="D48" s="596"/>
      <c r="E48" s="596"/>
      <c r="F48" s="596"/>
      <c r="G48" s="596"/>
      <c r="H48" s="596"/>
      <c r="I48" s="596"/>
      <c r="J48" s="596"/>
      <c r="K48" s="596"/>
      <c r="L48" s="108"/>
      <c r="M48" s="109"/>
      <c r="N48" s="110"/>
    </row>
    <row r="49" spans="1:20" s="112" customFormat="1" ht="18" customHeight="1">
      <c r="A49" s="597" t="s">
        <v>599</v>
      </c>
      <c r="B49" s="597"/>
      <c r="C49" s="597"/>
      <c r="D49" s="597"/>
      <c r="E49" s="597"/>
      <c r="F49" s="597"/>
      <c r="G49" s="597"/>
      <c r="H49" s="597"/>
      <c r="I49" s="597"/>
      <c r="J49" s="597"/>
      <c r="K49" s="597"/>
    </row>
    <row r="50" spans="1:20" s="122" customFormat="1" ht="20.100000000000001" customHeight="1">
      <c r="A50" s="598" t="s">
        <v>90</v>
      </c>
      <c r="B50" s="598"/>
      <c r="C50" s="598"/>
      <c r="D50" s="598"/>
      <c r="E50" s="598"/>
      <c r="F50" s="598"/>
      <c r="G50" s="598"/>
      <c r="H50" s="598"/>
      <c r="I50" s="598"/>
      <c r="J50" s="598"/>
      <c r="K50" s="598"/>
      <c r="L50" s="123"/>
      <c r="M50" s="124"/>
      <c r="N50" s="123"/>
      <c r="O50" s="123"/>
      <c r="P50" s="123"/>
      <c r="Q50" s="123"/>
      <c r="R50" s="123"/>
      <c r="S50" s="123"/>
      <c r="T50" s="123"/>
    </row>
    <row r="51" spans="1:20" s="122" customFormat="1" ht="15.95" customHeight="1">
      <c r="A51" s="599" t="s">
        <v>91</v>
      </c>
      <c r="B51" s="599"/>
      <c r="C51" s="599"/>
      <c r="D51" s="599"/>
      <c r="E51" s="599"/>
      <c r="F51" s="599"/>
      <c r="G51" s="599"/>
      <c r="H51" s="599"/>
      <c r="I51" s="599"/>
      <c r="J51" s="599"/>
      <c r="K51" s="599"/>
      <c r="L51" s="123"/>
      <c r="M51" s="124"/>
      <c r="N51" s="123"/>
      <c r="O51" s="123"/>
      <c r="P51" s="123"/>
      <c r="Q51" s="123"/>
      <c r="R51" s="123"/>
      <c r="S51" s="123"/>
      <c r="T51" s="123"/>
    </row>
    <row r="52" spans="1:20" s="122" customFormat="1" ht="15.95" customHeight="1">
      <c r="A52" s="600" t="str">
        <f>A4</f>
        <v>PHẦN C.: CẦU VƯỢT</v>
      </c>
      <c r="B52" s="601"/>
      <c r="C52" s="601"/>
      <c r="D52" s="601"/>
      <c r="E52" s="601"/>
      <c r="F52" s="601"/>
      <c r="G52" s="601"/>
      <c r="H52" s="601"/>
      <c r="I52" s="601"/>
      <c r="J52" s="601"/>
      <c r="K52" s="602"/>
      <c r="L52" s="123"/>
      <c r="M52" s="124"/>
      <c r="N52" s="123"/>
      <c r="O52" s="123"/>
      <c r="P52" s="123"/>
      <c r="Q52" s="123"/>
      <c r="R52" s="123"/>
      <c r="S52" s="123"/>
      <c r="T52" s="123"/>
    </row>
    <row r="53" spans="1:20" s="122" customFormat="1" ht="15.95" customHeight="1">
      <c r="A53" s="125" t="str">
        <f>A5</f>
        <v>Hạng mục C.I. Kết cấu nhịp dầm</v>
      </c>
      <c r="B53" s="126"/>
      <c r="C53" s="127"/>
      <c r="D53" s="127"/>
      <c r="E53" s="128"/>
      <c r="F53" s="129"/>
      <c r="G53" s="129"/>
      <c r="H53" s="129"/>
      <c r="I53" s="129"/>
      <c r="J53" s="129"/>
      <c r="K53" s="130"/>
      <c r="L53" s="123"/>
      <c r="M53" s="124"/>
      <c r="N53" s="123"/>
      <c r="O53" s="123"/>
      <c r="P53" s="123"/>
      <c r="Q53" s="123"/>
      <c r="R53" s="123"/>
      <c r="S53" s="123"/>
      <c r="T53" s="123"/>
    </row>
    <row r="54" spans="1:20" s="122" customFormat="1" ht="15.95" customHeight="1">
      <c r="A54" s="125" t="str">
        <f>A6</f>
        <v>Mục C.I.1.1. Dầm bản lắp ghép BTCT DƯL L=18m</v>
      </c>
      <c r="B54" s="126"/>
      <c r="C54" s="127"/>
      <c r="D54" s="127"/>
      <c r="E54" s="128"/>
      <c r="F54" s="129"/>
      <c r="G54" s="129"/>
      <c r="H54" s="129"/>
      <c r="I54" s="129"/>
      <c r="J54" s="129"/>
      <c r="K54" s="130"/>
      <c r="L54" s="123"/>
      <c r="M54" s="124"/>
      <c r="N54" s="123"/>
      <c r="O54" s="123"/>
      <c r="P54" s="123"/>
      <c r="Q54" s="123"/>
      <c r="R54" s="123"/>
      <c r="S54" s="123"/>
      <c r="T54" s="123"/>
    </row>
    <row r="55" spans="1:20" s="122" customFormat="1" ht="15.95" customHeight="1">
      <c r="A55" s="639">
        <f>A7</f>
        <v>24</v>
      </c>
      <c r="B55" s="640"/>
      <c r="C55" s="640"/>
      <c r="D55" s="640"/>
      <c r="E55" s="131" t="str">
        <f>E7</f>
        <v>(Dầm)</v>
      </c>
      <c r="F55" s="132"/>
      <c r="G55" s="132"/>
      <c r="H55" s="132"/>
      <c r="I55" s="132"/>
      <c r="J55" s="132"/>
      <c r="K55" s="133"/>
      <c r="L55" s="134"/>
      <c r="M55" s="135"/>
      <c r="N55" s="136"/>
      <c r="P55" s="136"/>
    </row>
    <row r="56" spans="1:20" ht="13.5" customHeight="1" thickBot="1">
      <c r="A56" s="28"/>
      <c r="B56" s="28"/>
      <c r="C56" s="28"/>
      <c r="D56" s="28"/>
      <c r="E56" s="28"/>
      <c r="F56" s="30"/>
      <c r="G56" s="30"/>
      <c r="H56" s="30"/>
      <c r="I56" s="30"/>
      <c r="J56" s="30"/>
      <c r="K56" s="8"/>
      <c r="L56" s="23"/>
      <c r="M56" s="9"/>
    </row>
    <row r="57" spans="1:20" s="5" customFormat="1" ht="21.6" customHeight="1" thickTop="1">
      <c r="A57" s="576" t="s">
        <v>3</v>
      </c>
      <c r="B57" s="641" t="s">
        <v>84</v>
      </c>
      <c r="C57" s="641"/>
      <c r="D57" s="643" t="s">
        <v>96</v>
      </c>
      <c r="E57" s="643"/>
      <c r="F57" s="643"/>
      <c r="G57" s="643"/>
      <c r="H57" s="641" t="s">
        <v>89</v>
      </c>
      <c r="I57" s="641"/>
      <c r="J57" s="641" t="s">
        <v>85</v>
      </c>
      <c r="K57" s="645"/>
      <c r="L57"/>
      <c r="M57" s="94"/>
      <c r="N57" s="94"/>
      <c r="O57" s="95"/>
      <c r="P57" s="96"/>
    </row>
    <row r="58" spans="1:20" s="5" customFormat="1" ht="21.6" customHeight="1">
      <c r="A58" s="577"/>
      <c r="B58" s="642"/>
      <c r="C58" s="642"/>
      <c r="D58" s="644"/>
      <c r="E58" s="644"/>
      <c r="F58" s="644"/>
      <c r="G58" s="644"/>
      <c r="H58" s="642"/>
      <c r="I58" s="642"/>
      <c r="J58" s="642"/>
      <c r="K58" s="646"/>
      <c r="L58"/>
      <c r="M58" s="97"/>
      <c r="N58" s="97"/>
      <c r="O58" s="98"/>
      <c r="P58" s="99"/>
    </row>
    <row r="59" spans="1:20" s="5" customFormat="1" ht="17.100000000000001" customHeight="1">
      <c r="A59" s="100">
        <v>1</v>
      </c>
      <c r="B59" s="623" t="str">
        <f>"Tháng "&amp;IF(L59&lt;10,0&amp;L59&amp;"/"&amp;M59,L59&amp;"/"&amp;M59)</f>
        <v>Tháng 08/2017</v>
      </c>
      <c r="C59" s="623"/>
      <c r="D59" s="624" t="str">
        <f>N6</f>
        <v>Dầm bản lắp ghép BTCT DƯL L=18m</v>
      </c>
      <c r="E59" s="624"/>
      <c r="F59" s="624"/>
      <c r="G59" s="624"/>
      <c r="H59" s="625">
        <f t="shared" ref="H59:H84" si="15">+SUMIFS($I$12:$I$35,$B$12:$B$35,"&gt;="&amp;$O59,$B$12:$B$35,"&lt;="&amp;$P59)</f>
        <v>0</v>
      </c>
      <c r="I59" s="625"/>
      <c r="J59" s="623"/>
      <c r="K59" s="626"/>
      <c r="L59">
        <v>8</v>
      </c>
      <c r="M59" s="101">
        <v>2017</v>
      </c>
      <c r="N59" s="97"/>
      <c r="O59" s="103">
        <f t="shared" ref="O59:O81" si="16">DATE(M59,L59,1)</f>
        <v>42948</v>
      </c>
      <c r="P59" s="103">
        <f t="shared" ref="P59:P81" si="17">DATE(M59,L59+1,0)</f>
        <v>42978</v>
      </c>
    </row>
    <row r="60" spans="1:20" s="5" customFormat="1" ht="17.100000000000001" customHeight="1">
      <c r="A60" s="104">
        <v>2</v>
      </c>
      <c r="B60" s="567" t="str">
        <f t="shared" ref="B60:B84" si="18">"Tháng "&amp;IF(L60&lt;10,0&amp;L60&amp;"/"&amp;M60,L60&amp;"/"&amp;M60)</f>
        <v>Tháng 09/2017</v>
      </c>
      <c r="C60" s="567"/>
      <c r="D60" s="568" t="str">
        <f>D59</f>
        <v>Dầm bản lắp ghép BTCT DƯL L=18m</v>
      </c>
      <c r="E60" s="568"/>
      <c r="F60" s="568"/>
      <c r="G60" s="568"/>
      <c r="H60" s="569">
        <f t="shared" si="15"/>
        <v>0</v>
      </c>
      <c r="I60" s="569"/>
      <c r="J60" s="567"/>
      <c r="K60" s="570"/>
      <c r="L60">
        <v>9</v>
      </c>
      <c r="M60" s="101">
        <v>2017</v>
      </c>
      <c r="N60"/>
      <c r="O60" s="103">
        <f t="shared" si="16"/>
        <v>42979</v>
      </c>
      <c r="P60" s="103">
        <f t="shared" si="17"/>
        <v>43008</v>
      </c>
    </row>
    <row r="61" spans="1:20" s="5" customFormat="1" ht="17.100000000000001" customHeight="1">
      <c r="A61" s="104">
        <f>A60+1</f>
        <v>3</v>
      </c>
      <c r="B61" s="567" t="str">
        <f t="shared" si="18"/>
        <v>Tháng 10/2017</v>
      </c>
      <c r="C61" s="567"/>
      <c r="D61" s="568" t="str">
        <f t="shared" ref="D61:D83" si="19">D60</f>
        <v>Dầm bản lắp ghép BTCT DƯL L=18m</v>
      </c>
      <c r="E61" s="568"/>
      <c r="F61" s="568"/>
      <c r="G61" s="568"/>
      <c r="H61" s="569">
        <f t="shared" si="15"/>
        <v>0</v>
      </c>
      <c r="I61" s="569"/>
      <c r="J61" s="567"/>
      <c r="K61" s="570"/>
      <c r="L61">
        <v>10</v>
      </c>
      <c r="M61" s="101">
        <v>2017</v>
      </c>
      <c r="N61"/>
      <c r="O61" s="103">
        <f t="shared" si="16"/>
        <v>43009</v>
      </c>
      <c r="P61" s="103">
        <f t="shared" si="17"/>
        <v>43039</v>
      </c>
    </row>
    <row r="62" spans="1:20" s="5" customFormat="1" ht="17.100000000000001" customHeight="1">
      <c r="A62" s="104">
        <f t="shared" ref="A62:A84" si="20">A61+1</f>
        <v>4</v>
      </c>
      <c r="B62" s="567" t="str">
        <f t="shared" si="18"/>
        <v>Tháng 11/2017</v>
      </c>
      <c r="C62" s="567"/>
      <c r="D62" s="568" t="str">
        <f t="shared" si="19"/>
        <v>Dầm bản lắp ghép BTCT DƯL L=18m</v>
      </c>
      <c r="E62" s="568"/>
      <c r="F62" s="568"/>
      <c r="G62" s="568"/>
      <c r="H62" s="569">
        <f t="shared" si="15"/>
        <v>0</v>
      </c>
      <c r="I62" s="569"/>
      <c r="J62" s="567"/>
      <c r="K62" s="570"/>
      <c r="L62">
        <v>11</v>
      </c>
      <c r="M62" s="101">
        <v>2017</v>
      </c>
      <c r="N62"/>
      <c r="O62" s="103">
        <f t="shared" si="16"/>
        <v>43040</v>
      </c>
      <c r="P62" s="103">
        <f t="shared" si="17"/>
        <v>43069</v>
      </c>
    </row>
    <row r="63" spans="1:20" s="5" customFormat="1" ht="17.100000000000001" customHeight="1">
      <c r="A63" s="104">
        <f t="shared" si="20"/>
        <v>5</v>
      </c>
      <c r="B63" s="567" t="str">
        <f t="shared" si="18"/>
        <v>Tháng 12/2017</v>
      </c>
      <c r="C63" s="567"/>
      <c r="D63" s="568" t="str">
        <f t="shared" si="19"/>
        <v>Dầm bản lắp ghép BTCT DƯL L=18m</v>
      </c>
      <c r="E63" s="568"/>
      <c r="F63" s="568"/>
      <c r="G63" s="568"/>
      <c r="H63" s="569">
        <f t="shared" si="15"/>
        <v>0</v>
      </c>
      <c r="I63" s="569"/>
      <c r="J63" s="567"/>
      <c r="K63" s="570"/>
      <c r="L63">
        <v>12</v>
      </c>
      <c r="M63" s="101">
        <v>2017</v>
      </c>
      <c r="N63"/>
      <c r="O63" s="103">
        <f t="shared" si="16"/>
        <v>43070</v>
      </c>
      <c r="P63" s="103">
        <f t="shared" si="17"/>
        <v>43100</v>
      </c>
    </row>
    <row r="64" spans="1:20" s="5" customFormat="1" ht="17.100000000000001" customHeight="1">
      <c r="A64" s="104">
        <f t="shared" si="20"/>
        <v>6</v>
      </c>
      <c r="B64" s="567" t="str">
        <f t="shared" si="18"/>
        <v>Tháng 01/2018</v>
      </c>
      <c r="C64" s="567"/>
      <c r="D64" s="568" t="str">
        <f t="shared" si="19"/>
        <v>Dầm bản lắp ghép BTCT DƯL L=18m</v>
      </c>
      <c r="E64" s="568"/>
      <c r="F64" s="568"/>
      <c r="G64" s="568"/>
      <c r="H64" s="569">
        <f t="shared" si="15"/>
        <v>0</v>
      </c>
      <c r="I64" s="569"/>
      <c r="J64" s="567"/>
      <c r="K64" s="570"/>
      <c r="L64">
        <v>1</v>
      </c>
      <c r="M64" s="101">
        <v>2018</v>
      </c>
      <c r="N64"/>
      <c r="O64" s="103">
        <f t="shared" si="16"/>
        <v>43101</v>
      </c>
      <c r="P64" s="103">
        <f t="shared" si="17"/>
        <v>43131</v>
      </c>
    </row>
    <row r="65" spans="1:16" s="5" customFormat="1" ht="17.100000000000001" customHeight="1">
      <c r="A65" s="104">
        <f t="shared" si="20"/>
        <v>7</v>
      </c>
      <c r="B65" s="567" t="str">
        <f t="shared" si="18"/>
        <v>Tháng 02/2018</v>
      </c>
      <c r="C65" s="567"/>
      <c r="D65" s="568" t="str">
        <f t="shared" si="19"/>
        <v>Dầm bản lắp ghép BTCT DƯL L=18m</v>
      </c>
      <c r="E65" s="568"/>
      <c r="F65" s="568"/>
      <c r="G65" s="568"/>
      <c r="H65" s="569">
        <f t="shared" si="15"/>
        <v>0</v>
      </c>
      <c r="I65" s="569"/>
      <c r="J65" s="567"/>
      <c r="K65" s="570"/>
      <c r="L65">
        <v>2</v>
      </c>
      <c r="M65" s="101">
        <v>2018</v>
      </c>
      <c r="N65"/>
      <c r="O65" s="103">
        <f t="shared" si="16"/>
        <v>43132</v>
      </c>
      <c r="P65" s="103">
        <f t="shared" si="17"/>
        <v>43159</v>
      </c>
    </row>
    <row r="66" spans="1:16" s="5" customFormat="1" ht="17.100000000000001" customHeight="1">
      <c r="A66" s="104">
        <f t="shared" si="20"/>
        <v>8</v>
      </c>
      <c r="B66" s="567" t="str">
        <f t="shared" si="18"/>
        <v>Tháng 03/2018</v>
      </c>
      <c r="C66" s="567"/>
      <c r="D66" s="568" t="str">
        <f t="shared" si="19"/>
        <v>Dầm bản lắp ghép BTCT DƯL L=18m</v>
      </c>
      <c r="E66" s="568"/>
      <c r="F66" s="568"/>
      <c r="G66" s="568"/>
      <c r="H66" s="569">
        <f t="shared" si="15"/>
        <v>0</v>
      </c>
      <c r="I66" s="569"/>
      <c r="J66" s="567"/>
      <c r="K66" s="570"/>
      <c r="L66">
        <v>3</v>
      </c>
      <c r="M66" s="101">
        <v>2018</v>
      </c>
      <c r="N66"/>
      <c r="O66" s="103">
        <f t="shared" si="16"/>
        <v>43160</v>
      </c>
      <c r="P66" s="103">
        <f t="shared" si="17"/>
        <v>43190</v>
      </c>
    </row>
    <row r="67" spans="1:16" s="5" customFormat="1" ht="17.100000000000001" customHeight="1">
      <c r="A67" s="104">
        <f t="shared" si="20"/>
        <v>9</v>
      </c>
      <c r="B67" s="567" t="str">
        <f t="shared" si="18"/>
        <v>Tháng 04/2018</v>
      </c>
      <c r="C67" s="567"/>
      <c r="D67" s="568" t="str">
        <f t="shared" si="19"/>
        <v>Dầm bản lắp ghép BTCT DƯL L=18m</v>
      </c>
      <c r="E67" s="568"/>
      <c r="F67" s="568"/>
      <c r="G67" s="568"/>
      <c r="H67" s="569">
        <f t="shared" si="15"/>
        <v>0</v>
      </c>
      <c r="I67" s="569"/>
      <c r="J67" s="567"/>
      <c r="K67" s="570"/>
      <c r="L67">
        <v>4</v>
      </c>
      <c r="M67" s="101">
        <v>2018</v>
      </c>
      <c r="N67"/>
      <c r="O67" s="103">
        <f t="shared" si="16"/>
        <v>43191</v>
      </c>
      <c r="P67" s="103">
        <f t="shared" si="17"/>
        <v>43220</v>
      </c>
    </row>
    <row r="68" spans="1:16" s="5" customFormat="1" ht="17.100000000000001" customHeight="1">
      <c r="A68" s="104">
        <f t="shared" si="20"/>
        <v>10</v>
      </c>
      <c r="B68" s="567" t="str">
        <f t="shared" si="18"/>
        <v>Tháng 05/2018</v>
      </c>
      <c r="C68" s="567"/>
      <c r="D68" s="568" t="str">
        <f t="shared" si="19"/>
        <v>Dầm bản lắp ghép BTCT DƯL L=18m</v>
      </c>
      <c r="E68" s="568"/>
      <c r="F68" s="568"/>
      <c r="G68" s="568"/>
      <c r="H68" s="569">
        <f t="shared" si="15"/>
        <v>0</v>
      </c>
      <c r="I68" s="569"/>
      <c r="J68" s="567"/>
      <c r="K68" s="570"/>
      <c r="L68">
        <v>5</v>
      </c>
      <c r="M68" s="101">
        <v>2018</v>
      </c>
      <c r="N68"/>
      <c r="O68" s="103">
        <f t="shared" si="16"/>
        <v>43221</v>
      </c>
      <c r="P68" s="103">
        <f t="shared" si="17"/>
        <v>43251</v>
      </c>
    </row>
    <row r="69" spans="1:16" s="5" customFormat="1" ht="17.100000000000001" customHeight="1">
      <c r="A69" s="104">
        <f t="shared" si="20"/>
        <v>11</v>
      </c>
      <c r="B69" s="567" t="str">
        <f t="shared" si="18"/>
        <v>Tháng 06/2018</v>
      </c>
      <c r="C69" s="567"/>
      <c r="D69" s="568" t="str">
        <f t="shared" si="19"/>
        <v>Dầm bản lắp ghép BTCT DƯL L=18m</v>
      </c>
      <c r="E69" s="568"/>
      <c r="F69" s="568"/>
      <c r="G69" s="568"/>
      <c r="H69" s="569">
        <f t="shared" si="15"/>
        <v>0</v>
      </c>
      <c r="I69" s="569"/>
      <c r="J69" s="567"/>
      <c r="K69" s="570"/>
      <c r="L69">
        <v>6</v>
      </c>
      <c r="M69" s="101">
        <v>2018</v>
      </c>
      <c r="N69"/>
      <c r="O69" s="103">
        <f t="shared" si="16"/>
        <v>43252</v>
      </c>
      <c r="P69" s="103">
        <f t="shared" si="17"/>
        <v>43281</v>
      </c>
    </row>
    <row r="70" spans="1:16" s="5" customFormat="1" ht="17.100000000000001" customHeight="1">
      <c r="A70" s="104">
        <f t="shared" si="20"/>
        <v>12</v>
      </c>
      <c r="B70" s="567" t="str">
        <f t="shared" si="18"/>
        <v>Tháng 07/2018</v>
      </c>
      <c r="C70" s="567"/>
      <c r="D70" s="568" t="str">
        <f t="shared" si="19"/>
        <v>Dầm bản lắp ghép BTCT DƯL L=18m</v>
      </c>
      <c r="E70" s="568"/>
      <c r="F70" s="568"/>
      <c r="G70" s="568"/>
      <c r="H70" s="569">
        <f t="shared" si="15"/>
        <v>1</v>
      </c>
      <c r="I70" s="569"/>
      <c r="J70" s="567"/>
      <c r="K70" s="570"/>
      <c r="L70">
        <v>7</v>
      </c>
      <c r="M70" s="101">
        <v>2018</v>
      </c>
      <c r="N70"/>
      <c r="O70" s="103">
        <f t="shared" si="16"/>
        <v>43282</v>
      </c>
      <c r="P70" s="103">
        <f t="shared" si="17"/>
        <v>43312</v>
      </c>
    </row>
    <row r="71" spans="1:16" s="5" customFormat="1" ht="17.100000000000001" customHeight="1">
      <c r="A71" s="104">
        <f t="shared" si="20"/>
        <v>13</v>
      </c>
      <c r="B71" s="567" t="str">
        <f t="shared" si="18"/>
        <v>Tháng 08/2018</v>
      </c>
      <c r="C71" s="567"/>
      <c r="D71" s="568" t="str">
        <f t="shared" si="19"/>
        <v>Dầm bản lắp ghép BTCT DƯL L=18m</v>
      </c>
      <c r="E71" s="568"/>
      <c r="F71" s="568"/>
      <c r="G71" s="568"/>
      <c r="H71" s="569">
        <f t="shared" si="15"/>
        <v>4</v>
      </c>
      <c r="I71" s="569"/>
      <c r="J71" s="567"/>
      <c r="K71" s="570"/>
      <c r="L71">
        <v>8</v>
      </c>
      <c r="M71" s="101">
        <v>2018</v>
      </c>
      <c r="N71"/>
      <c r="O71" s="103">
        <f t="shared" si="16"/>
        <v>43313</v>
      </c>
      <c r="P71" s="103">
        <f t="shared" si="17"/>
        <v>43343</v>
      </c>
    </row>
    <row r="72" spans="1:16" s="5" customFormat="1" ht="17.100000000000001" customHeight="1">
      <c r="A72" s="104">
        <f t="shared" si="20"/>
        <v>14</v>
      </c>
      <c r="B72" s="567" t="str">
        <f t="shared" si="18"/>
        <v>Tháng 09/2018</v>
      </c>
      <c r="C72" s="567"/>
      <c r="D72" s="568" t="str">
        <f t="shared" si="19"/>
        <v>Dầm bản lắp ghép BTCT DƯL L=18m</v>
      </c>
      <c r="E72" s="568"/>
      <c r="F72" s="568"/>
      <c r="G72" s="568"/>
      <c r="H72" s="569">
        <f t="shared" si="15"/>
        <v>10</v>
      </c>
      <c r="I72" s="569"/>
      <c r="J72" s="567"/>
      <c r="K72" s="570"/>
      <c r="L72">
        <v>9</v>
      </c>
      <c r="M72" s="101">
        <v>2018</v>
      </c>
      <c r="N72"/>
      <c r="O72" s="103">
        <f t="shared" si="16"/>
        <v>43344</v>
      </c>
      <c r="P72" s="103">
        <f t="shared" si="17"/>
        <v>43373</v>
      </c>
    </row>
    <row r="73" spans="1:16" s="5" customFormat="1" ht="17.100000000000001" customHeight="1">
      <c r="A73" s="104">
        <f t="shared" si="20"/>
        <v>15</v>
      </c>
      <c r="B73" s="567" t="str">
        <f t="shared" si="18"/>
        <v>Tháng 10/2018</v>
      </c>
      <c r="C73" s="567"/>
      <c r="D73" s="568" t="str">
        <f t="shared" si="19"/>
        <v>Dầm bản lắp ghép BTCT DƯL L=18m</v>
      </c>
      <c r="E73" s="568"/>
      <c r="F73" s="568"/>
      <c r="G73" s="568"/>
      <c r="H73" s="569">
        <f t="shared" si="15"/>
        <v>9</v>
      </c>
      <c r="I73" s="569"/>
      <c r="J73" s="567"/>
      <c r="K73" s="570"/>
      <c r="L73">
        <v>10</v>
      </c>
      <c r="M73" s="101">
        <v>2018</v>
      </c>
      <c r="N73"/>
      <c r="O73" s="103">
        <f t="shared" si="16"/>
        <v>43374</v>
      </c>
      <c r="P73" s="103">
        <f t="shared" si="17"/>
        <v>43404</v>
      </c>
    </row>
    <row r="74" spans="1:16" s="5" customFormat="1" ht="17.100000000000001" customHeight="1">
      <c r="A74" s="104">
        <f t="shared" si="20"/>
        <v>16</v>
      </c>
      <c r="B74" s="567" t="str">
        <f t="shared" si="18"/>
        <v>Tháng 11/2018</v>
      </c>
      <c r="C74" s="567"/>
      <c r="D74" s="568" t="str">
        <f t="shared" si="19"/>
        <v>Dầm bản lắp ghép BTCT DƯL L=18m</v>
      </c>
      <c r="E74" s="568"/>
      <c r="F74" s="568"/>
      <c r="G74" s="568"/>
      <c r="H74" s="569">
        <f t="shared" si="15"/>
        <v>0</v>
      </c>
      <c r="I74" s="569"/>
      <c r="J74" s="567"/>
      <c r="K74" s="570"/>
      <c r="L74">
        <v>11</v>
      </c>
      <c r="M74" s="101">
        <v>2018</v>
      </c>
      <c r="N74"/>
      <c r="O74" s="103">
        <f t="shared" si="16"/>
        <v>43405</v>
      </c>
      <c r="P74" s="103">
        <f t="shared" si="17"/>
        <v>43434</v>
      </c>
    </row>
    <row r="75" spans="1:16" s="5" customFormat="1" ht="17.100000000000001" customHeight="1">
      <c r="A75" s="104">
        <f t="shared" si="20"/>
        <v>17</v>
      </c>
      <c r="B75" s="567" t="str">
        <f t="shared" si="18"/>
        <v>Tháng 12/2018</v>
      </c>
      <c r="C75" s="567"/>
      <c r="D75" s="568" t="str">
        <f t="shared" si="19"/>
        <v>Dầm bản lắp ghép BTCT DƯL L=18m</v>
      </c>
      <c r="E75" s="568"/>
      <c r="F75" s="568"/>
      <c r="G75" s="568"/>
      <c r="H75" s="569">
        <f t="shared" si="15"/>
        <v>0</v>
      </c>
      <c r="I75" s="569"/>
      <c r="J75" s="567"/>
      <c r="K75" s="570"/>
      <c r="L75">
        <v>12</v>
      </c>
      <c r="M75" s="101">
        <v>2018</v>
      </c>
      <c r="N75"/>
      <c r="O75" s="103">
        <f t="shared" si="16"/>
        <v>43435</v>
      </c>
      <c r="P75" s="103">
        <f t="shared" si="17"/>
        <v>43465</v>
      </c>
    </row>
    <row r="76" spans="1:16" s="5" customFormat="1" ht="17.100000000000001" customHeight="1">
      <c r="A76" s="104">
        <f t="shared" si="20"/>
        <v>18</v>
      </c>
      <c r="B76" s="567" t="str">
        <f t="shared" si="18"/>
        <v>Tháng 01/2019</v>
      </c>
      <c r="C76" s="567"/>
      <c r="D76" s="568" t="str">
        <f t="shared" si="19"/>
        <v>Dầm bản lắp ghép BTCT DƯL L=18m</v>
      </c>
      <c r="E76" s="568"/>
      <c r="F76" s="568"/>
      <c r="G76" s="568"/>
      <c r="H76" s="569">
        <f t="shared" si="15"/>
        <v>0</v>
      </c>
      <c r="I76" s="569"/>
      <c r="J76" s="567"/>
      <c r="K76" s="570"/>
      <c r="L76">
        <v>1</v>
      </c>
      <c r="M76" s="101">
        <v>2019</v>
      </c>
      <c r="N76"/>
      <c r="O76" s="103">
        <f t="shared" si="16"/>
        <v>43466</v>
      </c>
      <c r="P76" s="103">
        <f t="shared" si="17"/>
        <v>43496</v>
      </c>
    </row>
    <row r="77" spans="1:16" s="5" customFormat="1" ht="17.100000000000001" customHeight="1">
      <c r="A77" s="104">
        <f t="shared" si="20"/>
        <v>19</v>
      </c>
      <c r="B77" s="567" t="str">
        <f t="shared" si="18"/>
        <v>Tháng 02/2019</v>
      </c>
      <c r="C77" s="567"/>
      <c r="D77" s="568" t="str">
        <f t="shared" si="19"/>
        <v>Dầm bản lắp ghép BTCT DƯL L=18m</v>
      </c>
      <c r="E77" s="568"/>
      <c r="F77" s="568"/>
      <c r="G77" s="568"/>
      <c r="H77" s="569">
        <f t="shared" si="15"/>
        <v>0</v>
      </c>
      <c r="I77" s="569"/>
      <c r="J77" s="567"/>
      <c r="K77" s="570"/>
      <c r="L77">
        <v>2</v>
      </c>
      <c r="M77" s="101">
        <v>2019</v>
      </c>
      <c r="N77"/>
      <c r="O77" s="103">
        <f t="shared" si="16"/>
        <v>43497</v>
      </c>
      <c r="P77" s="103">
        <f t="shared" si="17"/>
        <v>43524</v>
      </c>
    </row>
    <row r="78" spans="1:16" s="5" customFormat="1" ht="17.100000000000001" customHeight="1">
      <c r="A78" s="104">
        <f t="shared" si="20"/>
        <v>20</v>
      </c>
      <c r="B78" s="567" t="str">
        <f t="shared" si="18"/>
        <v>Tháng 03/2019</v>
      </c>
      <c r="C78" s="567"/>
      <c r="D78" s="568" t="str">
        <f t="shared" si="19"/>
        <v>Dầm bản lắp ghép BTCT DƯL L=18m</v>
      </c>
      <c r="E78" s="568"/>
      <c r="F78" s="568"/>
      <c r="G78" s="568"/>
      <c r="H78" s="569">
        <f t="shared" si="15"/>
        <v>0</v>
      </c>
      <c r="I78" s="569"/>
      <c r="J78" s="567"/>
      <c r="K78" s="570"/>
      <c r="L78">
        <v>3</v>
      </c>
      <c r="M78" s="101">
        <v>2019</v>
      </c>
      <c r="N78"/>
      <c r="O78" s="103">
        <f t="shared" si="16"/>
        <v>43525</v>
      </c>
      <c r="P78" s="103">
        <f t="shared" si="17"/>
        <v>43555</v>
      </c>
    </row>
    <row r="79" spans="1:16" s="5" customFormat="1" ht="17.100000000000001" customHeight="1">
      <c r="A79" s="104">
        <f t="shared" si="20"/>
        <v>21</v>
      </c>
      <c r="B79" s="567" t="str">
        <f t="shared" si="18"/>
        <v>Tháng 04/2019</v>
      </c>
      <c r="C79" s="567"/>
      <c r="D79" s="568" t="str">
        <f t="shared" si="19"/>
        <v>Dầm bản lắp ghép BTCT DƯL L=18m</v>
      </c>
      <c r="E79" s="568"/>
      <c r="F79" s="568"/>
      <c r="G79" s="568"/>
      <c r="H79" s="569">
        <f t="shared" si="15"/>
        <v>0</v>
      </c>
      <c r="I79" s="569"/>
      <c r="J79" s="567"/>
      <c r="K79" s="570"/>
      <c r="L79">
        <v>4</v>
      </c>
      <c r="M79" s="101">
        <v>2019</v>
      </c>
      <c r="N79"/>
      <c r="O79" s="103">
        <f t="shared" si="16"/>
        <v>43556</v>
      </c>
      <c r="P79" s="103">
        <f t="shared" si="17"/>
        <v>43585</v>
      </c>
    </row>
    <row r="80" spans="1:16" s="5" customFormat="1" ht="17.100000000000001" customHeight="1">
      <c r="A80" s="104">
        <f t="shared" si="20"/>
        <v>22</v>
      </c>
      <c r="B80" s="567" t="str">
        <f t="shared" si="18"/>
        <v>Tháng 05/2019</v>
      </c>
      <c r="C80" s="567"/>
      <c r="D80" s="568" t="str">
        <f t="shared" si="19"/>
        <v>Dầm bản lắp ghép BTCT DƯL L=18m</v>
      </c>
      <c r="E80" s="568"/>
      <c r="F80" s="568"/>
      <c r="G80" s="568"/>
      <c r="H80" s="569">
        <f t="shared" si="15"/>
        <v>0</v>
      </c>
      <c r="I80" s="569"/>
      <c r="J80" s="567"/>
      <c r="K80" s="570"/>
      <c r="L80">
        <v>5</v>
      </c>
      <c r="M80" s="101">
        <v>2019</v>
      </c>
      <c r="N80"/>
      <c r="O80" s="103">
        <f t="shared" si="16"/>
        <v>43586</v>
      </c>
      <c r="P80" s="103">
        <f t="shared" si="17"/>
        <v>43616</v>
      </c>
    </row>
    <row r="81" spans="1:16" s="5" customFormat="1" ht="17.100000000000001" customHeight="1">
      <c r="A81" s="104">
        <f t="shared" si="20"/>
        <v>23</v>
      </c>
      <c r="B81" s="567" t="str">
        <f t="shared" si="18"/>
        <v>Tháng 06/2019</v>
      </c>
      <c r="C81" s="567"/>
      <c r="D81" s="568" t="str">
        <f t="shared" si="19"/>
        <v>Dầm bản lắp ghép BTCT DƯL L=18m</v>
      </c>
      <c r="E81" s="568"/>
      <c r="F81" s="568"/>
      <c r="G81" s="568"/>
      <c r="H81" s="569">
        <f t="shared" si="15"/>
        <v>0</v>
      </c>
      <c r="I81" s="569"/>
      <c r="J81" s="567"/>
      <c r="K81" s="570"/>
      <c r="L81">
        <v>6</v>
      </c>
      <c r="M81" s="101">
        <v>2019</v>
      </c>
      <c r="N81"/>
      <c r="O81" s="103">
        <f t="shared" si="16"/>
        <v>43617</v>
      </c>
      <c r="P81" s="103">
        <f t="shared" si="17"/>
        <v>43646</v>
      </c>
    </row>
    <row r="82" spans="1:16" s="5" customFormat="1" ht="17.100000000000001" customHeight="1">
      <c r="A82" s="104">
        <f t="shared" si="20"/>
        <v>24</v>
      </c>
      <c r="B82" s="567" t="str">
        <f t="shared" si="18"/>
        <v>Tháng 07/2019</v>
      </c>
      <c r="C82" s="567"/>
      <c r="D82" s="568" t="str">
        <f t="shared" si="19"/>
        <v>Dầm bản lắp ghép BTCT DƯL L=18m</v>
      </c>
      <c r="E82" s="568"/>
      <c r="F82" s="568"/>
      <c r="G82" s="568"/>
      <c r="H82" s="569">
        <f t="shared" si="15"/>
        <v>0</v>
      </c>
      <c r="I82" s="569"/>
      <c r="J82" s="567"/>
      <c r="K82" s="570"/>
      <c r="L82">
        <v>7</v>
      </c>
      <c r="M82" s="101">
        <v>2019</v>
      </c>
      <c r="N82"/>
      <c r="O82" s="102">
        <f>DATE(M82,L82,1)</f>
        <v>43647</v>
      </c>
      <c r="P82" s="103">
        <f>DATE(M82,L82+1,0)</f>
        <v>43677</v>
      </c>
    </row>
    <row r="83" spans="1:16" s="5" customFormat="1" ht="17.100000000000001" customHeight="1">
      <c r="A83" s="104">
        <f t="shared" si="20"/>
        <v>25</v>
      </c>
      <c r="B83" s="567" t="str">
        <f t="shared" ref="B83" si="21">"Tháng "&amp;IF(L83&lt;10,0&amp;L83&amp;"/"&amp;M83,L83&amp;"/"&amp;M83)</f>
        <v>Tháng 08/2019</v>
      </c>
      <c r="C83" s="567"/>
      <c r="D83" s="568" t="str">
        <f t="shared" si="19"/>
        <v>Dầm bản lắp ghép BTCT DƯL L=18m</v>
      </c>
      <c r="E83" s="568"/>
      <c r="F83" s="568"/>
      <c r="G83" s="568"/>
      <c r="H83" s="569">
        <f t="shared" si="15"/>
        <v>0</v>
      </c>
      <c r="I83" s="569"/>
      <c r="J83" s="567"/>
      <c r="K83" s="570"/>
      <c r="L83">
        <v>8</v>
      </c>
      <c r="M83" s="101">
        <v>2019</v>
      </c>
      <c r="N83"/>
      <c r="O83" s="103">
        <f>DATE(M83,L83,1)</f>
        <v>43678</v>
      </c>
      <c r="P83" s="103">
        <f>DATE(M83,L83+1,0)</f>
        <v>43708</v>
      </c>
    </row>
    <row r="84" spans="1:16" s="5" customFormat="1" ht="17.100000000000001" customHeight="1">
      <c r="A84" s="104">
        <f t="shared" si="20"/>
        <v>26</v>
      </c>
      <c r="B84" s="616" t="str">
        <f t="shared" si="18"/>
        <v>Tháng 09/2019</v>
      </c>
      <c r="C84" s="616"/>
      <c r="D84" s="652" t="str">
        <f>D82</f>
        <v>Dầm bản lắp ghép BTCT DƯL L=18m</v>
      </c>
      <c r="E84" s="652"/>
      <c r="F84" s="652"/>
      <c r="G84" s="652"/>
      <c r="H84" s="615">
        <f t="shared" si="15"/>
        <v>0</v>
      </c>
      <c r="I84" s="615"/>
      <c r="J84" s="616"/>
      <c r="K84" s="617"/>
      <c r="L84">
        <v>9</v>
      </c>
      <c r="M84" s="101">
        <v>2019</v>
      </c>
      <c r="N84"/>
      <c r="O84" s="103">
        <f>DATE(M84,L84,1)</f>
        <v>43709</v>
      </c>
      <c r="P84" s="103">
        <f>DATE(M84,L84+1,0)</f>
        <v>43738</v>
      </c>
    </row>
    <row r="85" spans="1:16" s="5" customFormat="1" ht="21.6" customHeight="1" thickBot="1">
      <c r="A85" s="618" t="s">
        <v>86</v>
      </c>
      <c r="B85" s="619"/>
      <c r="C85" s="619"/>
      <c r="D85" s="619"/>
      <c r="E85" s="619"/>
      <c r="F85" s="619"/>
      <c r="G85" s="620"/>
      <c r="H85" s="621">
        <f t="shared" ref="H85" si="22">SUM(H59:I84)</f>
        <v>24</v>
      </c>
      <c r="I85" s="622"/>
      <c r="J85" s="621"/>
      <c r="K85" s="622"/>
      <c r="L85"/>
      <c r="M85"/>
      <c r="N85"/>
      <c r="O85"/>
      <c r="P85"/>
    </row>
    <row r="86" spans="1:16" s="5" customFormat="1" ht="18" customHeight="1" thickTop="1" thickBot="1">
      <c r="A86" s="105"/>
      <c r="B86" s="105"/>
      <c r="C86" s="105"/>
      <c r="D86" s="105"/>
      <c r="E86" s="105"/>
      <c r="F86" s="105"/>
      <c r="G86" s="105"/>
      <c r="H86" s="105"/>
      <c r="I86" s="105"/>
      <c r="J86" s="105"/>
      <c r="K86" s="105"/>
      <c r="L86" s="4"/>
      <c r="M86" s="4"/>
      <c r="N86" s="4"/>
      <c r="O86" s="4"/>
      <c r="P86" s="20"/>
    </row>
    <row r="87" spans="1:16" s="5" customFormat="1" ht="13.9" customHeight="1" thickTop="1">
      <c r="A87" s="647" t="s">
        <v>68</v>
      </c>
      <c r="B87" s="648"/>
      <c r="C87" s="648"/>
      <c r="D87" s="648"/>
      <c r="E87" s="648"/>
      <c r="F87" s="649" t="s">
        <v>69</v>
      </c>
      <c r="G87" s="649"/>
      <c r="H87" s="649"/>
      <c r="I87" s="650"/>
      <c r="J87" s="650"/>
      <c r="K87" s="651"/>
      <c r="L87" s="4"/>
      <c r="M87" s="4"/>
      <c r="N87" s="4"/>
      <c r="O87" s="4"/>
      <c r="P87" s="4"/>
    </row>
    <row r="88" spans="1:16" s="5" customFormat="1" ht="13.9" customHeight="1">
      <c r="A88" s="583" t="s">
        <v>5</v>
      </c>
      <c r="B88" s="584"/>
      <c r="C88" s="584"/>
      <c r="D88" s="584"/>
      <c r="E88" s="584"/>
      <c r="F88" s="585" t="s">
        <v>6</v>
      </c>
      <c r="G88" s="585"/>
      <c r="H88" s="585"/>
      <c r="I88" s="586"/>
      <c r="J88" s="586"/>
      <c r="K88" s="587"/>
      <c r="L88" s="4"/>
      <c r="M88" s="4"/>
      <c r="N88" s="4"/>
      <c r="O88" s="4"/>
      <c r="P88" s="4"/>
    </row>
    <row r="89" spans="1:16" s="5" customFormat="1" ht="13.9" customHeight="1">
      <c r="A89" s="583" t="s">
        <v>836</v>
      </c>
      <c r="B89" s="584"/>
      <c r="C89" s="584"/>
      <c r="D89" s="584"/>
      <c r="E89" s="584"/>
      <c r="F89" s="590" t="s">
        <v>837</v>
      </c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16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16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16" s="5" customFormat="1" ht="13.9" customHeight="1">
      <c r="A92" s="583"/>
      <c r="B92" s="584"/>
      <c r="C92" s="584"/>
      <c r="D92" s="584"/>
      <c r="E92" s="584"/>
      <c r="F92" s="590"/>
      <c r="G92" s="590"/>
      <c r="H92" s="590"/>
      <c r="I92" s="591"/>
      <c r="J92" s="591"/>
      <c r="K92" s="592"/>
      <c r="L92" s="4"/>
      <c r="M92" s="4"/>
      <c r="N92" s="4"/>
      <c r="O92" s="4"/>
      <c r="P92" s="4"/>
    </row>
    <row r="93" spans="1:16" s="5" customFormat="1" ht="13.9" customHeight="1">
      <c r="A93" s="583"/>
      <c r="B93" s="584"/>
      <c r="C93" s="584"/>
      <c r="D93" s="584"/>
      <c r="E93" s="584"/>
      <c r="F93" s="590"/>
      <c r="G93" s="590"/>
      <c r="H93" s="590"/>
      <c r="I93" s="591"/>
      <c r="J93" s="591"/>
      <c r="K93" s="592"/>
      <c r="L93" s="4"/>
      <c r="M93" s="4"/>
      <c r="N93" s="4"/>
      <c r="O93" s="4"/>
      <c r="P93" s="4"/>
    </row>
    <row r="94" spans="1:16" s="5" customFormat="1" ht="13.9" customHeight="1">
      <c r="A94" s="583"/>
      <c r="B94" s="584"/>
      <c r="C94" s="584"/>
      <c r="D94" s="584"/>
      <c r="E94" s="584"/>
      <c r="F94" s="590"/>
      <c r="G94" s="590"/>
      <c r="H94" s="590"/>
      <c r="I94" s="591"/>
      <c r="J94" s="591"/>
      <c r="K94" s="592"/>
      <c r="L94" s="4"/>
      <c r="M94" s="4"/>
      <c r="N94" s="4"/>
      <c r="O94" s="4"/>
      <c r="P94" s="4"/>
    </row>
    <row r="95" spans="1:16" s="5" customFormat="1" ht="13.9" customHeight="1" thickBot="1">
      <c r="A95" s="588"/>
      <c r="B95" s="589"/>
      <c r="C95" s="589"/>
      <c r="D95" s="589"/>
      <c r="E95" s="589"/>
      <c r="F95" s="593"/>
      <c r="G95" s="593"/>
      <c r="H95" s="593"/>
      <c r="I95" s="594"/>
      <c r="J95" s="594"/>
      <c r="K95" s="595"/>
      <c r="L95" s="4"/>
      <c r="M95" s="4"/>
      <c r="N95" s="4"/>
      <c r="O95" s="4"/>
      <c r="P95" s="4"/>
    </row>
    <row r="96" spans="1:16" ht="15.75" thickTop="1"/>
  </sheetData>
  <mergeCells count="169">
    <mergeCell ref="A87:E87"/>
    <mergeCell ref="F87:K87"/>
    <mergeCell ref="A88:E88"/>
    <mergeCell ref="F88:K88"/>
    <mergeCell ref="A89:E95"/>
    <mergeCell ref="F89:K95"/>
    <mergeCell ref="B79:C79"/>
    <mergeCell ref="D79:G79"/>
    <mergeCell ref="H79:I79"/>
    <mergeCell ref="J79:K79"/>
    <mergeCell ref="B80:C80"/>
    <mergeCell ref="D80:G80"/>
    <mergeCell ref="H80:I80"/>
    <mergeCell ref="J80:K80"/>
    <mergeCell ref="B81:C81"/>
    <mergeCell ref="D81:G81"/>
    <mergeCell ref="H81:I81"/>
    <mergeCell ref="J81:K81"/>
    <mergeCell ref="B82:C82"/>
    <mergeCell ref="D82:G82"/>
    <mergeCell ref="H82:I82"/>
    <mergeCell ref="J82:K82"/>
    <mergeCell ref="B84:C84"/>
    <mergeCell ref="D84:G84"/>
    <mergeCell ref="B73:C73"/>
    <mergeCell ref="D73:G73"/>
    <mergeCell ref="H73:I73"/>
    <mergeCell ref="J73:K73"/>
    <mergeCell ref="B77:C77"/>
    <mergeCell ref="D77:G77"/>
    <mergeCell ref="H77:I77"/>
    <mergeCell ref="J77:K77"/>
    <mergeCell ref="B78:C78"/>
    <mergeCell ref="D78:G78"/>
    <mergeCell ref="H78:I78"/>
    <mergeCell ref="J78:K78"/>
    <mergeCell ref="B74:C74"/>
    <mergeCell ref="D74:G74"/>
    <mergeCell ref="H74:I74"/>
    <mergeCell ref="J74:K74"/>
    <mergeCell ref="B75:C75"/>
    <mergeCell ref="D75:G75"/>
    <mergeCell ref="H75:I75"/>
    <mergeCell ref="J75:K75"/>
    <mergeCell ref="B76:C76"/>
    <mergeCell ref="D76:G76"/>
    <mergeCell ref="H76:I76"/>
    <mergeCell ref="J76:K76"/>
    <mergeCell ref="B70:C70"/>
    <mergeCell ref="D70:G70"/>
    <mergeCell ref="H70:I70"/>
    <mergeCell ref="J70:K70"/>
    <mergeCell ref="B71:C71"/>
    <mergeCell ref="D71:G71"/>
    <mergeCell ref="H71:I71"/>
    <mergeCell ref="J71:K71"/>
    <mergeCell ref="B72:C72"/>
    <mergeCell ref="D72:G72"/>
    <mergeCell ref="H72:I72"/>
    <mergeCell ref="J72:K72"/>
    <mergeCell ref="B64:C64"/>
    <mergeCell ref="D64:G64"/>
    <mergeCell ref="H64:I64"/>
    <mergeCell ref="J64:K64"/>
    <mergeCell ref="B65:C65"/>
    <mergeCell ref="D65:G65"/>
    <mergeCell ref="H65:I65"/>
    <mergeCell ref="J65:K65"/>
    <mergeCell ref="B69:C69"/>
    <mergeCell ref="D69:G69"/>
    <mergeCell ref="H69:I69"/>
    <mergeCell ref="J69:K69"/>
    <mergeCell ref="B67:C67"/>
    <mergeCell ref="D67:G67"/>
    <mergeCell ref="H67:I67"/>
    <mergeCell ref="J67:K67"/>
    <mergeCell ref="B68:C68"/>
    <mergeCell ref="D68:G68"/>
    <mergeCell ref="H68:I68"/>
    <mergeCell ref="J68:K68"/>
    <mergeCell ref="A55:D55"/>
    <mergeCell ref="B57:C58"/>
    <mergeCell ref="D57:G58"/>
    <mergeCell ref="H57:I58"/>
    <mergeCell ref="J57:K58"/>
    <mergeCell ref="J62:K62"/>
    <mergeCell ref="B63:C63"/>
    <mergeCell ref="D63:G63"/>
    <mergeCell ref="H63:I63"/>
    <mergeCell ref="J63:K63"/>
    <mergeCell ref="A1:K1"/>
    <mergeCell ref="A2:K2"/>
    <mergeCell ref="A3:K3"/>
    <mergeCell ref="A9:A11"/>
    <mergeCell ref="B9:B11"/>
    <mergeCell ref="K9:K11"/>
    <mergeCell ref="A7:D7"/>
    <mergeCell ref="F9:F11"/>
    <mergeCell ref="G9:G11"/>
    <mergeCell ref="H9:H11"/>
    <mergeCell ref="I9:I11"/>
    <mergeCell ref="J9:J11"/>
    <mergeCell ref="H84:I84"/>
    <mergeCell ref="J84:K84"/>
    <mergeCell ref="A85:G85"/>
    <mergeCell ref="H85:I85"/>
    <mergeCell ref="J85:K85"/>
    <mergeCell ref="B59:C59"/>
    <mergeCell ref="D59:G59"/>
    <mergeCell ref="H59:I59"/>
    <mergeCell ref="J59:K59"/>
    <mergeCell ref="B60:C60"/>
    <mergeCell ref="D60:G60"/>
    <mergeCell ref="H60:I60"/>
    <mergeCell ref="J60:K60"/>
    <mergeCell ref="B66:C66"/>
    <mergeCell ref="D66:G66"/>
    <mergeCell ref="H66:I66"/>
    <mergeCell ref="J66:K66"/>
    <mergeCell ref="B61:C61"/>
    <mergeCell ref="D61:G61"/>
    <mergeCell ref="H61:I61"/>
    <mergeCell ref="J61:K61"/>
    <mergeCell ref="B62:C62"/>
    <mergeCell ref="D62:G62"/>
    <mergeCell ref="H62:I62"/>
    <mergeCell ref="K12:K35"/>
    <mergeCell ref="C12:E12"/>
    <mergeCell ref="C9:E11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B83:C83"/>
    <mergeCell ref="D83:G83"/>
    <mergeCell ref="H83:I83"/>
    <mergeCell ref="J83:K83"/>
    <mergeCell ref="C29:E29"/>
    <mergeCell ref="C30:E30"/>
    <mergeCell ref="C31:E31"/>
    <mergeCell ref="C32:E32"/>
    <mergeCell ref="C33:E33"/>
    <mergeCell ref="C34:E34"/>
    <mergeCell ref="C35:E35"/>
    <mergeCell ref="A36:E36"/>
    <mergeCell ref="A57:A58"/>
    <mergeCell ref="A38:E38"/>
    <mergeCell ref="F38:K38"/>
    <mergeCell ref="A39:E39"/>
    <mergeCell ref="F39:K39"/>
    <mergeCell ref="A40:E46"/>
    <mergeCell ref="F40:K46"/>
    <mergeCell ref="A48:K48"/>
    <mergeCell ref="A49:K49"/>
    <mergeCell ref="A50:K50"/>
    <mergeCell ref="A51:K51"/>
    <mergeCell ref="A52:K52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47" max="10" man="1"/>
  </rowBreaks>
  <ignoredErrors>
    <ignoredError sqref="A1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rgb="FF92D050"/>
  </sheetPr>
  <dimension ref="A1:T73"/>
  <sheetViews>
    <sheetView view="pageBreakPreview" topLeftCell="A55" zoomScaleSheetLayoutView="100" workbookViewId="0">
      <selection activeCell="A66" sqref="A66:K7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C.I.1.2. Lắp đặt dầm bản  lắp ghép BTCT DƯL L=18m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 t="s">
        <v>333</v>
      </c>
      <c r="N6" s="245" t="str">
        <f>THKLQT!C25</f>
        <v>Lắp đặt dầm bản  lắp ghép BTCT DƯL L=18m</v>
      </c>
      <c r="Q6" s="17"/>
    </row>
    <row r="7" spans="1:20" s="14" customFormat="1" ht="18.75" customHeight="1">
      <c r="A7" s="634">
        <f>I13</f>
        <v>24</v>
      </c>
      <c r="B7" s="635"/>
      <c r="C7" s="635"/>
      <c r="D7" s="635"/>
      <c r="E7" s="106" t="str">
        <f>"("&amp;L7&amp;")"</f>
        <v>(Dầm)</v>
      </c>
      <c r="F7" s="113"/>
      <c r="G7" s="113"/>
      <c r="H7" s="113"/>
      <c r="I7" s="113"/>
      <c r="J7" s="113"/>
      <c r="K7" s="114"/>
      <c r="L7" s="26" t="str">
        <f>THKLQT!D25</f>
        <v>Dầm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43436</v>
      </c>
      <c r="C12" s="571" t="str">
        <f>T12</f>
        <v>Lắp đặt dầm bản  lắp ghép BTCT DƯL L=18m</v>
      </c>
      <c r="D12" s="572"/>
      <c r="E12" s="573"/>
      <c r="F12" s="27">
        <f>P12</f>
        <v>24</v>
      </c>
      <c r="G12" s="33">
        <f>P12</f>
        <v>24</v>
      </c>
      <c r="H12" s="295">
        <f>P12</f>
        <v>24</v>
      </c>
      <c r="I12" s="107">
        <f>P12</f>
        <v>24</v>
      </c>
      <c r="J12" s="107">
        <f>P12</f>
        <v>24</v>
      </c>
      <c r="K12" s="82"/>
      <c r="N12" s="118"/>
      <c r="O12" s="118"/>
      <c r="P12" s="88">
        <v>24</v>
      </c>
      <c r="Q12" s="89">
        <v>43436</v>
      </c>
      <c r="R12" s="83"/>
      <c r="S12" s="88" t="e">
        <f>VLOOKUP($S$11,hamchuigoi3,M12,0)</f>
        <v>#VALUE!</v>
      </c>
      <c r="T12" s="83" t="str">
        <f>N6</f>
        <v>Lắp đặt dầm bản  lắp ghép BTCT DƯL L=18m</v>
      </c>
    </row>
    <row r="13" spans="1:20" thickBot="1">
      <c r="A13" s="574" t="s">
        <v>4</v>
      </c>
      <c r="B13" s="575"/>
      <c r="C13" s="575"/>
      <c r="D13" s="575"/>
      <c r="E13" s="575"/>
      <c r="F13" s="79">
        <f>ROUND(SUM(F12:F12),2)</f>
        <v>24</v>
      </c>
      <c r="G13" s="79">
        <f>ROUND(SUM(G12:G12),2)</f>
        <v>24</v>
      </c>
      <c r="H13" s="79">
        <f>ROUND(SUM(H12:H12),2)</f>
        <v>24</v>
      </c>
      <c r="I13" s="79">
        <f>ROUND(SUM(I12:I12),2)</f>
        <v>24</v>
      </c>
      <c r="J13" s="79">
        <f>ROUND(SUM(J12:J12),2)</f>
        <v>24</v>
      </c>
      <c r="K13" s="80"/>
      <c r="N13" s="118"/>
      <c r="O13" s="118"/>
      <c r="P13" s="90">
        <f>SUM(P12:P12)</f>
        <v>24</v>
      </c>
    </row>
    <row r="14" spans="1:20" s="122" customFormat="1" ht="18" customHeight="1" thickTop="1" thickBot="1">
      <c r="A14" s="223"/>
      <c r="B14" s="223"/>
      <c r="C14" s="223"/>
      <c r="D14" s="223"/>
      <c r="E14" s="223"/>
      <c r="F14" s="116"/>
      <c r="G14" s="116"/>
      <c r="H14" s="116"/>
      <c r="I14" s="116"/>
      <c r="J14" s="116"/>
      <c r="K14" s="117"/>
      <c r="L14" s="4"/>
      <c r="M14" s="4"/>
      <c r="N14" s="118"/>
      <c r="O14" s="118"/>
      <c r="P14" s="119"/>
      <c r="Q14" s="120"/>
      <c r="R14" s="120"/>
      <c r="S14" s="120"/>
      <c r="T14" s="121"/>
    </row>
    <row r="15" spans="1:20" s="5" customFormat="1" ht="13.9" customHeight="1" thickTop="1">
      <c r="A15" s="578" t="s">
        <v>68</v>
      </c>
      <c r="B15" s="579"/>
      <c r="C15" s="579"/>
      <c r="D15" s="579"/>
      <c r="E15" s="579"/>
      <c r="F15" s="580" t="s">
        <v>69</v>
      </c>
      <c r="G15" s="580"/>
      <c r="H15" s="580"/>
      <c r="I15" s="581"/>
      <c r="J15" s="581"/>
      <c r="K15" s="582"/>
      <c r="L15" s="4"/>
      <c r="M15" s="4"/>
      <c r="N15" s="4"/>
      <c r="O15" s="4"/>
      <c r="P15" s="4"/>
    </row>
    <row r="16" spans="1:20" s="5" customFormat="1" ht="13.9" customHeight="1">
      <c r="A16" s="583" t="s">
        <v>5</v>
      </c>
      <c r="B16" s="584"/>
      <c r="C16" s="584"/>
      <c r="D16" s="584"/>
      <c r="E16" s="584"/>
      <c r="F16" s="585" t="s">
        <v>6</v>
      </c>
      <c r="G16" s="585"/>
      <c r="H16" s="585"/>
      <c r="I16" s="586"/>
      <c r="J16" s="586"/>
      <c r="K16" s="587"/>
      <c r="L16" s="4"/>
      <c r="M16" s="4"/>
      <c r="N16" s="4"/>
      <c r="O16" s="4"/>
      <c r="P16" s="4"/>
    </row>
    <row r="17" spans="1:20" s="5" customFormat="1" ht="13.9" customHeight="1">
      <c r="A17" s="583" t="s">
        <v>836</v>
      </c>
      <c r="B17" s="584"/>
      <c r="C17" s="584"/>
      <c r="D17" s="584"/>
      <c r="E17" s="584"/>
      <c r="F17" s="590" t="s">
        <v>837</v>
      </c>
      <c r="G17" s="590"/>
      <c r="H17" s="590"/>
      <c r="I17" s="591"/>
      <c r="J17" s="591"/>
      <c r="K17" s="592"/>
      <c r="L17" s="4"/>
      <c r="M17" s="4"/>
      <c r="N17" s="4"/>
      <c r="O17" s="4"/>
      <c r="P17" s="4"/>
    </row>
    <row r="18" spans="1:20" s="5" customFormat="1" ht="13.9" customHeight="1">
      <c r="A18" s="583"/>
      <c r="B18" s="584"/>
      <c r="C18" s="584"/>
      <c r="D18" s="584"/>
      <c r="E18" s="584"/>
      <c r="F18" s="590"/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 thickBot="1">
      <c r="A23" s="588"/>
      <c r="B23" s="589"/>
      <c r="C23" s="589"/>
      <c r="D23" s="589"/>
      <c r="E23" s="589"/>
      <c r="F23" s="593"/>
      <c r="G23" s="593"/>
      <c r="H23" s="593"/>
      <c r="I23" s="594"/>
      <c r="J23" s="594"/>
      <c r="K23" s="595"/>
      <c r="L23" s="4"/>
      <c r="M23" s="4"/>
      <c r="N23" s="4"/>
      <c r="O23" s="4"/>
      <c r="P23" s="4"/>
    </row>
    <row r="24" spans="1:20" s="122" customFormat="1" ht="18" customHeight="1" thickTop="1">
      <c r="A24" s="223"/>
      <c r="B24" s="223"/>
      <c r="C24" s="223"/>
      <c r="D24" s="223"/>
      <c r="E24" s="223"/>
      <c r="F24" s="116"/>
      <c r="G24" s="116"/>
      <c r="H24" s="116"/>
      <c r="I24" s="116"/>
      <c r="J24" s="116"/>
      <c r="K24" s="117"/>
      <c r="L24" s="118"/>
      <c r="M24" s="118"/>
      <c r="N24" s="118"/>
      <c r="O24" s="118"/>
      <c r="P24" s="119"/>
      <c r="Q24" s="120"/>
      <c r="R24" s="120"/>
      <c r="S24" s="120"/>
      <c r="T24" s="121"/>
    </row>
    <row r="25" spans="1:20" s="111" customFormat="1" ht="48" customHeight="1">
      <c r="A25" s="596" t="s">
        <v>87</v>
      </c>
      <c r="B25" s="596"/>
      <c r="C25" s="596"/>
      <c r="D25" s="596"/>
      <c r="E25" s="596"/>
      <c r="F25" s="596"/>
      <c r="G25" s="596"/>
      <c r="H25" s="596"/>
      <c r="I25" s="596"/>
      <c r="J25" s="596"/>
      <c r="K25" s="596"/>
      <c r="L25" s="108"/>
      <c r="M25" s="109"/>
      <c r="N25" s="110"/>
    </row>
    <row r="26" spans="1:20" s="112" customFormat="1" ht="18" customHeight="1">
      <c r="A26" s="597" t="s">
        <v>599</v>
      </c>
      <c r="B26" s="597"/>
      <c r="C26" s="597"/>
      <c r="D26" s="597"/>
      <c r="E26" s="597"/>
      <c r="F26" s="597"/>
      <c r="G26" s="597"/>
      <c r="H26" s="597"/>
      <c r="I26" s="597"/>
      <c r="J26" s="597"/>
      <c r="K26" s="597"/>
    </row>
    <row r="27" spans="1:20" s="122" customFormat="1" ht="20.100000000000001" customHeight="1">
      <c r="A27" s="598" t="s">
        <v>90</v>
      </c>
      <c r="B27" s="598"/>
      <c r="C27" s="598"/>
      <c r="D27" s="598"/>
      <c r="E27" s="598"/>
      <c r="F27" s="598"/>
      <c r="G27" s="598"/>
      <c r="H27" s="598"/>
      <c r="I27" s="598"/>
      <c r="J27" s="598"/>
      <c r="K27" s="598"/>
      <c r="L27" s="123"/>
      <c r="M27" s="124"/>
      <c r="N27" s="123"/>
      <c r="O27" s="123"/>
      <c r="P27" s="123"/>
      <c r="Q27" s="123"/>
      <c r="R27" s="123"/>
      <c r="S27" s="123"/>
      <c r="T27" s="123"/>
    </row>
    <row r="28" spans="1:20" s="122" customFormat="1" ht="15.95" customHeight="1">
      <c r="A28" s="599" t="s">
        <v>91</v>
      </c>
      <c r="B28" s="599"/>
      <c r="C28" s="599"/>
      <c r="D28" s="599"/>
      <c r="E28" s="599"/>
      <c r="F28" s="599"/>
      <c r="G28" s="599"/>
      <c r="H28" s="599"/>
      <c r="I28" s="599"/>
      <c r="J28" s="599"/>
      <c r="K28" s="599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22" customFormat="1" ht="15.95" customHeight="1">
      <c r="A29" s="600" t="str">
        <f>A4</f>
        <v>PHẦN C.: CẦU VƯỢT</v>
      </c>
      <c r="B29" s="601"/>
      <c r="C29" s="601"/>
      <c r="D29" s="601"/>
      <c r="E29" s="601"/>
      <c r="F29" s="601"/>
      <c r="G29" s="601"/>
      <c r="H29" s="601"/>
      <c r="I29" s="601"/>
      <c r="J29" s="601"/>
      <c r="K29" s="602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22" customFormat="1" ht="15.95" customHeight="1">
      <c r="A30" s="224" t="str">
        <f>A5</f>
        <v>Hạng mục C.I. Kết cấu nhịp dầm</v>
      </c>
      <c r="B30" s="225"/>
      <c r="C30" s="127"/>
      <c r="D30" s="127"/>
      <c r="E30" s="128"/>
      <c r="F30" s="129"/>
      <c r="G30" s="129"/>
      <c r="H30" s="129"/>
      <c r="I30" s="129"/>
      <c r="J30" s="129"/>
      <c r="K30" s="130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22" customFormat="1" ht="15.95" customHeight="1">
      <c r="A31" s="224" t="str">
        <f>A6</f>
        <v>Mục C.I.1.2. Lắp đặt dầm bản  lắp ghép BTCT DƯL L=18m</v>
      </c>
      <c r="B31" s="22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22" customFormat="1" ht="15.95" customHeight="1">
      <c r="A32" s="639">
        <f>A7</f>
        <v>24</v>
      </c>
      <c r="B32" s="640"/>
      <c r="C32" s="640"/>
      <c r="D32" s="640"/>
      <c r="E32" s="131" t="str">
        <f>E7</f>
        <v>(Dầm)</v>
      </c>
      <c r="F32" s="132"/>
      <c r="G32" s="132"/>
      <c r="H32" s="132"/>
      <c r="I32" s="132"/>
      <c r="J32" s="132"/>
      <c r="K32" s="133"/>
      <c r="L32" s="134"/>
      <c r="M32" s="135"/>
      <c r="N32" s="136"/>
      <c r="P32" s="136"/>
    </row>
    <row r="33" spans="1:16" ht="13.5" customHeight="1" thickBot="1">
      <c r="A33" s="28"/>
      <c r="B33" s="28"/>
      <c r="C33" s="28"/>
      <c r="D33" s="28"/>
      <c r="E33" s="28"/>
      <c r="F33" s="30"/>
      <c r="G33" s="30"/>
      <c r="H33" s="30"/>
      <c r="I33" s="30"/>
      <c r="J33" s="30"/>
      <c r="K33" s="8"/>
      <c r="L33" s="23"/>
      <c r="M33" s="9"/>
    </row>
    <row r="34" spans="1:16" s="5" customFormat="1" ht="21.6" customHeight="1" thickTop="1">
      <c r="A34" s="576" t="s">
        <v>3</v>
      </c>
      <c r="B34" s="641" t="s">
        <v>84</v>
      </c>
      <c r="C34" s="641"/>
      <c r="D34" s="643" t="s">
        <v>96</v>
      </c>
      <c r="E34" s="643"/>
      <c r="F34" s="643"/>
      <c r="G34" s="643"/>
      <c r="H34" s="641" t="s">
        <v>89</v>
      </c>
      <c r="I34" s="641"/>
      <c r="J34" s="641" t="s">
        <v>85</v>
      </c>
      <c r="K34" s="645"/>
      <c r="L34"/>
      <c r="M34" s="94"/>
      <c r="N34" s="94"/>
      <c r="O34" s="95"/>
      <c r="P34" s="96"/>
    </row>
    <row r="35" spans="1:16" s="5" customFormat="1" ht="21.6" customHeight="1">
      <c r="A35" s="577"/>
      <c r="B35" s="642"/>
      <c r="C35" s="642"/>
      <c r="D35" s="644"/>
      <c r="E35" s="644"/>
      <c r="F35" s="644"/>
      <c r="G35" s="644"/>
      <c r="H35" s="642"/>
      <c r="I35" s="642"/>
      <c r="J35" s="642"/>
      <c r="K35" s="646"/>
      <c r="L35"/>
      <c r="M35" s="97"/>
      <c r="N35" s="97"/>
      <c r="O35" s="98"/>
      <c r="P35" s="99"/>
    </row>
    <row r="36" spans="1:16" s="5" customFormat="1" ht="17.100000000000001" customHeight="1">
      <c r="A36" s="100">
        <v>1</v>
      </c>
      <c r="B36" s="623" t="str">
        <f>"Tháng "&amp;IF(L36&lt;10,0&amp;L36&amp;"/"&amp;M36,L36&amp;"/"&amp;M36)</f>
        <v>Tháng 08/2017</v>
      </c>
      <c r="C36" s="623"/>
      <c r="D36" s="624" t="str">
        <f>N6</f>
        <v>Lắp đặt dầm bản  lắp ghép BTCT DƯL L=18m</v>
      </c>
      <c r="E36" s="624"/>
      <c r="F36" s="624"/>
      <c r="G36" s="624"/>
      <c r="H36" s="625">
        <f t="shared" ref="H36:H59" si="0">+SUMIFS($I$12:$I$12,$B$12:$B$12,"&gt;="&amp;$O36,$B$12:$B$12,"&lt;="&amp;$P36)</f>
        <v>0</v>
      </c>
      <c r="I36" s="625"/>
      <c r="J36" s="623"/>
      <c r="K36" s="626"/>
      <c r="L36">
        <v>8</v>
      </c>
      <c r="M36" s="101">
        <v>2017</v>
      </c>
      <c r="N36" s="97"/>
      <c r="O36" s="103">
        <f t="shared" ref="O36:O60" si="1">DATE(M36,L36,1)</f>
        <v>42948</v>
      </c>
      <c r="P36" s="103">
        <f t="shared" ref="P36:P60" si="2">DATE(M36,L36+1,0)</f>
        <v>42978</v>
      </c>
    </row>
    <row r="37" spans="1:16" s="5" customFormat="1" ht="17.100000000000001" customHeight="1">
      <c r="A37" s="104">
        <v>2</v>
      </c>
      <c r="B37" s="567" t="str">
        <f t="shared" ref="B37:B61" si="3">"Tháng "&amp;IF(L37&lt;10,0&amp;L37&amp;"/"&amp;M37,L37&amp;"/"&amp;M37)</f>
        <v>Tháng 09/2017</v>
      </c>
      <c r="C37" s="567"/>
      <c r="D37" s="568" t="str">
        <f>D36</f>
        <v>Lắp đặt dầm bản  lắp ghép BTCT DƯL L=18m</v>
      </c>
      <c r="E37" s="568"/>
      <c r="F37" s="568"/>
      <c r="G37" s="568"/>
      <c r="H37" s="569">
        <f t="shared" si="0"/>
        <v>0</v>
      </c>
      <c r="I37" s="569"/>
      <c r="J37" s="567"/>
      <c r="K37" s="570"/>
      <c r="L37">
        <v>9</v>
      </c>
      <c r="M37" s="101">
        <v>2017</v>
      </c>
      <c r="N37"/>
      <c r="O37" s="103">
        <f t="shared" si="1"/>
        <v>42979</v>
      </c>
      <c r="P37" s="103">
        <f t="shared" si="2"/>
        <v>43008</v>
      </c>
    </row>
    <row r="38" spans="1:16" s="5" customFormat="1" ht="17.100000000000001" customHeight="1">
      <c r="A38" s="104">
        <f>A37+1</f>
        <v>3</v>
      </c>
      <c r="B38" s="567" t="str">
        <f t="shared" si="3"/>
        <v>Tháng 10/2017</v>
      </c>
      <c r="C38" s="567"/>
      <c r="D38" s="568" t="str">
        <f t="shared" ref="D38:D60" si="4">D37</f>
        <v>Lắp đặt dầm bản  lắp ghép BTCT DƯL L=18m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10</v>
      </c>
      <c r="M38" s="101">
        <v>2017</v>
      </c>
      <c r="N38"/>
      <c r="O38" s="103">
        <f t="shared" si="1"/>
        <v>43009</v>
      </c>
      <c r="P38" s="103">
        <f t="shared" si="2"/>
        <v>43039</v>
      </c>
    </row>
    <row r="39" spans="1:16" s="5" customFormat="1" ht="17.100000000000001" customHeight="1">
      <c r="A39" s="104">
        <f t="shared" ref="A39:A61" si="5">A38+1</f>
        <v>4</v>
      </c>
      <c r="B39" s="567" t="str">
        <f t="shared" si="3"/>
        <v>Tháng 11/2017</v>
      </c>
      <c r="C39" s="567"/>
      <c r="D39" s="568" t="str">
        <f t="shared" si="4"/>
        <v>Lắp đặt dầm bản  lắp ghép BTCT DƯL L=18m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11</v>
      </c>
      <c r="M39" s="101">
        <v>2017</v>
      </c>
      <c r="N39"/>
      <c r="O39" s="103">
        <f t="shared" si="1"/>
        <v>43040</v>
      </c>
      <c r="P39" s="103">
        <f t="shared" si="2"/>
        <v>43069</v>
      </c>
    </row>
    <row r="40" spans="1:16" s="5" customFormat="1" ht="17.100000000000001" customHeight="1">
      <c r="A40" s="104">
        <f t="shared" si="5"/>
        <v>5</v>
      </c>
      <c r="B40" s="567" t="str">
        <f t="shared" si="3"/>
        <v>Tháng 12/2017</v>
      </c>
      <c r="C40" s="567"/>
      <c r="D40" s="568" t="str">
        <f t="shared" si="4"/>
        <v>Lắp đặt dầm bản  lắp ghép BTCT DƯL L=18m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12</v>
      </c>
      <c r="M40" s="101">
        <v>2017</v>
      </c>
      <c r="N40"/>
      <c r="O40" s="103">
        <f t="shared" si="1"/>
        <v>43070</v>
      </c>
      <c r="P40" s="103">
        <f t="shared" si="2"/>
        <v>43100</v>
      </c>
    </row>
    <row r="41" spans="1:16" s="5" customFormat="1" ht="17.100000000000001" customHeight="1">
      <c r="A41" s="104">
        <f t="shared" si="5"/>
        <v>6</v>
      </c>
      <c r="B41" s="567" t="str">
        <f t="shared" si="3"/>
        <v>Tháng 01/2018</v>
      </c>
      <c r="C41" s="567"/>
      <c r="D41" s="568" t="str">
        <f t="shared" si="4"/>
        <v>Lắp đặt dầm bản  lắp ghép BTCT DƯL L=18m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</v>
      </c>
      <c r="M41" s="101">
        <v>2018</v>
      </c>
      <c r="N41"/>
      <c r="O41" s="103">
        <f t="shared" si="1"/>
        <v>43101</v>
      </c>
      <c r="P41" s="103">
        <f t="shared" si="2"/>
        <v>43131</v>
      </c>
    </row>
    <row r="42" spans="1:16" s="5" customFormat="1" ht="17.100000000000001" customHeight="1">
      <c r="A42" s="104">
        <f t="shared" si="5"/>
        <v>7</v>
      </c>
      <c r="B42" s="567" t="str">
        <f t="shared" si="3"/>
        <v>Tháng 02/2018</v>
      </c>
      <c r="C42" s="567"/>
      <c r="D42" s="568" t="str">
        <f t="shared" si="4"/>
        <v>Lắp đặt dầm bản  lắp ghép BTCT DƯL L=18m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2</v>
      </c>
      <c r="M42" s="101">
        <v>2018</v>
      </c>
      <c r="N42"/>
      <c r="O42" s="103">
        <f t="shared" si="1"/>
        <v>43132</v>
      </c>
      <c r="P42" s="103">
        <f t="shared" si="2"/>
        <v>43159</v>
      </c>
    </row>
    <row r="43" spans="1:16" s="5" customFormat="1" ht="17.100000000000001" customHeight="1">
      <c r="A43" s="104">
        <f t="shared" si="5"/>
        <v>8</v>
      </c>
      <c r="B43" s="567" t="str">
        <f t="shared" si="3"/>
        <v>Tháng 03/2018</v>
      </c>
      <c r="C43" s="567"/>
      <c r="D43" s="568" t="str">
        <f t="shared" si="4"/>
        <v>Lắp đặt dầm bản  lắp ghép BTCT DƯL L=18m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3</v>
      </c>
      <c r="M43" s="101">
        <v>2018</v>
      </c>
      <c r="N43"/>
      <c r="O43" s="103">
        <f t="shared" si="1"/>
        <v>43160</v>
      </c>
      <c r="P43" s="103">
        <f t="shared" si="2"/>
        <v>43190</v>
      </c>
    </row>
    <row r="44" spans="1:16" s="5" customFormat="1" ht="17.100000000000001" customHeight="1">
      <c r="A44" s="104">
        <f t="shared" si="5"/>
        <v>9</v>
      </c>
      <c r="B44" s="567" t="str">
        <f t="shared" si="3"/>
        <v>Tháng 04/2018</v>
      </c>
      <c r="C44" s="567"/>
      <c r="D44" s="568" t="str">
        <f t="shared" si="4"/>
        <v>Lắp đặt dầm bản  lắp ghép BTCT DƯL L=18m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4</v>
      </c>
      <c r="M44" s="101">
        <v>2018</v>
      </c>
      <c r="N44"/>
      <c r="O44" s="103">
        <f t="shared" si="1"/>
        <v>43191</v>
      </c>
      <c r="P44" s="103">
        <f t="shared" si="2"/>
        <v>43220</v>
      </c>
    </row>
    <row r="45" spans="1:16" s="5" customFormat="1" ht="17.100000000000001" customHeight="1">
      <c r="A45" s="104">
        <f t="shared" si="5"/>
        <v>10</v>
      </c>
      <c r="B45" s="567" t="str">
        <f t="shared" si="3"/>
        <v>Tháng 05/2018</v>
      </c>
      <c r="C45" s="567"/>
      <c r="D45" s="568" t="str">
        <f t="shared" si="4"/>
        <v>Lắp đặt dầm bản  lắp ghép BTCT DƯL L=18m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5</v>
      </c>
      <c r="M45" s="101">
        <v>2018</v>
      </c>
      <c r="N45"/>
      <c r="O45" s="103">
        <f t="shared" si="1"/>
        <v>43221</v>
      </c>
      <c r="P45" s="103">
        <f t="shared" si="2"/>
        <v>43251</v>
      </c>
    </row>
    <row r="46" spans="1:16" s="5" customFormat="1" ht="17.100000000000001" customHeight="1">
      <c r="A46" s="104">
        <f t="shared" si="5"/>
        <v>11</v>
      </c>
      <c r="B46" s="567" t="str">
        <f t="shared" si="3"/>
        <v>Tháng 06/2018</v>
      </c>
      <c r="C46" s="567"/>
      <c r="D46" s="568" t="str">
        <f t="shared" si="4"/>
        <v>Lắp đặt dầm bản  lắp ghép BTCT DƯL L=18m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6</v>
      </c>
      <c r="M46" s="101">
        <v>2018</v>
      </c>
      <c r="N46"/>
      <c r="O46" s="103">
        <f t="shared" si="1"/>
        <v>43252</v>
      </c>
      <c r="P46" s="103">
        <f t="shared" si="2"/>
        <v>43281</v>
      </c>
    </row>
    <row r="47" spans="1:16" s="5" customFormat="1" ht="17.100000000000001" customHeight="1">
      <c r="A47" s="104">
        <f t="shared" si="5"/>
        <v>12</v>
      </c>
      <c r="B47" s="567" t="str">
        <f t="shared" si="3"/>
        <v>Tháng 07/2018</v>
      </c>
      <c r="C47" s="567"/>
      <c r="D47" s="568" t="str">
        <f t="shared" si="4"/>
        <v>Lắp đặt dầm bản  lắp ghép BTCT DƯL L=18m</v>
      </c>
      <c r="E47" s="568"/>
      <c r="F47" s="568"/>
      <c r="G47" s="568"/>
      <c r="H47" s="569">
        <f t="shared" si="0"/>
        <v>0</v>
      </c>
      <c r="I47" s="569"/>
      <c r="J47" s="567"/>
      <c r="K47" s="570"/>
      <c r="L47">
        <v>7</v>
      </c>
      <c r="M47" s="101">
        <v>2018</v>
      </c>
      <c r="N47"/>
      <c r="O47" s="103">
        <f t="shared" si="1"/>
        <v>43282</v>
      </c>
      <c r="P47" s="103">
        <f t="shared" si="2"/>
        <v>43312</v>
      </c>
    </row>
    <row r="48" spans="1:16" s="5" customFormat="1" ht="17.100000000000001" customHeight="1">
      <c r="A48" s="104">
        <f t="shared" si="5"/>
        <v>13</v>
      </c>
      <c r="B48" s="567" t="str">
        <f t="shared" si="3"/>
        <v>Tháng 08/2018</v>
      </c>
      <c r="C48" s="567"/>
      <c r="D48" s="568" t="str">
        <f t="shared" si="4"/>
        <v>Lắp đặt dầm bản  lắp ghép BTCT DƯL L=18m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8</v>
      </c>
      <c r="M48" s="101">
        <v>2018</v>
      </c>
      <c r="N48"/>
      <c r="O48" s="103">
        <f t="shared" si="1"/>
        <v>43313</v>
      </c>
      <c r="P48" s="103">
        <f t="shared" si="2"/>
        <v>43343</v>
      </c>
    </row>
    <row r="49" spans="1:16" s="5" customFormat="1" ht="17.100000000000001" customHeight="1">
      <c r="A49" s="104">
        <f t="shared" si="5"/>
        <v>14</v>
      </c>
      <c r="B49" s="567" t="str">
        <f t="shared" si="3"/>
        <v>Tháng 09/2018</v>
      </c>
      <c r="C49" s="567"/>
      <c r="D49" s="568" t="str">
        <f t="shared" si="4"/>
        <v>Lắp đặt dầm bản  lắp ghép BTCT DƯL L=18m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9</v>
      </c>
      <c r="M49" s="101">
        <v>2018</v>
      </c>
      <c r="N49"/>
      <c r="O49" s="103">
        <f t="shared" si="1"/>
        <v>43344</v>
      </c>
      <c r="P49" s="103">
        <f t="shared" si="2"/>
        <v>43373</v>
      </c>
    </row>
    <row r="50" spans="1:16" s="5" customFormat="1" ht="17.100000000000001" customHeight="1">
      <c r="A50" s="104">
        <f t="shared" si="5"/>
        <v>15</v>
      </c>
      <c r="B50" s="567" t="str">
        <f t="shared" si="3"/>
        <v>Tháng 10/2018</v>
      </c>
      <c r="C50" s="567"/>
      <c r="D50" s="568" t="str">
        <f t="shared" si="4"/>
        <v>Lắp đặt dầm bản  lắp ghép BTCT DƯL L=18m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10</v>
      </c>
      <c r="M50" s="101">
        <v>2018</v>
      </c>
      <c r="N50"/>
      <c r="O50" s="103">
        <f t="shared" si="1"/>
        <v>43374</v>
      </c>
      <c r="P50" s="103">
        <f t="shared" si="2"/>
        <v>43404</v>
      </c>
    </row>
    <row r="51" spans="1:16" s="5" customFormat="1" ht="17.100000000000001" customHeight="1">
      <c r="A51" s="104">
        <f t="shared" si="5"/>
        <v>16</v>
      </c>
      <c r="B51" s="567" t="str">
        <f t="shared" si="3"/>
        <v>Tháng 11/2018</v>
      </c>
      <c r="C51" s="567"/>
      <c r="D51" s="568" t="str">
        <f t="shared" si="4"/>
        <v>Lắp đặt dầm bản  lắp ghép BTCT DƯL L=18m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11</v>
      </c>
      <c r="M51" s="101">
        <v>2018</v>
      </c>
      <c r="N51"/>
      <c r="O51" s="103">
        <f t="shared" si="1"/>
        <v>43405</v>
      </c>
      <c r="P51" s="103">
        <f t="shared" si="2"/>
        <v>43434</v>
      </c>
    </row>
    <row r="52" spans="1:16" s="5" customFormat="1" ht="17.100000000000001" customHeight="1">
      <c r="A52" s="104">
        <f t="shared" si="5"/>
        <v>17</v>
      </c>
      <c r="B52" s="567" t="str">
        <f t="shared" si="3"/>
        <v>Tháng 12/2018</v>
      </c>
      <c r="C52" s="567"/>
      <c r="D52" s="568" t="str">
        <f t="shared" si="4"/>
        <v>Lắp đặt dầm bản  lắp ghép BTCT DƯL L=18m</v>
      </c>
      <c r="E52" s="568"/>
      <c r="F52" s="568"/>
      <c r="G52" s="568"/>
      <c r="H52" s="569">
        <f t="shared" si="0"/>
        <v>24</v>
      </c>
      <c r="I52" s="569"/>
      <c r="J52" s="567"/>
      <c r="K52" s="570"/>
      <c r="L52">
        <v>12</v>
      </c>
      <c r="M52" s="101">
        <v>2018</v>
      </c>
      <c r="N52"/>
      <c r="O52" s="103">
        <f t="shared" si="1"/>
        <v>43435</v>
      </c>
      <c r="P52" s="103">
        <f t="shared" si="2"/>
        <v>43465</v>
      </c>
    </row>
    <row r="53" spans="1:16" s="5" customFormat="1" ht="17.100000000000001" customHeight="1">
      <c r="A53" s="104">
        <f t="shared" si="5"/>
        <v>18</v>
      </c>
      <c r="B53" s="567" t="str">
        <f t="shared" si="3"/>
        <v>Tháng 01/2019</v>
      </c>
      <c r="C53" s="567"/>
      <c r="D53" s="568" t="str">
        <f t="shared" si="4"/>
        <v>Lắp đặt dầm bản  lắp ghép BTCT DƯL L=18m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</v>
      </c>
      <c r="M53" s="101">
        <v>2019</v>
      </c>
      <c r="N53"/>
      <c r="O53" s="103">
        <f t="shared" si="1"/>
        <v>43466</v>
      </c>
      <c r="P53" s="103">
        <f t="shared" si="2"/>
        <v>43496</v>
      </c>
    </row>
    <row r="54" spans="1:16" s="5" customFormat="1" ht="17.100000000000001" customHeight="1">
      <c r="A54" s="104">
        <f t="shared" si="5"/>
        <v>19</v>
      </c>
      <c r="B54" s="567" t="str">
        <f t="shared" si="3"/>
        <v>Tháng 02/2019</v>
      </c>
      <c r="C54" s="567"/>
      <c r="D54" s="568" t="str">
        <f t="shared" si="4"/>
        <v>Lắp đặt dầm bản  lắp ghép BTCT DƯL L=18m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2</v>
      </c>
      <c r="M54" s="101">
        <v>2019</v>
      </c>
      <c r="N54"/>
      <c r="O54" s="103">
        <f t="shared" si="1"/>
        <v>43497</v>
      </c>
      <c r="P54" s="103">
        <f t="shared" si="2"/>
        <v>43524</v>
      </c>
    </row>
    <row r="55" spans="1:16" s="5" customFormat="1" ht="17.100000000000001" customHeight="1">
      <c r="A55" s="104">
        <f t="shared" si="5"/>
        <v>20</v>
      </c>
      <c r="B55" s="567" t="str">
        <f t="shared" si="3"/>
        <v>Tháng 03/2019</v>
      </c>
      <c r="C55" s="567"/>
      <c r="D55" s="568" t="str">
        <f t="shared" si="4"/>
        <v>Lắp đặt dầm bản  lắp ghép BTCT DƯL L=18m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3</v>
      </c>
      <c r="M55" s="101">
        <v>2019</v>
      </c>
      <c r="N55"/>
      <c r="O55" s="103">
        <f t="shared" si="1"/>
        <v>43525</v>
      </c>
      <c r="P55" s="103">
        <f t="shared" si="2"/>
        <v>43555</v>
      </c>
    </row>
    <row r="56" spans="1:16" s="5" customFormat="1" ht="17.100000000000001" customHeight="1">
      <c r="A56" s="104">
        <f t="shared" si="5"/>
        <v>21</v>
      </c>
      <c r="B56" s="567" t="str">
        <f t="shared" si="3"/>
        <v>Tháng 04/2019</v>
      </c>
      <c r="C56" s="567"/>
      <c r="D56" s="568" t="str">
        <f t="shared" si="4"/>
        <v>Lắp đặt dầm bản  lắp ghép BTCT DƯL L=18m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4</v>
      </c>
      <c r="M56" s="101">
        <v>2019</v>
      </c>
      <c r="N56"/>
      <c r="O56" s="103">
        <f t="shared" si="1"/>
        <v>43556</v>
      </c>
      <c r="P56" s="103">
        <f t="shared" si="2"/>
        <v>43585</v>
      </c>
    </row>
    <row r="57" spans="1:16" s="5" customFormat="1" ht="17.100000000000001" customHeight="1">
      <c r="A57" s="104">
        <f t="shared" si="5"/>
        <v>22</v>
      </c>
      <c r="B57" s="567" t="str">
        <f t="shared" si="3"/>
        <v>Tháng 05/2019</v>
      </c>
      <c r="C57" s="567"/>
      <c r="D57" s="568" t="str">
        <f t="shared" si="4"/>
        <v>Lắp đặt dầm bản  lắp ghép BTCT DƯL L=18m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5</v>
      </c>
      <c r="M57" s="101">
        <v>2019</v>
      </c>
      <c r="N57"/>
      <c r="O57" s="103">
        <f t="shared" si="1"/>
        <v>43586</v>
      </c>
      <c r="P57" s="103">
        <f t="shared" si="2"/>
        <v>43616</v>
      </c>
    </row>
    <row r="58" spans="1:16" s="5" customFormat="1" ht="17.100000000000001" customHeight="1">
      <c r="A58" s="104">
        <f t="shared" si="5"/>
        <v>23</v>
      </c>
      <c r="B58" s="567" t="str">
        <f t="shared" si="3"/>
        <v>Tháng 06/2019</v>
      </c>
      <c r="C58" s="567"/>
      <c r="D58" s="568" t="str">
        <f t="shared" si="4"/>
        <v>Lắp đặt dầm bản  lắp ghép BTCT DƯL L=18m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6</v>
      </c>
      <c r="M58" s="101">
        <v>2019</v>
      </c>
      <c r="N58"/>
      <c r="O58" s="103">
        <f t="shared" si="1"/>
        <v>43617</v>
      </c>
      <c r="P58" s="103">
        <f t="shared" si="2"/>
        <v>43646</v>
      </c>
    </row>
    <row r="59" spans="1:16" s="5" customFormat="1" ht="17.100000000000001" customHeight="1">
      <c r="A59" s="104">
        <f t="shared" si="5"/>
        <v>24</v>
      </c>
      <c r="B59" s="567" t="str">
        <f t="shared" si="3"/>
        <v>Tháng 07/2019</v>
      </c>
      <c r="C59" s="567"/>
      <c r="D59" s="568" t="str">
        <f t="shared" si="4"/>
        <v>Lắp đặt dầm bản  lắp ghép BTCT DƯL L=18m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7</v>
      </c>
      <c r="M59" s="101">
        <v>2019</v>
      </c>
      <c r="N59"/>
      <c r="O59" s="103">
        <f t="shared" si="1"/>
        <v>43647</v>
      </c>
      <c r="P59" s="103">
        <f t="shared" si="2"/>
        <v>43677</v>
      </c>
    </row>
    <row r="60" spans="1:16" s="5" customFormat="1" ht="17.100000000000001" customHeight="1">
      <c r="A60" s="104">
        <f t="shared" si="5"/>
        <v>25</v>
      </c>
      <c r="B60" s="567" t="str">
        <f t="shared" si="3"/>
        <v>Tháng 08/2019</v>
      </c>
      <c r="C60" s="567"/>
      <c r="D60" s="568" t="str">
        <f t="shared" si="4"/>
        <v>Lắp đặt dầm bản  lắp ghép BTCT DƯL L=18m</v>
      </c>
      <c r="E60" s="568"/>
      <c r="F60" s="568"/>
      <c r="G60" s="568"/>
      <c r="H60" s="569">
        <f t="shared" ref="H60:H61" si="6">+SUMIFS($I$12:$I$35,$B$12:$B$35,"&gt;="&amp;$O60,$B$12:$B$35,"&lt;="&amp;$P60)</f>
        <v>0</v>
      </c>
      <c r="I60" s="569"/>
      <c r="J60" s="567"/>
      <c r="K60" s="570"/>
      <c r="L60">
        <v>8</v>
      </c>
      <c r="M60" s="101">
        <v>2019</v>
      </c>
      <c r="N60"/>
      <c r="O60" s="103">
        <f t="shared" si="1"/>
        <v>43678</v>
      </c>
      <c r="P60" s="103">
        <f t="shared" si="2"/>
        <v>43708</v>
      </c>
    </row>
    <row r="61" spans="1:16" s="5" customFormat="1" ht="17.100000000000001" customHeight="1">
      <c r="A61" s="104">
        <f t="shared" si="5"/>
        <v>26</v>
      </c>
      <c r="B61" s="616" t="str">
        <f t="shared" si="3"/>
        <v>Tháng 09/2019</v>
      </c>
      <c r="C61" s="616"/>
      <c r="D61" s="652" t="str">
        <f>D59</f>
        <v>Lắp đặt dầm bản  lắp ghép BTCT DƯL L=18m</v>
      </c>
      <c r="E61" s="652"/>
      <c r="F61" s="652"/>
      <c r="G61" s="652"/>
      <c r="H61" s="615">
        <f t="shared" si="6"/>
        <v>0</v>
      </c>
      <c r="I61" s="615"/>
      <c r="J61" s="616"/>
      <c r="K61" s="617"/>
      <c r="L61">
        <v>9</v>
      </c>
      <c r="M61" s="101">
        <v>2019</v>
      </c>
      <c r="N61"/>
      <c r="O61" s="103">
        <f>DATE(M61,L61,1)</f>
        <v>43709</v>
      </c>
      <c r="P61" s="103">
        <f>DATE(M61,L61+1,0)</f>
        <v>43738</v>
      </c>
    </row>
    <row r="62" spans="1:16" s="5" customFormat="1" ht="21.6" customHeight="1" thickBot="1">
      <c r="A62" s="618" t="s">
        <v>86</v>
      </c>
      <c r="B62" s="619"/>
      <c r="C62" s="619"/>
      <c r="D62" s="619"/>
      <c r="E62" s="619"/>
      <c r="F62" s="619"/>
      <c r="G62" s="620"/>
      <c r="H62" s="621">
        <f t="shared" ref="H62" si="7">SUM(H36:I61)</f>
        <v>24</v>
      </c>
      <c r="I62" s="622"/>
      <c r="J62" s="621"/>
      <c r="K62" s="622"/>
      <c r="L62"/>
      <c r="M62"/>
      <c r="N62"/>
      <c r="O62"/>
      <c r="P62"/>
    </row>
    <row r="63" spans="1:16" s="5" customFormat="1" ht="18" customHeight="1" thickTop="1" thickBot="1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4"/>
      <c r="M63" s="4"/>
      <c r="N63" s="4"/>
      <c r="O63" s="4"/>
      <c r="P63" s="20"/>
    </row>
    <row r="64" spans="1:16" s="5" customFormat="1" ht="13.9" customHeight="1" thickTop="1">
      <c r="A64" s="647" t="s">
        <v>68</v>
      </c>
      <c r="B64" s="648"/>
      <c r="C64" s="648"/>
      <c r="D64" s="648"/>
      <c r="E64" s="648"/>
      <c r="F64" s="649" t="s">
        <v>69</v>
      </c>
      <c r="G64" s="649"/>
      <c r="H64" s="649"/>
      <c r="I64" s="650"/>
      <c r="J64" s="650"/>
      <c r="K64" s="651"/>
      <c r="L64" s="4"/>
      <c r="M64" s="4"/>
      <c r="N64" s="4"/>
      <c r="O64" s="4"/>
      <c r="P64" s="4"/>
    </row>
    <row r="65" spans="1:20" s="5" customFormat="1" ht="13.9" customHeight="1">
      <c r="A65" s="583" t="s">
        <v>5</v>
      </c>
      <c r="B65" s="584"/>
      <c r="C65" s="584"/>
      <c r="D65" s="584"/>
      <c r="E65" s="584"/>
      <c r="F65" s="585" t="s">
        <v>6</v>
      </c>
      <c r="G65" s="585"/>
      <c r="H65" s="585"/>
      <c r="I65" s="586"/>
      <c r="J65" s="586"/>
      <c r="K65" s="587"/>
      <c r="L65" s="4"/>
      <c r="M65" s="4"/>
      <c r="N65" s="4"/>
      <c r="O65" s="4"/>
      <c r="P65" s="4"/>
    </row>
    <row r="66" spans="1:20" s="5" customFormat="1" ht="13.9" customHeight="1">
      <c r="A66" s="583" t="s">
        <v>836</v>
      </c>
      <c r="B66" s="584"/>
      <c r="C66" s="584"/>
      <c r="D66" s="584"/>
      <c r="E66" s="584"/>
      <c r="F66" s="590" t="s">
        <v>837</v>
      </c>
      <c r="G66" s="590"/>
      <c r="H66" s="590"/>
      <c r="I66" s="591"/>
      <c r="J66" s="591"/>
      <c r="K66" s="592"/>
      <c r="L66" s="4"/>
      <c r="M66" s="4"/>
      <c r="N66" s="4"/>
      <c r="O66" s="4"/>
      <c r="P66" s="4"/>
    </row>
    <row r="67" spans="1:20" s="5" customFormat="1" ht="13.9" customHeight="1">
      <c r="A67" s="583"/>
      <c r="B67" s="584"/>
      <c r="C67" s="584"/>
      <c r="D67" s="584"/>
      <c r="E67" s="584"/>
      <c r="F67" s="590"/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 thickBot="1">
      <c r="A72" s="588"/>
      <c r="B72" s="589"/>
      <c r="C72" s="589"/>
      <c r="D72" s="589"/>
      <c r="E72" s="589"/>
      <c r="F72" s="593"/>
      <c r="G72" s="593"/>
      <c r="H72" s="593"/>
      <c r="I72" s="594"/>
      <c r="J72" s="594"/>
      <c r="K72" s="595"/>
      <c r="L72" s="4"/>
      <c r="M72" s="4"/>
      <c r="N72" s="4"/>
      <c r="O72" s="4"/>
      <c r="P72" s="4"/>
    </row>
    <row r="73" spans="1:20" s="5" customFormat="1" ht="15.75" thickTop="1">
      <c r="A73" s="4"/>
      <c r="B73" s="12"/>
      <c r="C73" s="10"/>
      <c r="D73" s="10"/>
      <c r="E73" s="10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R73" s="4"/>
      <c r="S73" s="4"/>
      <c r="T73" s="4"/>
    </row>
  </sheetData>
  <mergeCells count="145"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6:E16"/>
    <mergeCell ref="F16:K16"/>
    <mergeCell ref="A17:E23"/>
    <mergeCell ref="F17:K23"/>
    <mergeCell ref="A25:K25"/>
    <mergeCell ref="A26:K26"/>
    <mergeCell ref="A13:E13"/>
    <mergeCell ref="A15:E15"/>
    <mergeCell ref="F15:K15"/>
    <mergeCell ref="A27:K27"/>
    <mergeCell ref="A28:K28"/>
    <mergeCell ref="A29:K29"/>
    <mergeCell ref="A32:D32"/>
    <mergeCell ref="A34:A35"/>
    <mergeCell ref="B34:C35"/>
    <mergeCell ref="D34:G35"/>
    <mergeCell ref="H34:I35"/>
    <mergeCell ref="J34:K35"/>
    <mergeCell ref="B38:C38"/>
    <mergeCell ref="D38:G38"/>
    <mergeCell ref="H38:I38"/>
    <mergeCell ref="J38:K38"/>
    <mergeCell ref="B39:C39"/>
    <mergeCell ref="D39:G39"/>
    <mergeCell ref="H39:I39"/>
    <mergeCell ref="J39:K39"/>
    <mergeCell ref="B36:C36"/>
    <mergeCell ref="D36:G36"/>
    <mergeCell ref="H36:I36"/>
    <mergeCell ref="J36:K36"/>
    <mergeCell ref="B37:C37"/>
    <mergeCell ref="D37:G37"/>
    <mergeCell ref="H37:I37"/>
    <mergeCell ref="J37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A64:E64"/>
    <mergeCell ref="F64:K64"/>
    <mergeCell ref="A65:E65"/>
    <mergeCell ref="F65:K65"/>
    <mergeCell ref="A66:E72"/>
    <mergeCell ref="F66:K72"/>
    <mergeCell ref="B60:C60"/>
    <mergeCell ref="D60:G60"/>
    <mergeCell ref="H60:I60"/>
    <mergeCell ref="J60:K60"/>
    <mergeCell ref="A62:G62"/>
    <mergeCell ref="H62:I62"/>
    <mergeCell ref="J62:K62"/>
    <mergeCell ref="B61:C61"/>
    <mergeCell ref="D61:G61"/>
    <mergeCell ref="H61:I61"/>
    <mergeCell ref="J61:K6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4" max="10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T73"/>
  <sheetViews>
    <sheetView view="pageBreakPreview" topLeftCell="A61" zoomScaleSheetLayoutView="100" workbookViewId="0">
      <selection activeCell="A66" sqref="A66:K7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6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C.I.1.3. Gối cầu 150x200x20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 t="s">
        <v>334</v>
      </c>
      <c r="N6" s="245" t="str">
        <f>THKLQT!C27</f>
        <v>Gối cầu 150x200x20</v>
      </c>
      <c r="Q6" s="17"/>
    </row>
    <row r="7" spans="1:20" s="14" customFormat="1" ht="18.75" customHeight="1">
      <c r="A7" s="634">
        <f>I13</f>
        <v>96</v>
      </c>
      <c r="B7" s="635"/>
      <c r="C7" s="635"/>
      <c r="D7" s="635"/>
      <c r="E7" s="106" t="str">
        <f>"("&amp;L7&amp;")"</f>
        <v>(bộ)</v>
      </c>
      <c r="F7" s="113"/>
      <c r="G7" s="113"/>
      <c r="H7" s="113"/>
      <c r="I7" s="113"/>
      <c r="J7" s="113"/>
      <c r="K7" s="114"/>
      <c r="L7" s="26" t="str">
        <f>THKLQT!D27</f>
        <v>bộ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37.5" customHeight="1" outlineLevel="2">
      <c r="A12" s="81">
        <f>SUBTOTAL(103,$B$12:B12)</f>
        <v>1</v>
      </c>
      <c r="B12" s="78">
        <f>Q12</f>
        <v>43436</v>
      </c>
      <c r="C12" s="571" t="str">
        <f>T12</f>
        <v>Gối cầu 150x200x20</v>
      </c>
      <c r="D12" s="572"/>
      <c r="E12" s="573"/>
      <c r="F12" s="282">
        <f>'[1]Goi cau'!$D$4</f>
        <v>96</v>
      </c>
      <c r="G12" s="33">
        <f>P12</f>
        <v>96</v>
      </c>
      <c r="H12" s="295">
        <f>P12</f>
        <v>96</v>
      </c>
      <c r="I12" s="107">
        <f>P12</f>
        <v>96</v>
      </c>
      <c r="J12" s="107">
        <f>P12</f>
        <v>96</v>
      </c>
      <c r="K12" s="296" t="s">
        <v>675</v>
      </c>
      <c r="N12" s="118"/>
      <c r="O12" s="118"/>
      <c r="P12" s="88">
        <v>96</v>
      </c>
      <c r="Q12" s="89">
        <v>43436</v>
      </c>
      <c r="R12" s="83"/>
      <c r="S12" s="88" t="e">
        <f>VLOOKUP($S$11,hamchuigoi3,M12,0)</f>
        <v>#VALUE!</v>
      </c>
      <c r="T12" s="83" t="str">
        <f>N6</f>
        <v>Gối cầu 150x200x20</v>
      </c>
    </row>
    <row r="13" spans="1:20" thickBot="1">
      <c r="A13" s="574" t="s">
        <v>4</v>
      </c>
      <c r="B13" s="575"/>
      <c r="C13" s="575"/>
      <c r="D13" s="575"/>
      <c r="E13" s="575"/>
      <c r="F13" s="79">
        <f>ROUND(SUM(F12:F12),2)</f>
        <v>96</v>
      </c>
      <c r="G13" s="79">
        <f>ROUND(SUM(G12:G12),2)</f>
        <v>96</v>
      </c>
      <c r="H13" s="79">
        <f>ROUND(SUM(H12:H12),2)</f>
        <v>96</v>
      </c>
      <c r="I13" s="79">
        <f>ROUND(SUM(I12:I12),2)</f>
        <v>96</v>
      </c>
      <c r="J13" s="79">
        <f>ROUND(SUM(J12:J12),2)</f>
        <v>96</v>
      </c>
      <c r="K13" s="80"/>
      <c r="N13" s="118"/>
      <c r="O13" s="118"/>
      <c r="P13" s="90">
        <f>SUM(P12:P12)</f>
        <v>96</v>
      </c>
    </row>
    <row r="14" spans="1:20" s="122" customFormat="1" ht="18" customHeight="1" thickTop="1" thickBot="1">
      <c r="A14" s="223"/>
      <c r="B14" s="223"/>
      <c r="C14" s="223"/>
      <c r="D14" s="223"/>
      <c r="E14" s="223"/>
      <c r="F14" s="116"/>
      <c r="G14" s="116"/>
      <c r="H14" s="116"/>
      <c r="I14" s="116"/>
      <c r="J14" s="116"/>
      <c r="K14" s="117"/>
      <c r="L14" s="4"/>
      <c r="M14" s="4"/>
      <c r="N14" s="118"/>
      <c r="O14" s="118"/>
      <c r="P14" s="119"/>
      <c r="Q14" s="120"/>
      <c r="R14" s="120"/>
      <c r="S14" s="120"/>
      <c r="T14" s="121"/>
    </row>
    <row r="15" spans="1:20" s="5" customFormat="1" ht="13.9" customHeight="1" thickTop="1">
      <c r="A15" s="578" t="s">
        <v>68</v>
      </c>
      <c r="B15" s="579"/>
      <c r="C15" s="579"/>
      <c r="D15" s="579"/>
      <c r="E15" s="579"/>
      <c r="F15" s="580" t="s">
        <v>69</v>
      </c>
      <c r="G15" s="580"/>
      <c r="H15" s="580"/>
      <c r="I15" s="581"/>
      <c r="J15" s="581"/>
      <c r="K15" s="582"/>
      <c r="L15" s="4"/>
      <c r="M15" s="4"/>
      <c r="N15" s="4"/>
      <c r="O15" s="4"/>
      <c r="P15" s="4"/>
    </row>
    <row r="16" spans="1:20" s="5" customFormat="1" ht="13.9" customHeight="1">
      <c r="A16" s="583" t="s">
        <v>5</v>
      </c>
      <c r="B16" s="584"/>
      <c r="C16" s="584"/>
      <c r="D16" s="584"/>
      <c r="E16" s="584"/>
      <c r="F16" s="585" t="s">
        <v>6</v>
      </c>
      <c r="G16" s="585"/>
      <c r="H16" s="585"/>
      <c r="I16" s="586"/>
      <c r="J16" s="586"/>
      <c r="K16" s="587"/>
      <c r="L16" s="4"/>
      <c r="M16" s="4"/>
      <c r="N16" s="4"/>
      <c r="O16" s="4"/>
      <c r="P16" s="4"/>
    </row>
    <row r="17" spans="1:20" s="5" customFormat="1" ht="13.9" customHeight="1">
      <c r="A17" s="583" t="s">
        <v>836</v>
      </c>
      <c r="B17" s="584"/>
      <c r="C17" s="584"/>
      <c r="D17" s="584"/>
      <c r="E17" s="584"/>
      <c r="F17" s="590" t="s">
        <v>837</v>
      </c>
      <c r="G17" s="590"/>
      <c r="H17" s="590"/>
      <c r="I17" s="591"/>
      <c r="J17" s="591"/>
      <c r="K17" s="592"/>
      <c r="L17" s="4"/>
      <c r="M17" s="4"/>
      <c r="N17" s="4"/>
      <c r="O17" s="4"/>
      <c r="P17" s="4"/>
    </row>
    <row r="18" spans="1:20" s="5" customFormat="1" ht="13.9" customHeight="1">
      <c r="A18" s="583"/>
      <c r="B18" s="584"/>
      <c r="C18" s="584"/>
      <c r="D18" s="584"/>
      <c r="E18" s="584"/>
      <c r="F18" s="590"/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 thickBot="1">
      <c r="A23" s="588"/>
      <c r="B23" s="589"/>
      <c r="C23" s="589"/>
      <c r="D23" s="589"/>
      <c r="E23" s="589"/>
      <c r="F23" s="593"/>
      <c r="G23" s="593"/>
      <c r="H23" s="593"/>
      <c r="I23" s="594"/>
      <c r="J23" s="594"/>
      <c r="K23" s="595"/>
      <c r="L23" s="4"/>
      <c r="M23" s="4"/>
      <c r="N23" s="4"/>
      <c r="O23" s="4"/>
      <c r="P23" s="4"/>
    </row>
    <row r="24" spans="1:20" s="122" customFormat="1" ht="18" customHeight="1" thickTop="1">
      <c r="A24" s="223"/>
      <c r="B24" s="223"/>
      <c r="C24" s="223"/>
      <c r="D24" s="223"/>
      <c r="E24" s="223"/>
      <c r="F24" s="116"/>
      <c r="G24" s="116"/>
      <c r="H24" s="116"/>
      <c r="I24" s="116"/>
      <c r="J24" s="116"/>
      <c r="K24" s="117"/>
      <c r="L24" s="118"/>
      <c r="M24" s="118"/>
      <c r="N24" s="118"/>
      <c r="O24" s="118"/>
      <c r="P24" s="119"/>
      <c r="Q24" s="120"/>
      <c r="R24" s="120"/>
      <c r="S24" s="120"/>
      <c r="T24" s="121"/>
    </row>
    <row r="25" spans="1:20" s="111" customFormat="1" ht="48" customHeight="1">
      <c r="A25" s="596" t="s">
        <v>87</v>
      </c>
      <c r="B25" s="596"/>
      <c r="C25" s="596"/>
      <c r="D25" s="596"/>
      <c r="E25" s="596"/>
      <c r="F25" s="596"/>
      <c r="G25" s="596"/>
      <c r="H25" s="596"/>
      <c r="I25" s="596"/>
      <c r="J25" s="596"/>
      <c r="K25" s="596"/>
      <c r="L25" s="108"/>
      <c r="M25" s="109"/>
      <c r="N25" s="110"/>
    </row>
    <row r="26" spans="1:20" s="112" customFormat="1" ht="18" customHeight="1">
      <c r="A26" s="597" t="s">
        <v>599</v>
      </c>
      <c r="B26" s="597"/>
      <c r="C26" s="597"/>
      <c r="D26" s="597"/>
      <c r="E26" s="597"/>
      <c r="F26" s="597"/>
      <c r="G26" s="597"/>
      <c r="H26" s="597"/>
      <c r="I26" s="597"/>
      <c r="J26" s="597"/>
      <c r="K26" s="597"/>
    </row>
    <row r="27" spans="1:20" s="122" customFormat="1" ht="20.100000000000001" customHeight="1">
      <c r="A27" s="598" t="s">
        <v>90</v>
      </c>
      <c r="B27" s="598"/>
      <c r="C27" s="598"/>
      <c r="D27" s="598"/>
      <c r="E27" s="598"/>
      <c r="F27" s="598"/>
      <c r="G27" s="598"/>
      <c r="H27" s="598"/>
      <c r="I27" s="598"/>
      <c r="J27" s="598"/>
      <c r="K27" s="598"/>
      <c r="L27" s="123"/>
      <c r="M27" s="124"/>
      <c r="N27" s="123"/>
      <c r="O27" s="123"/>
      <c r="P27" s="123"/>
      <c r="Q27" s="123"/>
      <c r="R27" s="123"/>
      <c r="S27" s="123"/>
      <c r="T27" s="123"/>
    </row>
    <row r="28" spans="1:20" s="122" customFormat="1" ht="15.95" customHeight="1">
      <c r="A28" s="599" t="s">
        <v>91</v>
      </c>
      <c r="B28" s="599"/>
      <c r="C28" s="599"/>
      <c r="D28" s="599"/>
      <c r="E28" s="599"/>
      <c r="F28" s="599"/>
      <c r="G28" s="599"/>
      <c r="H28" s="599"/>
      <c r="I28" s="599"/>
      <c r="J28" s="599"/>
      <c r="K28" s="599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22" customFormat="1" ht="15.95" customHeight="1">
      <c r="A29" s="600" t="str">
        <f>A4</f>
        <v>PHẦN C.: CẦU VƯỢT</v>
      </c>
      <c r="B29" s="601"/>
      <c r="C29" s="601"/>
      <c r="D29" s="601"/>
      <c r="E29" s="601"/>
      <c r="F29" s="601"/>
      <c r="G29" s="601"/>
      <c r="H29" s="601"/>
      <c r="I29" s="601"/>
      <c r="J29" s="601"/>
      <c r="K29" s="602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22" customFormat="1" ht="15.95" customHeight="1">
      <c r="A30" s="224" t="str">
        <f>A5</f>
        <v>Hạng mục C.I. Kết cấu nhịp dầm</v>
      </c>
      <c r="B30" s="225"/>
      <c r="C30" s="127"/>
      <c r="D30" s="127"/>
      <c r="E30" s="128"/>
      <c r="F30" s="129"/>
      <c r="G30" s="129"/>
      <c r="H30" s="129"/>
      <c r="I30" s="129"/>
      <c r="J30" s="129"/>
      <c r="K30" s="130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22" customFormat="1" ht="15.95" customHeight="1">
      <c r="A31" s="224" t="str">
        <f>A6</f>
        <v>Mục C.I.1.3. Gối cầu 150x200x20</v>
      </c>
      <c r="B31" s="22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22" customFormat="1" ht="15.95" customHeight="1">
      <c r="A32" s="639">
        <f>A7</f>
        <v>96</v>
      </c>
      <c r="B32" s="640"/>
      <c r="C32" s="640"/>
      <c r="D32" s="640"/>
      <c r="E32" s="131" t="str">
        <f>E7</f>
        <v>(bộ)</v>
      </c>
      <c r="F32" s="132"/>
      <c r="G32" s="132"/>
      <c r="H32" s="132"/>
      <c r="I32" s="132"/>
      <c r="J32" s="132"/>
      <c r="K32" s="133"/>
      <c r="L32" s="134"/>
      <c r="M32" s="135"/>
      <c r="N32" s="136"/>
      <c r="P32" s="136"/>
    </row>
    <row r="33" spans="1:16" ht="13.5" customHeight="1" thickBot="1">
      <c r="A33" s="28"/>
      <c r="B33" s="28"/>
      <c r="C33" s="28"/>
      <c r="D33" s="28"/>
      <c r="E33" s="28"/>
      <c r="F33" s="30"/>
      <c r="G33" s="30"/>
      <c r="H33" s="30"/>
      <c r="I33" s="30"/>
      <c r="J33" s="30"/>
      <c r="K33" s="8"/>
      <c r="L33" s="23"/>
      <c r="M33" s="9"/>
    </row>
    <row r="34" spans="1:16" s="5" customFormat="1" ht="21.6" customHeight="1" thickTop="1">
      <c r="A34" s="576" t="s">
        <v>3</v>
      </c>
      <c r="B34" s="641" t="s">
        <v>84</v>
      </c>
      <c r="C34" s="641"/>
      <c r="D34" s="643" t="s">
        <v>96</v>
      </c>
      <c r="E34" s="643"/>
      <c r="F34" s="643"/>
      <c r="G34" s="643"/>
      <c r="H34" s="641" t="s">
        <v>89</v>
      </c>
      <c r="I34" s="641"/>
      <c r="J34" s="641" t="s">
        <v>85</v>
      </c>
      <c r="K34" s="645"/>
      <c r="L34"/>
      <c r="M34" s="94"/>
      <c r="N34" s="94"/>
      <c r="O34" s="95"/>
      <c r="P34" s="96"/>
    </row>
    <row r="35" spans="1:16" s="5" customFormat="1" ht="21.6" customHeight="1">
      <c r="A35" s="577"/>
      <c r="B35" s="642"/>
      <c r="C35" s="642"/>
      <c r="D35" s="644"/>
      <c r="E35" s="644"/>
      <c r="F35" s="644"/>
      <c r="G35" s="644"/>
      <c r="H35" s="642"/>
      <c r="I35" s="642"/>
      <c r="J35" s="642"/>
      <c r="K35" s="646"/>
      <c r="L35"/>
      <c r="M35" s="97"/>
      <c r="N35" s="97"/>
      <c r="O35" s="98"/>
      <c r="P35" s="99"/>
    </row>
    <row r="36" spans="1:16" s="5" customFormat="1" ht="17.100000000000001" customHeight="1">
      <c r="A36" s="100">
        <v>1</v>
      </c>
      <c r="B36" s="623" t="str">
        <f>"Tháng "&amp;IF(L36&lt;10,0&amp;L36&amp;"/"&amp;M36,L36&amp;"/"&amp;M36)</f>
        <v>Tháng 08/2017</v>
      </c>
      <c r="C36" s="623"/>
      <c r="D36" s="624" t="str">
        <f>N6</f>
        <v>Gối cầu 150x200x20</v>
      </c>
      <c r="E36" s="624"/>
      <c r="F36" s="624"/>
      <c r="G36" s="624"/>
      <c r="H36" s="625">
        <f t="shared" ref="H36:H59" si="0">+SUMIFS($I$12:$I$12,$B$12:$B$12,"&gt;="&amp;$O36,$B$12:$B$12,"&lt;="&amp;$P36)</f>
        <v>0</v>
      </c>
      <c r="I36" s="625"/>
      <c r="J36" s="623"/>
      <c r="K36" s="626"/>
      <c r="L36">
        <v>8</v>
      </c>
      <c r="M36" s="101">
        <v>2017</v>
      </c>
      <c r="N36" s="97"/>
      <c r="O36" s="103">
        <f t="shared" ref="O36:O60" si="1">DATE(M36,L36,1)</f>
        <v>42948</v>
      </c>
      <c r="P36" s="103">
        <f t="shared" ref="P36:P60" si="2">DATE(M36,L36+1,0)</f>
        <v>42978</v>
      </c>
    </row>
    <row r="37" spans="1:16" s="5" customFormat="1" ht="17.100000000000001" customHeight="1">
      <c r="A37" s="104">
        <v>2</v>
      </c>
      <c r="B37" s="567" t="str">
        <f t="shared" ref="B37:B61" si="3">"Tháng "&amp;IF(L37&lt;10,0&amp;L37&amp;"/"&amp;M37,L37&amp;"/"&amp;M37)</f>
        <v>Tháng 09/2017</v>
      </c>
      <c r="C37" s="567"/>
      <c r="D37" s="568" t="str">
        <f>D36</f>
        <v>Gối cầu 150x200x20</v>
      </c>
      <c r="E37" s="568"/>
      <c r="F37" s="568"/>
      <c r="G37" s="568"/>
      <c r="H37" s="569">
        <f t="shared" si="0"/>
        <v>0</v>
      </c>
      <c r="I37" s="569"/>
      <c r="J37" s="567"/>
      <c r="K37" s="570"/>
      <c r="L37">
        <v>9</v>
      </c>
      <c r="M37" s="101">
        <v>2017</v>
      </c>
      <c r="N37"/>
      <c r="O37" s="103">
        <f t="shared" si="1"/>
        <v>42979</v>
      </c>
      <c r="P37" s="103">
        <f t="shared" si="2"/>
        <v>43008</v>
      </c>
    </row>
    <row r="38" spans="1:16" s="5" customFormat="1" ht="17.100000000000001" customHeight="1">
      <c r="A38" s="104">
        <f>A37+1</f>
        <v>3</v>
      </c>
      <c r="B38" s="567" t="str">
        <f t="shared" si="3"/>
        <v>Tháng 10/2017</v>
      </c>
      <c r="C38" s="567"/>
      <c r="D38" s="568" t="str">
        <f t="shared" ref="D38:D60" si="4">D37</f>
        <v>Gối cầu 150x200x20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10</v>
      </c>
      <c r="M38" s="101">
        <v>2017</v>
      </c>
      <c r="N38"/>
      <c r="O38" s="103">
        <f t="shared" si="1"/>
        <v>43009</v>
      </c>
      <c r="P38" s="103">
        <f t="shared" si="2"/>
        <v>43039</v>
      </c>
    </row>
    <row r="39" spans="1:16" s="5" customFormat="1" ht="17.100000000000001" customHeight="1">
      <c r="A39" s="104">
        <f t="shared" ref="A39:A61" si="5">A38+1</f>
        <v>4</v>
      </c>
      <c r="B39" s="567" t="str">
        <f t="shared" si="3"/>
        <v>Tháng 11/2017</v>
      </c>
      <c r="C39" s="567"/>
      <c r="D39" s="568" t="str">
        <f t="shared" si="4"/>
        <v>Gối cầu 150x200x20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11</v>
      </c>
      <c r="M39" s="101">
        <v>2017</v>
      </c>
      <c r="N39"/>
      <c r="O39" s="103">
        <f t="shared" si="1"/>
        <v>43040</v>
      </c>
      <c r="P39" s="103">
        <f t="shared" si="2"/>
        <v>43069</v>
      </c>
    </row>
    <row r="40" spans="1:16" s="5" customFormat="1" ht="17.100000000000001" customHeight="1">
      <c r="A40" s="104">
        <f t="shared" si="5"/>
        <v>5</v>
      </c>
      <c r="B40" s="567" t="str">
        <f t="shared" si="3"/>
        <v>Tháng 12/2017</v>
      </c>
      <c r="C40" s="567"/>
      <c r="D40" s="568" t="str">
        <f t="shared" si="4"/>
        <v>Gối cầu 150x200x20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12</v>
      </c>
      <c r="M40" s="101">
        <v>2017</v>
      </c>
      <c r="N40"/>
      <c r="O40" s="103">
        <f t="shared" si="1"/>
        <v>43070</v>
      </c>
      <c r="P40" s="103">
        <f t="shared" si="2"/>
        <v>43100</v>
      </c>
    </row>
    <row r="41" spans="1:16" s="5" customFormat="1" ht="17.100000000000001" customHeight="1">
      <c r="A41" s="104">
        <f t="shared" si="5"/>
        <v>6</v>
      </c>
      <c r="B41" s="567" t="str">
        <f t="shared" si="3"/>
        <v>Tháng 01/2018</v>
      </c>
      <c r="C41" s="567"/>
      <c r="D41" s="568" t="str">
        <f t="shared" si="4"/>
        <v>Gối cầu 150x200x20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</v>
      </c>
      <c r="M41" s="101">
        <v>2018</v>
      </c>
      <c r="N41"/>
      <c r="O41" s="103">
        <f t="shared" si="1"/>
        <v>43101</v>
      </c>
      <c r="P41" s="103">
        <f t="shared" si="2"/>
        <v>43131</v>
      </c>
    </row>
    <row r="42" spans="1:16" s="5" customFormat="1" ht="17.100000000000001" customHeight="1">
      <c r="A42" s="104">
        <f t="shared" si="5"/>
        <v>7</v>
      </c>
      <c r="B42" s="567" t="str">
        <f t="shared" si="3"/>
        <v>Tháng 02/2018</v>
      </c>
      <c r="C42" s="567"/>
      <c r="D42" s="568" t="str">
        <f t="shared" si="4"/>
        <v>Gối cầu 150x200x20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2</v>
      </c>
      <c r="M42" s="101">
        <v>2018</v>
      </c>
      <c r="N42"/>
      <c r="O42" s="103">
        <f t="shared" si="1"/>
        <v>43132</v>
      </c>
      <c r="P42" s="103">
        <f t="shared" si="2"/>
        <v>43159</v>
      </c>
    </row>
    <row r="43" spans="1:16" s="5" customFormat="1" ht="17.100000000000001" customHeight="1">
      <c r="A43" s="104">
        <f t="shared" si="5"/>
        <v>8</v>
      </c>
      <c r="B43" s="567" t="str">
        <f t="shared" si="3"/>
        <v>Tháng 03/2018</v>
      </c>
      <c r="C43" s="567"/>
      <c r="D43" s="568" t="str">
        <f t="shared" si="4"/>
        <v>Gối cầu 150x200x20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3</v>
      </c>
      <c r="M43" s="101">
        <v>2018</v>
      </c>
      <c r="N43"/>
      <c r="O43" s="103">
        <f t="shared" si="1"/>
        <v>43160</v>
      </c>
      <c r="P43" s="103">
        <f t="shared" si="2"/>
        <v>43190</v>
      </c>
    </row>
    <row r="44" spans="1:16" s="5" customFormat="1" ht="17.100000000000001" customHeight="1">
      <c r="A44" s="104">
        <f t="shared" si="5"/>
        <v>9</v>
      </c>
      <c r="B44" s="567" t="str">
        <f t="shared" si="3"/>
        <v>Tháng 04/2018</v>
      </c>
      <c r="C44" s="567"/>
      <c r="D44" s="568" t="str">
        <f t="shared" si="4"/>
        <v>Gối cầu 150x200x20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4</v>
      </c>
      <c r="M44" s="101">
        <v>2018</v>
      </c>
      <c r="N44"/>
      <c r="O44" s="103">
        <f t="shared" si="1"/>
        <v>43191</v>
      </c>
      <c r="P44" s="103">
        <f t="shared" si="2"/>
        <v>43220</v>
      </c>
    </row>
    <row r="45" spans="1:16" s="5" customFormat="1" ht="17.100000000000001" customHeight="1">
      <c r="A45" s="104">
        <f t="shared" si="5"/>
        <v>10</v>
      </c>
      <c r="B45" s="567" t="str">
        <f t="shared" si="3"/>
        <v>Tháng 05/2018</v>
      </c>
      <c r="C45" s="567"/>
      <c r="D45" s="568" t="str">
        <f t="shared" si="4"/>
        <v>Gối cầu 150x200x20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5</v>
      </c>
      <c r="M45" s="101">
        <v>2018</v>
      </c>
      <c r="N45"/>
      <c r="O45" s="103">
        <f t="shared" si="1"/>
        <v>43221</v>
      </c>
      <c r="P45" s="103">
        <f t="shared" si="2"/>
        <v>43251</v>
      </c>
    </row>
    <row r="46" spans="1:16" s="5" customFormat="1" ht="17.100000000000001" customHeight="1">
      <c r="A46" s="104">
        <f t="shared" si="5"/>
        <v>11</v>
      </c>
      <c r="B46" s="567" t="str">
        <f t="shared" si="3"/>
        <v>Tháng 06/2018</v>
      </c>
      <c r="C46" s="567"/>
      <c r="D46" s="568" t="str">
        <f t="shared" si="4"/>
        <v>Gối cầu 150x200x20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6</v>
      </c>
      <c r="M46" s="101">
        <v>2018</v>
      </c>
      <c r="N46"/>
      <c r="O46" s="103">
        <f t="shared" si="1"/>
        <v>43252</v>
      </c>
      <c r="P46" s="103">
        <f t="shared" si="2"/>
        <v>43281</v>
      </c>
    </row>
    <row r="47" spans="1:16" s="5" customFormat="1" ht="17.100000000000001" customHeight="1">
      <c r="A47" s="104">
        <f t="shared" si="5"/>
        <v>12</v>
      </c>
      <c r="B47" s="567" t="str">
        <f t="shared" si="3"/>
        <v>Tháng 07/2018</v>
      </c>
      <c r="C47" s="567"/>
      <c r="D47" s="568" t="str">
        <f t="shared" si="4"/>
        <v>Gối cầu 150x200x20</v>
      </c>
      <c r="E47" s="568"/>
      <c r="F47" s="568"/>
      <c r="G47" s="568"/>
      <c r="H47" s="569">
        <f t="shared" si="0"/>
        <v>0</v>
      </c>
      <c r="I47" s="569"/>
      <c r="J47" s="567"/>
      <c r="K47" s="570"/>
      <c r="L47">
        <v>7</v>
      </c>
      <c r="M47" s="101">
        <v>2018</v>
      </c>
      <c r="N47"/>
      <c r="O47" s="103">
        <f t="shared" si="1"/>
        <v>43282</v>
      </c>
      <c r="P47" s="103">
        <f t="shared" si="2"/>
        <v>43312</v>
      </c>
    </row>
    <row r="48" spans="1:16" s="5" customFormat="1" ht="17.100000000000001" customHeight="1">
      <c r="A48" s="104">
        <f t="shared" si="5"/>
        <v>13</v>
      </c>
      <c r="B48" s="567" t="str">
        <f t="shared" si="3"/>
        <v>Tháng 08/2018</v>
      </c>
      <c r="C48" s="567"/>
      <c r="D48" s="568" t="str">
        <f t="shared" si="4"/>
        <v>Gối cầu 150x200x20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8</v>
      </c>
      <c r="M48" s="101">
        <v>2018</v>
      </c>
      <c r="N48"/>
      <c r="O48" s="103">
        <f t="shared" si="1"/>
        <v>43313</v>
      </c>
      <c r="P48" s="103">
        <f t="shared" si="2"/>
        <v>43343</v>
      </c>
    </row>
    <row r="49" spans="1:16" s="5" customFormat="1" ht="17.100000000000001" customHeight="1">
      <c r="A49" s="104">
        <f t="shared" si="5"/>
        <v>14</v>
      </c>
      <c r="B49" s="567" t="str">
        <f t="shared" si="3"/>
        <v>Tháng 09/2018</v>
      </c>
      <c r="C49" s="567"/>
      <c r="D49" s="568" t="str">
        <f t="shared" si="4"/>
        <v>Gối cầu 150x200x20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9</v>
      </c>
      <c r="M49" s="101">
        <v>2018</v>
      </c>
      <c r="N49"/>
      <c r="O49" s="103">
        <f t="shared" si="1"/>
        <v>43344</v>
      </c>
      <c r="P49" s="103">
        <f t="shared" si="2"/>
        <v>43373</v>
      </c>
    </row>
    <row r="50" spans="1:16" s="5" customFormat="1" ht="17.100000000000001" customHeight="1">
      <c r="A50" s="104">
        <f t="shared" si="5"/>
        <v>15</v>
      </c>
      <c r="B50" s="567" t="str">
        <f t="shared" si="3"/>
        <v>Tháng 10/2018</v>
      </c>
      <c r="C50" s="567"/>
      <c r="D50" s="568" t="str">
        <f t="shared" si="4"/>
        <v>Gối cầu 150x200x20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10</v>
      </c>
      <c r="M50" s="101">
        <v>2018</v>
      </c>
      <c r="N50"/>
      <c r="O50" s="103">
        <f t="shared" si="1"/>
        <v>43374</v>
      </c>
      <c r="P50" s="103">
        <f t="shared" si="2"/>
        <v>43404</v>
      </c>
    </row>
    <row r="51" spans="1:16" s="5" customFormat="1" ht="17.100000000000001" customHeight="1">
      <c r="A51" s="104">
        <f t="shared" si="5"/>
        <v>16</v>
      </c>
      <c r="B51" s="567" t="str">
        <f t="shared" si="3"/>
        <v>Tháng 11/2018</v>
      </c>
      <c r="C51" s="567"/>
      <c r="D51" s="568" t="str">
        <f t="shared" si="4"/>
        <v>Gối cầu 150x200x20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11</v>
      </c>
      <c r="M51" s="101">
        <v>2018</v>
      </c>
      <c r="N51"/>
      <c r="O51" s="103">
        <f t="shared" si="1"/>
        <v>43405</v>
      </c>
      <c r="P51" s="103">
        <f t="shared" si="2"/>
        <v>43434</v>
      </c>
    </row>
    <row r="52" spans="1:16" s="5" customFormat="1" ht="17.100000000000001" customHeight="1">
      <c r="A52" s="104">
        <f t="shared" si="5"/>
        <v>17</v>
      </c>
      <c r="B52" s="567" t="str">
        <f t="shared" si="3"/>
        <v>Tháng 12/2018</v>
      </c>
      <c r="C52" s="567"/>
      <c r="D52" s="568" t="str">
        <f t="shared" si="4"/>
        <v>Gối cầu 150x200x20</v>
      </c>
      <c r="E52" s="568"/>
      <c r="F52" s="568"/>
      <c r="G52" s="568"/>
      <c r="H52" s="569">
        <f t="shared" si="0"/>
        <v>96</v>
      </c>
      <c r="I52" s="569"/>
      <c r="J52" s="567"/>
      <c r="K52" s="570"/>
      <c r="L52">
        <v>12</v>
      </c>
      <c r="M52" s="101">
        <v>2018</v>
      </c>
      <c r="N52"/>
      <c r="O52" s="103">
        <f t="shared" si="1"/>
        <v>43435</v>
      </c>
      <c r="P52" s="103">
        <f t="shared" si="2"/>
        <v>43465</v>
      </c>
    </row>
    <row r="53" spans="1:16" s="5" customFormat="1" ht="17.100000000000001" customHeight="1">
      <c r="A53" s="104">
        <f t="shared" si="5"/>
        <v>18</v>
      </c>
      <c r="B53" s="567" t="str">
        <f t="shared" si="3"/>
        <v>Tháng 01/2019</v>
      </c>
      <c r="C53" s="567"/>
      <c r="D53" s="568" t="str">
        <f t="shared" si="4"/>
        <v>Gối cầu 150x200x20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</v>
      </c>
      <c r="M53" s="101">
        <v>2019</v>
      </c>
      <c r="N53"/>
      <c r="O53" s="103">
        <f t="shared" si="1"/>
        <v>43466</v>
      </c>
      <c r="P53" s="103">
        <f t="shared" si="2"/>
        <v>43496</v>
      </c>
    </row>
    <row r="54" spans="1:16" s="5" customFormat="1" ht="17.100000000000001" customHeight="1">
      <c r="A54" s="104">
        <f t="shared" si="5"/>
        <v>19</v>
      </c>
      <c r="B54" s="567" t="str">
        <f t="shared" si="3"/>
        <v>Tháng 02/2019</v>
      </c>
      <c r="C54" s="567"/>
      <c r="D54" s="568" t="str">
        <f t="shared" si="4"/>
        <v>Gối cầu 150x200x20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2</v>
      </c>
      <c r="M54" s="101">
        <v>2019</v>
      </c>
      <c r="N54"/>
      <c r="O54" s="103">
        <f t="shared" si="1"/>
        <v>43497</v>
      </c>
      <c r="P54" s="103">
        <f t="shared" si="2"/>
        <v>43524</v>
      </c>
    </row>
    <row r="55" spans="1:16" s="5" customFormat="1" ht="17.100000000000001" customHeight="1">
      <c r="A55" s="104">
        <f t="shared" si="5"/>
        <v>20</v>
      </c>
      <c r="B55" s="567" t="str">
        <f t="shared" si="3"/>
        <v>Tháng 03/2019</v>
      </c>
      <c r="C55" s="567"/>
      <c r="D55" s="568" t="str">
        <f t="shared" si="4"/>
        <v>Gối cầu 150x200x20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3</v>
      </c>
      <c r="M55" s="101">
        <v>2019</v>
      </c>
      <c r="N55"/>
      <c r="O55" s="103">
        <f t="shared" si="1"/>
        <v>43525</v>
      </c>
      <c r="P55" s="103">
        <f t="shared" si="2"/>
        <v>43555</v>
      </c>
    </row>
    <row r="56" spans="1:16" s="5" customFormat="1" ht="17.100000000000001" customHeight="1">
      <c r="A56" s="104">
        <f t="shared" si="5"/>
        <v>21</v>
      </c>
      <c r="B56" s="567" t="str">
        <f t="shared" si="3"/>
        <v>Tháng 04/2019</v>
      </c>
      <c r="C56" s="567"/>
      <c r="D56" s="568" t="str">
        <f t="shared" si="4"/>
        <v>Gối cầu 150x200x20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4</v>
      </c>
      <c r="M56" s="101">
        <v>2019</v>
      </c>
      <c r="N56"/>
      <c r="O56" s="103">
        <f t="shared" si="1"/>
        <v>43556</v>
      </c>
      <c r="P56" s="103">
        <f t="shared" si="2"/>
        <v>43585</v>
      </c>
    </row>
    <row r="57" spans="1:16" s="5" customFormat="1" ht="17.100000000000001" customHeight="1">
      <c r="A57" s="104">
        <f t="shared" si="5"/>
        <v>22</v>
      </c>
      <c r="B57" s="567" t="str">
        <f t="shared" si="3"/>
        <v>Tháng 05/2019</v>
      </c>
      <c r="C57" s="567"/>
      <c r="D57" s="568" t="str">
        <f t="shared" si="4"/>
        <v>Gối cầu 150x200x20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5</v>
      </c>
      <c r="M57" s="101">
        <v>2019</v>
      </c>
      <c r="N57"/>
      <c r="O57" s="103">
        <f t="shared" si="1"/>
        <v>43586</v>
      </c>
      <c r="P57" s="103">
        <f t="shared" si="2"/>
        <v>43616</v>
      </c>
    </row>
    <row r="58" spans="1:16" s="5" customFormat="1" ht="17.100000000000001" customHeight="1">
      <c r="A58" s="104">
        <f t="shared" si="5"/>
        <v>23</v>
      </c>
      <c r="B58" s="567" t="str">
        <f t="shared" si="3"/>
        <v>Tháng 06/2019</v>
      </c>
      <c r="C58" s="567"/>
      <c r="D58" s="568" t="str">
        <f t="shared" si="4"/>
        <v>Gối cầu 150x200x20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6</v>
      </c>
      <c r="M58" s="101">
        <v>2019</v>
      </c>
      <c r="N58"/>
      <c r="O58" s="103">
        <f t="shared" si="1"/>
        <v>43617</v>
      </c>
      <c r="P58" s="103">
        <f t="shared" si="2"/>
        <v>43646</v>
      </c>
    </row>
    <row r="59" spans="1:16" s="5" customFormat="1" ht="17.100000000000001" customHeight="1">
      <c r="A59" s="104">
        <f t="shared" si="5"/>
        <v>24</v>
      </c>
      <c r="B59" s="567" t="str">
        <f t="shared" si="3"/>
        <v>Tháng 07/2019</v>
      </c>
      <c r="C59" s="567"/>
      <c r="D59" s="568" t="str">
        <f t="shared" si="4"/>
        <v>Gối cầu 150x200x20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7</v>
      </c>
      <c r="M59" s="101">
        <v>2019</v>
      </c>
      <c r="N59"/>
      <c r="O59" s="103">
        <f t="shared" si="1"/>
        <v>43647</v>
      </c>
      <c r="P59" s="103">
        <f t="shared" si="2"/>
        <v>43677</v>
      </c>
    </row>
    <row r="60" spans="1:16" s="5" customFormat="1" ht="17.100000000000001" customHeight="1">
      <c r="A60" s="104">
        <f t="shared" si="5"/>
        <v>25</v>
      </c>
      <c r="B60" s="567" t="str">
        <f t="shared" si="3"/>
        <v>Tháng 08/2019</v>
      </c>
      <c r="C60" s="567"/>
      <c r="D60" s="568" t="str">
        <f t="shared" si="4"/>
        <v>Gối cầu 150x200x20</v>
      </c>
      <c r="E60" s="568"/>
      <c r="F60" s="568"/>
      <c r="G60" s="568"/>
      <c r="H60" s="569">
        <f t="shared" ref="H60:H61" si="6">+SUMIFS($I$12:$I$35,$B$12:$B$35,"&gt;="&amp;$O60,$B$12:$B$35,"&lt;="&amp;$P60)</f>
        <v>0</v>
      </c>
      <c r="I60" s="569"/>
      <c r="J60" s="567"/>
      <c r="K60" s="570"/>
      <c r="L60">
        <v>8</v>
      </c>
      <c r="M60" s="101">
        <v>2019</v>
      </c>
      <c r="N60"/>
      <c r="O60" s="103">
        <f t="shared" si="1"/>
        <v>43678</v>
      </c>
      <c r="P60" s="103">
        <f t="shared" si="2"/>
        <v>43708</v>
      </c>
    </row>
    <row r="61" spans="1:16" s="5" customFormat="1" ht="17.100000000000001" customHeight="1">
      <c r="A61" s="104">
        <f t="shared" si="5"/>
        <v>26</v>
      </c>
      <c r="B61" s="616" t="str">
        <f t="shared" si="3"/>
        <v>Tháng 09/2019</v>
      </c>
      <c r="C61" s="616"/>
      <c r="D61" s="652" t="str">
        <f>D59</f>
        <v>Gối cầu 150x200x20</v>
      </c>
      <c r="E61" s="652"/>
      <c r="F61" s="652"/>
      <c r="G61" s="652"/>
      <c r="H61" s="615">
        <f t="shared" si="6"/>
        <v>0</v>
      </c>
      <c r="I61" s="615"/>
      <c r="J61" s="616"/>
      <c r="K61" s="617"/>
      <c r="L61">
        <v>9</v>
      </c>
      <c r="M61" s="101">
        <v>2019</v>
      </c>
      <c r="N61"/>
      <c r="O61" s="103">
        <f>DATE(M61,L61,1)</f>
        <v>43709</v>
      </c>
      <c r="P61" s="103">
        <f>DATE(M61,L61+1,0)</f>
        <v>43738</v>
      </c>
    </row>
    <row r="62" spans="1:16" s="5" customFormat="1" ht="21.6" customHeight="1" thickBot="1">
      <c r="A62" s="618" t="s">
        <v>86</v>
      </c>
      <c r="B62" s="619"/>
      <c r="C62" s="619"/>
      <c r="D62" s="619"/>
      <c r="E62" s="619"/>
      <c r="F62" s="619"/>
      <c r="G62" s="620"/>
      <c r="H62" s="621">
        <f t="shared" ref="H62" si="7">SUM(H36:I61)</f>
        <v>96</v>
      </c>
      <c r="I62" s="622"/>
      <c r="J62" s="621"/>
      <c r="K62" s="622"/>
      <c r="L62"/>
      <c r="M62"/>
      <c r="N62"/>
      <c r="O62"/>
      <c r="P62"/>
    </row>
    <row r="63" spans="1:16" s="5" customFormat="1" ht="18" customHeight="1" thickTop="1" thickBot="1">
      <c r="A63" s="105"/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4"/>
      <c r="M63" s="4"/>
      <c r="N63" s="4"/>
      <c r="O63" s="4"/>
      <c r="P63" s="20"/>
    </row>
    <row r="64" spans="1:16" s="5" customFormat="1" ht="13.9" customHeight="1" thickTop="1">
      <c r="A64" s="647" t="s">
        <v>68</v>
      </c>
      <c r="B64" s="648"/>
      <c r="C64" s="648"/>
      <c r="D64" s="648"/>
      <c r="E64" s="648"/>
      <c r="F64" s="649" t="s">
        <v>69</v>
      </c>
      <c r="G64" s="649"/>
      <c r="H64" s="649"/>
      <c r="I64" s="650"/>
      <c r="J64" s="650"/>
      <c r="K64" s="651"/>
      <c r="L64" s="4"/>
      <c r="M64" s="4"/>
      <c r="N64" s="4"/>
      <c r="O64" s="4"/>
      <c r="P64" s="4"/>
    </row>
    <row r="65" spans="1:20" s="5" customFormat="1" ht="13.9" customHeight="1">
      <c r="A65" s="583" t="s">
        <v>5</v>
      </c>
      <c r="B65" s="584"/>
      <c r="C65" s="584"/>
      <c r="D65" s="584"/>
      <c r="E65" s="584"/>
      <c r="F65" s="585" t="s">
        <v>6</v>
      </c>
      <c r="G65" s="585"/>
      <c r="H65" s="585"/>
      <c r="I65" s="586"/>
      <c r="J65" s="586"/>
      <c r="K65" s="587"/>
      <c r="L65" s="4"/>
      <c r="M65" s="4"/>
      <c r="N65" s="4"/>
      <c r="O65" s="4"/>
      <c r="P65" s="4"/>
    </row>
    <row r="66" spans="1:20" s="5" customFormat="1" ht="13.9" customHeight="1">
      <c r="A66" s="583" t="s">
        <v>836</v>
      </c>
      <c r="B66" s="584"/>
      <c r="C66" s="584"/>
      <c r="D66" s="584"/>
      <c r="E66" s="584"/>
      <c r="F66" s="590" t="s">
        <v>837</v>
      </c>
      <c r="G66" s="590"/>
      <c r="H66" s="590"/>
      <c r="I66" s="591"/>
      <c r="J66" s="591"/>
      <c r="K66" s="592"/>
      <c r="L66" s="4"/>
      <c r="M66" s="4"/>
      <c r="N66" s="4"/>
      <c r="O66" s="4"/>
      <c r="P66" s="4"/>
    </row>
    <row r="67" spans="1:20" s="5" customFormat="1" ht="13.9" customHeight="1">
      <c r="A67" s="583"/>
      <c r="B67" s="584"/>
      <c r="C67" s="584"/>
      <c r="D67" s="584"/>
      <c r="E67" s="584"/>
      <c r="F67" s="590"/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 thickBot="1">
      <c r="A72" s="588"/>
      <c r="B72" s="589"/>
      <c r="C72" s="589"/>
      <c r="D72" s="589"/>
      <c r="E72" s="589"/>
      <c r="F72" s="593"/>
      <c r="G72" s="593"/>
      <c r="H72" s="593"/>
      <c r="I72" s="594"/>
      <c r="J72" s="594"/>
      <c r="K72" s="595"/>
      <c r="L72" s="4"/>
      <c r="M72" s="4"/>
      <c r="N72" s="4"/>
      <c r="O72" s="4"/>
      <c r="P72" s="4"/>
    </row>
    <row r="73" spans="1:20" s="5" customFormat="1" ht="15.75" thickTop="1">
      <c r="A73" s="4"/>
      <c r="B73" s="12"/>
      <c r="C73" s="10"/>
      <c r="D73" s="10"/>
      <c r="E73" s="10"/>
      <c r="F73" s="13"/>
      <c r="G73" s="13"/>
      <c r="H73" s="13"/>
      <c r="I73" s="13"/>
      <c r="J73" s="13"/>
      <c r="K73" s="4"/>
      <c r="L73" s="4"/>
      <c r="M73" s="4"/>
      <c r="N73" s="4"/>
      <c r="O73" s="4"/>
      <c r="P73" s="4"/>
      <c r="R73" s="4"/>
      <c r="S73" s="4"/>
      <c r="T73" s="4"/>
    </row>
  </sheetData>
  <mergeCells count="145"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6:E16"/>
    <mergeCell ref="F16:K16"/>
    <mergeCell ref="A17:E23"/>
    <mergeCell ref="F17:K23"/>
    <mergeCell ref="A25:K25"/>
    <mergeCell ref="A26:K26"/>
    <mergeCell ref="I9:I11"/>
    <mergeCell ref="J9:J11"/>
    <mergeCell ref="K9:K11"/>
    <mergeCell ref="C12:E12"/>
    <mergeCell ref="A13:E13"/>
    <mergeCell ref="A15:E15"/>
    <mergeCell ref="F15:K15"/>
    <mergeCell ref="A27:K27"/>
    <mergeCell ref="A28:K28"/>
    <mergeCell ref="A29:K29"/>
    <mergeCell ref="A32:D32"/>
    <mergeCell ref="A34:A35"/>
    <mergeCell ref="B34:C35"/>
    <mergeCell ref="D34:G35"/>
    <mergeCell ref="H34:I35"/>
    <mergeCell ref="J34:K35"/>
    <mergeCell ref="B38:C38"/>
    <mergeCell ref="D38:G38"/>
    <mergeCell ref="H38:I38"/>
    <mergeCell ref="J38:K38"/>
    <mergeCell ref="B39:C39"/>
    <mergeCell ref="D39:G39"/>
    <mergeCell ref="H39:I39"/>
    <mergeCell ref="J39:K39"/>
    <mergeCell ref="B36:C36"/>
    <mergeCell ref="D36:G36"/>
    <mergeCell ref="H36:I36"/>
    <mergeCell ref="J36:K36"/>
    <mergeCell ref="B37:C37"/>
    <mergeCell ref="D37:G37"/>
    <mergeCell ref="H37:I37"/>
    <mergeCell ref="J37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A64:E64"/>
    <mergeCell ref="F64:K64"/>
    <mergeCell ref="A65:E65"/>
    <mergeCell ref="F65:K65"/>
    <mergeCell ref="A66:E72"/>
    <mergeCell ref="F66:K72"/>
    <mergeCell ref="B60:C60"/>
    <mergeCell ref="D60:G60"/>
    <mergeCell ref="H60:I60"/>
    <mergeCell ref="J60:K60"/>
    <mergeCell ref="A62:G62"/>
    <mergeCell ref="H62:I62"/>
    <mergeCell ref="J62:K62"/>
    <mergeCell ref="B61:C61"/>
    <mergeCell ref="D61:G61"/>
    <mergeCell ref="H61:I61"/>
    <mergeCell ref="J61:K6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4" max="10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92D050"/>
  </sheetPr>
  <dimension ref="A1:T74"/>
  <sheetViews>
    <sheetView view="pageBreakPreview" topLeftCell="A2" zoomScaleSheetLayoutView="100" workbookViewId="0">
      <selection activeCell="H14" sqref="H1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C.I.4. Vữa không co ngót 40MPA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>
        <v>4</v>
      </c>
      <c r="N6" s="245" t="str">
        <f>THKLQT!C28</f>
        <v>Vữa không co ngót 40MPA</v>
      </c>
      <c r="Q6" s="17"/>
    </row>
    <row r="7" spans="1:20" s="178" customFormat="1" ht="18.75" customHeight="1">
      <c r="A7" s="634">
        <f>I14</f>
        <v>0.48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THKLQT!D28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43432</v>
      </c>
      <c r="C12" s="571" t="str">
        <f>T12</f>
        <v>Bệ kê gối A1</v>
      </c>
      <c r="D12" s="572"/>
      <c r="E12" s="573"/>
      <c r="F12" s="2">
        <f>'[9]THKL MO M1'!$K$32</f>
        <v>0.48719999999999997</v>
      </c>
      <c r="G12" s="33">
        <f>P12</f>
        <v>0.24</v>
      </c>
      <c r="H12" s="295">
        <f>P12</f>
        <v>0.24</v>
      </c>
      <c r="I12" s="107">
        <f>P12</f>
        <v>0.24</v>
      </c>
      <c r="J12" s="107">
        <f>P12</f>
        <v>0.24</v>
      </c>
      <c r="K12" s="82"/>
      <c r="N12" s="118"/>
      <c r="O12" s="118"/>
      <c r="P12" s="83">
        <v>0.24</v>
      </c>
      <c r="Q12" s="89">
        <v>43432</v>
      </c>
      <c r="R12" s="83"/>
      <c r="S12" s="83" t="e">
        <f>VLOOKUP($S$11,hamchuigoi3,M12,0)</f>
        <v>#VALUE!</v>
      </c>
      <c r="T12" s="83" t="s">
        <v>330</v>
      </c>
    </row>
    <row r="13" spans="1:20" ht="38.25" outlineLevel="2">
      <c r="A13" s="81">
        <f>SUBTOTAL(103,$B$12:B13)</f>
        <v>2</v>
      </c>
      <c r="B13" s="78">
        <f>Q13</f>
        <v>43433</v>
      </c>
      <c r="C13" s="571" t="str">
        <f>T13</f>
        <v>Bệ kê gối A2</v>
      </c>
      <c r="D13" s="572"/>
      <c r="E13" s="573"/>
      <c r="F13" s="2">
        <f>'[9]THKL MO M2'!$K$32</f>
        <v>0.48719999999999997</v>
      </c>
      <c r="G13" s="33">
        <f>P13</f>
        <v>0.24</v>
      </c>
      <c r="H13" s="295">
        <f>P13</f>
        <v>0.24</v>
      </c>
      <c r="I13" s="107">
        <f>P13</f>
        <v>0.24</v>
      </c>
      <c r="J13" s="107">
        <f>P13</f>
        <v>0.24</v>
      </c>
      <c r="K13" s="82" t="s">
        <v>676</v>
      </c>
      <c r="N13" s="118"/>
      <c r="O13" s="118"/>
      <c r="P13" s="83">
        <v>0.24</v>
      </c>
      <c r="Q13" s="89">
        <v>43433</v>
      </c>
      <c r="R13" s="83"/>
      <c r="S13" s="83" t="e">
        <f>VLOOKUP($S$11,hamchuigoi3,M13,0)</f>
        <v>#VALUE!</v>
      </c>
      <c r="T13" s="3" t="s">
        <v>331</v>
      </c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0.97</v>
      </c>
      <c r="G14" s="79">
        <f t="shared" ref="G14:J14" si="0">ROUND(SUM(G12:G13),2)</f>
        <v>0.48</v>
      </c>
      <c r="H14" s="79">
        <f t="shared" si="0"/>
        <v>0.48</v>
      </c>
      <c r="I14" s="79">
        <f t="shared" si="0"/>
        <v>0.48</v>
      </c>
      <c r="J14" s="79">
        <f t="shared" si="0"/>
        <v>0.48</v>
      </c>
      <c r="K14" s="80"/>
      <c r="N14" s="118"/>
      <c r="O14" s="118"/>
      <c r="P14" s="90">
        <f>SUM(P12:P12)</f>
        <v>0.24</v>
      </c>
    </row>
    <row r="15" spans="1:20" s="175" customFormat="1" ht="18" customHeight="1" thickTop="1" thickBot="1">
      <c r="A15" s="223"/>
      <c r="B15" s="223"/>
      <c r="C15" s="223"/>
      <c r="D15" s="223"/>
      <c r="E15" s="223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23"/>
      <c r="B25" s="223"/>
      <c r="C25" s="223"/>
      <c r="D25" s="223"/>
      <c r="E25" s="223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24" t="str">
        <f>A5</f>
        <v>Hạng mục C.I. Kết cấu nhịp dầm</v>
      </c>
      <c r="B31" s="22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4" t="str">
        <f>A6</f>
        <v>Mục C.I.4. Vữa không co ngót 40MPA</v>
      </c>
      <c r="B32" s="22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0.48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Vữa không co ngót 40MPA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Vữa không co ngót 40MPA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Vữa không co ngót 40MPA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Vữa không co ngót 40MPA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Vữa không co ngót 40MPA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Vữa không co ngót 40MPA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Vữa không co ngót 40MPA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Vữa không co ngót 40MPA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Vữa không co ngót 40MPA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Vữa không co ngót 40MPA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Vữa không co ngót 40MPA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Vữa không co ngót 40MPA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Vữa không co ngót 40MPA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Vữa không co ngót 40MPA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Vữa không co ngót 40MPA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Vữa không co ngót 40MPA</v>
      </c>
      <c r="E52" s="568"/>
      <c r="F52" s="568"/>
      <c r="G52" s="568"/>
      <c r="H52" s="569">
        <f t="shared" si="1"/>
        <v>0.48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Vữa không co ngót 40MPA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Vữa không co ngót 40MPA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Vữa không co ngót 40MPA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Vữa không co ngót 40MPA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Vữa không co ngót 40MPA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Vữa không co ngót 40MPA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Vữa không co ngót 40MPA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Vữa không co ngót 40MPA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Vữa không co ngót 40MPA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Vữa không co ngót 40MPA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0.48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7:E17"/>
    <mergeCell ref="F17:K17"/>
    <mergeCell ref="A18:E24"/>
    <mergeCell ref="F18:K24"/>
    <mergeCell ref="A26:K26"/>
    <mergeCell ref="A27:K27"/>
    <mergeCell ref="I9:I11"/>
    <mergeCell ref="J9:J11"/>
    <mergeCell ref="K9:K11"/>
    <mergeCell ref="C12:E12"/>
    <mergeCell ref="A14:E14"/>
    <mergeCell ref="A16:E16"/>
    <mergeCell ref="F16:K16"/>
    <mergeCell ref="C13:E13"/>
    <mergeCell ref="A28:K28"/>
    <mergeCell ref="A29:K29"/>
    <mergeCell ref="A30:K30"/>
    <mergeCell ref="A33:D33"/>
    <mergeCell ref="A35:A36"/>
    <mergeCell ref="B35:C36"/>
    <mergeCell ref="D35:G36"/>
    <mergeCell ref="H35:I36"/>
    <mergeCell ref="J35:K36"/>
    <mergeCell ref="B39:C39"/>
    <mergeCell ref="D39:G39"/>
    <mergeCell ref="H39:I39"/>
    <mergeCell ref="J39:K39"/>
    <mergeCell ref="B40:C40"/>
    <mergeCell ref="D40:G40"/>
    <mergeCell ref="H40:I40"/>
    <mergeCell ref="J40:K40"/>
    <mergeCell ref="B37:C37"/>
    <mergeCell ref="D37:G37"/>
    <mergeCell ref="H37:I37"/>
    <mergeCell ref="J37:K37"/>
    <mergeCell ref="B38:C38"/>
    <mergeCell ref="D38:G38"/>
    <mergeCell ref="H38:I38"/>
    <mergeCell ref="J38:K38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A65:E65"/>
    <mergeCell ref="F65:K65"/>
    <mergeCell ref="A66:E66"/>
    <mergeCell ref="F66:K66"/>
    <mergeCell ref="A67:E73"/>
    <mergeCell ref="F67:K73"/>
    <mergeCell ref="B61:C61"/>
    <mergeCell ref="D61:G61"/>
    <mergeCell ref="H61:I61"/>
    <mergeCell ref="J61:K61"/>
    <mergeCell ref="A63:G63"/>
    <mergeCell ref="H63:I63"/>
    <mergeCell ref="J63:K63"/>
    <mergeCell ref="B62:C62"/>
    <mergeCell ref="D62:G62"/>
    <mergeCell ref="H62:I62"/>
    <mergeCell ref="J62:K62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92D050"/>
  </sheetPr>
  <dimension ref="A1:T74"/>
  <sheetViews>
    <sheetView view="pageBreakPreview" topLeftCell="A2" zoomScaleSheetLayoutView="100" workbookViewId="0">
      <selection activeCell="F12" sqref="F1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C.I.5. Bê tông bản mặt cầu  30MPa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>
        <v>5</v>
      </c>
      <c r="N6" s="245" t="str">
        <f>THKLQT!C31</f>
        <v>Bê tông bản mặt cầu  30MPa</v>
      </c>
      <c r="Q6" s="17"/>
    </row>
    <row r="7" spans="1:20" s="178" customFormat="1" ht="18.75" customHeight="1">
      <c r="A7" s="634">
        <f>I14</f>
        <v>94.5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THKLQT!D31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43445</v>
      </c>
      <c r="C12" s="571" t="str">
        <f>T12</f>
        <v>Bê tông bản mặt cầu  30MPa</v>
      </c>
      <c r="D12" s="572"/>
      <c r="E12" s="573"/>
      <c r="F12" s="2">
        <f>'[1]Ban mat cau'!$G$26</f>
        <v>94.503</v>
      </c>
      <c r="G12" s="33">
        <f>P12</f>
        <v>95</v>
      </c>
      <c r="H12" s="295">
        <f>MIN(F12:G12)</f>
        <v>94.503</v>
      </c>
      <c r="I12" s="107">
        <f>H12</f>
        <v>94.503</v>
      </c>
      <c r="J12" s="107">
        <f>P12</f>
        <v>95</v>
      </c>
      <c r="K12" s="82"/>
      <c r="N12" s="118"/>
      <c r="O12" s="118"/>
      <c r="P12" s="83">
        <v>95</v>
      </c>
      <c r="Q12" s="89">
        <v>43445</v>
      </c>
      <c r="R12" s="83"/>
      <c r="S12" s="83" t="e">
        <f>VLOOKUP($S$11,hamchuigoi3,M12,0)</f>
        <v>#VALUE!</v>
      </c>
      <c r="T12" s="3" t="str">
        <f>N6</f>
        <v>Bê tông bản mặt cầu  30MPa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3"/>
      <c r="Q13" s="89"/>
      <c r="R13" s="83"/>
      <c r="S13" s="83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94.5</v>
      </c>
      <c r="G14" s="79">
        <f t="shared" ref="G14:J14" si="0">ROUND(SUM(G12:G13),2)</f>
        <v>95</v>
      </c>
      <c r="H14" s="79">
        <f t="shared" si="0"/>
        <v>94.5</v>
      </c>
      <c r="I14" s="79">
        <f t="shared" si="0"/>
        <v>94.5</v>
      </c>
      <c r="J14" s="79">
        <f t="shared" si="0"/>
        <v>95</v>
      </c>
      <c r="K14" s="80"/>
      <c r="N14" s="118"/>
      <c r="O14" s="118"/>
      <c r="P14" s="90">
        <f>SUM(P12:P12)</f>
        <v>95</v>
      </c>
    </row>
    <row r="15" spans="1:20" s="175" customFormat="1" ht="18" customHeight="1" thickTop="1" thickBot="1">
      <c r="A15" s="223"/>
      <c r="B15" s="223"/>
      <c r="C15" s="223"/>
      <c r="D15" s="223"/>
      <c r="E15" s="223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23"/>
      <c r="B25" s="223"/>
      <c r="C25" s="223"/>
      <c r="D25" s="223"/>
      <c r="E25" s="223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24" t="str">
        <f>A5</f>
        <v>Hạng mục C.I. Kết cấu nhịp dầm</v>
      </c>
      <c r="B31" s="22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4" t="str">
        <f>A6</f>
        <v>Mục C.I.5. Bê tông bản mặt cầu  30MPa</v>
      </c>
      <c r="B32" s="22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94.5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Bê tông bản mặt cầu  30MPa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Bê tông bản mặt cầu  30MPa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Bê tông bản mặt cầu  30MPa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Bê tông bản mặt cầu  30MPa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Bê tông bản mặt cầu  30MPa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Bê tông bản mặt cầu  30MPa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Bê tông bản mặt cầu  30MPa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Bê tông bản mặt cầu  30MPa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Bê tông bản mặt cầu  30MPa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Bê tông bản mặt cầu  30MPa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Bê tông bản mặt cầu  30MPa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Bê tông bản mặt cầu  30MPa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Bê tông bản mặt cầu  30MPa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Bê tông bản mặt cầu  30MPa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Bê tông bản mặt cầu  30MPa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Bê tông bản mặt cầu  30MPa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Bê tông bản mặt cầu  30MPa</v>
      </c>
      <c r="E53" s="568"/>
      <c r="F53" s="568"/>
      <c r="G53" s="568"/>
      <c r="H53" s="569">
        <f t="shared" si="1"/>
        <v>94.503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Bê tông bản mặt cầu  30MPa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Bê tông bản mặt cầu  30MPa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Bê tông bản mặt cầu  30MPa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Bê tông bản mặt cầu  30MPa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Bê tông bản mặt cầu  30MPa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Bê tông bản mặt cầu  30MPa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Bê tông bản mặt cầu  30MPa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Bê tông bản mặt cầu  30MPa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Bê tông bản mặt cầu  30MPa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94.503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C13:E13"/>
    <mergeCell ref="A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62:C62"/>
    <mergeCell ref="D62:G62"/>
    <mergeCell ref="H62:I62"/>
    <mergeCell ref="J62:K62"/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>
    <tabColor rgb="FF92D050"/>
  </sheetPr>
  <dimension ref="A1:T74"/>
  <sheetViews>
    <sheetView view="pageBreakPreview" topLeftCell="A53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 Kết cấu nhịp dầm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116</v>
      </c>
      <c r="N5" s="6" t="s">
        <v>329</v>
      </c>
      <c r="Q5" s="17"/>
    </row>
    <row r="6" spans="1:20" s="16" customFormat="1" ht="15.75" customHeight="1">
      <c r="A6" s="91" t="str">
        <f>L6&amp;M6&amp;". "&amp;N6</f>
        <v>Mục C.I.6. SX+LD cốt thép bản mặt cầu D≤18mm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</v>
      </c>
      <c r="M6" s="16">
        <v>6</v>
      </c>
      <c r="N6" s="245" t="str">
        <f>THKLQT!C32</f>
        <v>SX+LD cốt thép bản mặt cầu D≤18mm</v>
      </c>
      <c r="Q6" s="17"/>
    </row>
    <row r="7" spans="1:20" s="178" customFormat="1" ht="18.75" customHeight="1">
      <c r="A7" s="634">
        <f>I14</f>
        <v>20.37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THKLQT!D32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43445</v>
      </c>
      <c r="C12" s="571" t="str">
        <f>T12</f>
        <v>SX+LD cốt thép bản mặt cầu D≤18mm</v>
      </c>
      <c r="D12" s="572"/>
      <c r="E12" s="573"/>
      <c r="F12" s="2">
        <f>'[1]Ban mat cau'!$G$25/1000</f>
        <v>20.36953668</v>
      </c>
      <c r="G12" s="1">
        <f>P12</f>
        <v>20.369</v>
      </c>
      <c r="H12" s="299">
        <f>P12</f>
        <v>20.369</v>
      </c>
      <c r="I12" s="107">
        <f>P12</f>
        <v>20.369</v>
      </c>
      <c r="J12" s="107">
        <f>P12</f>
        <v>20.369</v>
      </c>
      <c r="K12" s="82"/>
      <c r="N12" s="118"/>
      <c r="O12" s="118"/>
      <c r="P12" s="298">
        <v>20.369</v>
      </c>
      <c r="Q12" s="89">
        <v>43445</v>
      </c>
      <c r="R12" s="83"/>
      <c r="S12" s="83" t="e">
        <f>VLOOKUP($S$11,hamchuigoi3,M12,0)</f>
        <v>#VALUE!</v>
      </c>
      <c r="T12" s="3" t="str">
        <f>N6</f>
        <v>SX+LD cốt thép bản mặt cầu D≤18mm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3"/>
      <c r="Q13" s="89"/>
      <c r="R13" s="83"/>
      <c r="S13" s="83"/>
      <c r="T13" s="3"/>
    </row>
    <row r="14" spans="1:20" collapsed="1" thickBot="1">
      <c r="A14" s="574" t="s">
        <v>4</v>
      </c>
      <c r="B14" s="575"/>
      <c r="C14" s="575"/>
      <c r="D14" s="575"/>
      <c r="E14" s="575"/>
      <c r="F14" s="79">
        <f>ROUND(SUM(F12:F13),2)</f>
        <v>20.37</v>
      </c>
      <c r="G14" s="79">
        <f t="shared" ref="G14:J14" si="0">ROUND(SUM(G12:G13),2)</f>
        <v>20.37</v>
      </c>
      <c r="H14" s="79">
        <f t="shared" si="0"/>
        <v>20.37</v>
      </c>
      <c r="I14" s="79">
        <f t="shared" si="0"/>
        <v>20.37</v>
      </c>
      <c r="J14" s="79">
        <f t="shared" si="0"/>
        <v>20.37</v>
      </c>
      <c r="K14" s="80"/>
      <c r="N14" s="118"/>
      <c r="O14" s="118"/>
      <c r="P14" s="90">
        <f>SUM(P12:P12)</f>
        <v>20.369</v>
      </c>
    </row>
    <row r="15" spans="1:20" s="175" customFormat="1" ht="18" customHeight="1" thickTop="1" thickBot="1">
      <c r="A15" s="223"/>
      <c r="B15" s="223"/>
      <c r="C15" s="223"/>
      <c r="D15" s="223"/>
      <c r="E15" s="223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23"/>
      <c r="B25" s="223"/>
      <c r="C25" s="223"/>
      <c r="D25" s="223"/>
      <c r="E25" s="223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24" t="str">
        <f>A5</f>
        <v>Hạng mục C.I. Kết cấu nhịp dầm</v>
      </c>
      <c r="B31" s="22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4" t="str">
        <f>A6</f>
        <v>Mục C.I.6. SX+LD cốt thép bản mặt cầu D≤18mm</v>
      </c>
      <c r="B32" s="22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20.37</v>
      </c>
      <c r="B33" s="640"/>
      <c r="C33" s="640"/>
      <c r="D33" s="640"/>
      <c r="E33" s="131" t="str">
        <f>E7</f>
        <v>(tấn)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SX+LD cốt thép bản mặt cầu D≤18mm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SX+LD cốt thép bản mặt cầu D≤18mm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SX+LD cốt thép bản mặt cầu D≤18mm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SX+LD cốt thép bản mặt cầu D≤18mm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SX+LD cốt thép bản mặt cầu D≤18mm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SX+LD cốt thép bản mặt cầu D≤18mm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SX+LD cốt thép bản mặt cầu D≤18mm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SX+LD cốt thép bản mặt cầu D≤18mm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SX+LD cốt thép bản mặt cầu D≤18mm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SX+LD cốt thép bản mặt cầu D≤18mm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SX+LD cốt thép bản mặt cầu D≤18mm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SX+LD cốt thép bản mặt cầu D≤18mm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SX+LD cốt thép bản mặt cầu D≤18mm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SX+LD cốt thép bản mặt cầu D≤18mm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SX+LD cốt thép bản mặt cầu D≤18mm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SX+LD cốt thép bản mặt cầu D≤18mm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SX+LD cốt thép bản mặt cầu D≤18mm</v>
      </c>
      <c r="E53" s="568"/>
      <c r="F53" s="568"/>
      <c r="G53" s="568"/>
      <c r="H53" s="569">
        <f t="shared" si="1"/>
        <v>20.369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SX+LD cốt thép bản mặt cầu D≤18mm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SX+LD cốt thép bản mặt cầu D≤18mm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SX+LD cốt thép bản mặt cầu D≤18mm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SX+LD cốt thép bản mặt cầu D≤18mm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SX+LD cốt thép bản mặt cầu D≤18mm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SX+LD cốt thép bản mặt cầu D≤18mm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SX+LD cốt thép bản mặt cầu D≤18mm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SX+LD cốt thép bản mặt cầu D≤18mm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SX+LD cốt thép bản mặt cầu D≤18mm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20.369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C13:E13"/>
    <mergeCell ref="A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62:C62"/>
    <mergeCell ref="D62:G62"/>
    <mergeCell ref="H62:I62"/>
    <mergeCell ref="J62:K62"/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rgb="FF92D050"/>
  </sheetPr>
  <dimension ref="A1:T77"/>
  <sheetViews>
    <sheetView view="pageBreakPreview" zoomScaleSheetLayoutView="100" workbookViewId="0">
      <selection activeCell="F17" sqref="F17"/>
    </sheetView>
  </sheetViews>
  <sheetFormatPr defaultRowHeight="15" outlineLevelRow="2"/>
  <cols>
    <col min="1" max="1" width="4.7109375" style="325" customWidth="1"/>
    <col min="2" max="2" width="10.7109375" style="372" customWidth="1"/>
    <col min="3" max="3" width="11.85546875" style="373" customWidth="1"/>
    <col min="4" max="4" width="8.7109375" style="373" customWidth="1"/>
    <col min="5" max="5" width="19.5703125" style="373" customWidth="1"/>
    <col min="6" max="9" width="9.7109375" style="374" customWidth="1"/>
    <col min="10" max="10" width="9.7109375" style="374" hidden="1" customWidth="1"/>
    <col min="11" max="11" width="12.140625" style="325" customWidth="1"/>
    <col min="12" max="12" width="9.7109375" style="325" customWidth="1"/>
    <col min="13" max="13" width="12.85546875" style="325" customWidth="1"/>
    <col min="14" max="14" width="11.7109375" style="325" customWidth="1"/>
    <col min="15" max="15" width="10.5703125" style="325" bestFit="1" customWidth="1"/>
    <col min="16" max="16" width="10.28515625" style="325" customWidth="1"/>
    <col min="17" max="17" width="10.140625" style="326" customWidth="1"/>
    <col min="18" max="19" width="9.140625" style="325"/>
    <col min="20" max="20" width="18.42578125" style="325" customWidth="1"/>
    <col min="21" max="246" width="9.140625" style="325"/>
    <col min="247" max="247" width="6.7109375" style="325" customWidth="1"/>
    <col min="248" max="248" width="7.85546875" style="325" customWidth="1"/>
    <col min="249" max="249" width="12.140625" style="325" customWidth="1"/>
    <col min="250" max="250" width="10.28515625" style="325" customWidth="1"/>
    <col min="251" max="251" width="8.28515625" style="325" customWidth="1"/>
    <col min="252" max="252" width="8.7109375" style="325" customWidth="1"/>
    <col min="253" max="253" width="9.85546875" style="325" customWidth="1"/>
    <col min="254" max="254" width="8.85546875" style="325" customWidth="1"/>
    <col min="255" max="255" width="8.7109375" style="325" customWidth="1"/>
    <col min="256" max="256" width="9.28515625" style="325" customWidth="1"/>
    <col min="257" max="257" width="8.85546875" style="325" customWidth="1"/>
    <col min="258" max="258" width="8.7109375" style="325" customWidth="1"/>
    <col min="259" max="259" width="9.5703125" style="325" customWidth="1"/>
    <col min="260" max="260" width="8.85546875" style="325" customWidth="1"/>
    <col min="261" max="261" width="11.140625" style="325" customWidth="1"/>
    <col min="262" max="262" width="10.140625" style="325" customWidth="1"/>
    <col min="263" max="263" width="13.7109375" style="325" customWidth="1"/>
    <col min="264" max="264" width="10.140625" style="325" customWidth="1"/>
    <col min="265" max="265" width="11" style="325" customWidth="1"/>
    <col min="266" max="266" width="11.7109375" style="325" customWidth="1"/>
    <col min="267" max="267" width="12.28515625" style="325" customWidth="1"/>
    <col min="268" max="268" width="9.7109375" style="325" customWidth="1"/>
    <col min="269" max="269" width="12.85546875" style="325" customWidth="1"/>
    <col min="270" max="270" width="9.28515625" style="325" customWidth="1"/>
    <col min="271" max="502" width="9.140625" style="325"/>
    <col min="503" max="503" width="6.7109375" style="325" customWidth="1"/>
    <col min="504" max="504" width="7.85546875" style="325" customWidth="1"/>
    <col min="505" max="505" width="12.140625" style="325" customWidth="1"/>
    <col min="506" max="506" width="10.28515625" style="325" customWidth="1"/>
    <col min="507" max="507" width="8.28515625" style="325" customWidth="1"/>
    <col min="508" max="508" width="8.7109375" style="325" customWidth="1"/>
    <col min="509" max="509" width="9.85546875" style="325" customWidth="1"/>
    <col min="510" max="510" width="8.85546875" style="325" customWidth="1"/>
    <col min="511" max="511" width="8.7109375" style="325" customWidth="1"/>
    <col min="512" max="512" width="9.28515625" style="325" customWidth="1"/>
    <col min="513" max="513" width="8.85546875" style="325" customWidth="1"/>
    <col min="514" max="514" width="8.7109375" style="325" customWidth="1"/>
    <col min="515" max="515" width="9.5703125" style="325" customWidth="1"/>
    <col min="516" max="516" width="8.85546875" style="325" customWidth="1"/>
    <col min="517" max="517" width="11.140625" style="325" customWidth="1"/>
    <col min="518" max="518" width="10.140625" style="325" customWidth="1"/>
    <col min="519" max="519" width="13.7109375" style="325" customWidth="1"/>
    <col min="520" max="520" width="10.140625" style="325" customWidth="1"/>
    <col min="521" max="521" width="11" style="325" customWidth="1"/>
    <col min="522" max="522" width="11.7109375" style="325" customWidth="1"/>
    <col min="523" max="523" width="12.28515625" style="325" customWidth="1"/>
    <col min="524" max="524" width="9.7109375" style="325" customWidth="1"/>
    <col min="525" max="525" width="12.85546875" style="325" customWidth="1"/>
    <col min="526" max="526" width="9.28515625" style="325" customWidth="1"/>
    <col min="527" max="758" width="9.140625" style="325"/>
    <col min="759" max="759" width="6.7109375" style="325" customWidth="1"/>
    <col min="760" max="760" width="7.85546875" style="325" customWidth="1"/>
    <col min="761" max="761" width="12.140625" style="325" customWidth="1"/>
    <col min="762" max="762" width="10.28515625" style="325" customWidth="1"/>
    <col min="763" max="763" width="8.28515625" style="325" customWidth="1"/>
    <col min="764" max="764" width="8.7109375" style="325" customWidth="1"/>
    <col min="765" max="765" width="9.85546875" style="325" customWidth="1"/>
    <col min="766" max="766" width="8.85546875" style="325" customWidth="1"/>
    <col min="767" max="767" width="8.7109375" style="325" customWidth="1"/>
    <col min="768" max="768" width="9.28515625" style="325" customWidth="1"/>
    <col min="769" max="769" width="8.85546875" style="325" customWidth="1"/>
    <col min="770" max="770" width="8.7109375" style="325" customWidth="1"/>
    <col min="771" max="771" width="9.5703125" style="325" customWidth="1"/>
    <col min="772" max="772" width="8.85546875" style="325" customWidth="1"/>
    <col min="773" max="773" width="11.140625" style="325" customWidth="1"/>
    <col min="774" max="774" width="10.140625" style="325" customWidth="1"/>
    <col min="775" max="775" width="13.7109375" style="325" customWidth="1"/>
    <col min="776" max="776" width="10.140625" style="325" customWidth="1"/>
    <col min="777" max="777" width="11" style="325" customWidth="1"/>
    <col min="778" max="778" width="11.7109375" style="325" customWidth="1"/>
    <col min="779" max="779" width="12.28515625" style="325" customWidth="1"/>
    <col min="780" max="780" width="9.7109375" style="325" customWidth="1"/>
    <col min="781" max="781" width="12.85546875" style="325" customWidth="1"/>
    <col min="782" max="782" width="9.28515625" style="325" customWidth="1"/>
    <col min="783" max="1014" width="9.140625" style="325"/>
    <col min="1015" max="1015" width="6.7109375" style="325" customWidth="1"/>
    <col min="1016" max="1016" width="7.85546875" style="325" customWidth="1"/>
    <col min="1017" max="1017" width="12.140625" style="325" customWidth="1"/>
    <col min="1018" max="1018" width="10.28515625" style="325" customWidth="1"/>
    <col min="1019" max="1019" width="8.28515625" style="325" customWidth="1"/>
    <col min="1020" max="1020" width="8.7109375" style="325" customWidth="1"/>
    <col min="1021" max="1021" width="9.85546875" style="325" customWidth="1"/>
    <col min="1022" max="1022" width="8.85546875" style="325" customWidth="1"/>
    <col min="1023" max="1023" width="8.7109375" style="325" customWidth="1"/>
    <col min="1024" max="1024" width="9.28515625" style="325" customWidth="1"/>
    <col min="1025" max="1025" width="8.85546875" style="325" customWidth="1"/>
    <col min="1026" max="1026" width="8.7109375" style="325" customWidth="1"/>
    <col min="1027" max="1027" width="9.5703125" style="325" customWidth="1"/>
    <col min="1028" max="1028" width="8.85546875" style="325" customWidth="1"/>
    <col min="1029" max="1029" width="11.140625" style="325" customWidth="1"/>
    <col min="1030" max="1030" width="10.140625" style="325" customWidth="1"/>
    <col min="1031" max="1031" width="13.7109375" style="325" customWidth="1"/>
    <col min="1032" max="1032" width="10.140625" style="325" customWidth="1"/>
    <col min="1033" max="1033" width="11" style="325" customWidth="1"/>
    <col min="1034" max="1034" width="11.7109375" style="325" customWidth="1"/>
    <col min="1035" max="1035" width="12.28515625" style="325" customWidth="1"/>
    <col min="1036" max="1036" width="9.7109375" style="325" customWidth="1"/>
    <col min="1037" max="1037" width="12.85546875" style="325" customWidth="1"/>
    <col min="1038" max="1038" width="9.28515625" style="325" customWidth="1"/>
    <col min="1039" max="1270" width="9.140625" style="325"/>
    <col min="1271" max="1271" width="6.7109375" style="325" customWidth="1"/>
    <col min="1272" max="1272" width="7.85546875" style="325" customWidth="1"/>
    <col min="1273" max="1273" width="12.140625" style="325" customWidth="1"/>
    <col min="1274" max="1274" width="10.28515625" style="325" customWidth="1"/>
    <col min="1275" max="1275" width="8.28515625" style="325" customWidth="1"/>
    <col min="1276" max="1276" width="8.7109375" style="325" customWidth="1"/>
    <col min="1277" max="1277" width="9.85546875" style="325" customWidth="1"/>
    <col min="1278" max="1278" width="8.85546875" style="325" customWidth="1"/>
    <col min="1279" max="1279" width="8.7109375" style="325" customWidth="1"/>
    <col min="1280" max="1280" width="9.28515625" style="325" customWidth="1"/>
    <col min="1281" max="1281" width="8.85546875" style="325" customWidth="1"/>
    <col min="1282" max="1282" width="8.7109375" style="325" customWidth="1"/>
    <col min="1283" max="1283" width="9.5703125" style="325" customWidth="1"/>
    <col min="1284" max="1284" width="8.85546875" style="325" customWidth="1"/>
    <col min="1285" max="1285" width="11.140625" style="325" customWidth="1"/>
    <col min="1286" max="1286" width="10.140625" style="325" customWidth="1"/>
    <col min="1287" max="1287" width="13.7109375" style="325" customWidth="1"/>
    <col min="1288" max="1288" width="10.140625" style="325" customWidth="1"/>
    <col min="1289" max="1289" width="11" style="325" customWidth="1"/>
    <col min="1290" max="1290" width="11.7109375" style="325" customWidth="1"/>
    <col min="1291" max="1291" width="12.28515625" style="325" customWidth="1"/>
    <col min="1292" max="1292" width="9.7109375" style="325" customWidth="1"/>
    <col min="1293" max="1293" width="12.85546875" style="325" customWidth="1"/>
    <col min="1294" max="1294" width="9.28515625" style="325" customWidth="1"/>
    <col min="1295" max="1526" width="9.140625" style="325"/>
    <col min="1527" max="1527" width="6.7109375" style="325" customWidth="1"/>
    <col min="1528" max="1528" width="7.85546875" style="325" customWidth="1"/>
    <col min="1529" max="1529" width="12.140625" style="325" customWidth="1"/>
    <col min="1530" max="1530" width="10.28515625" style="325" customWidth="1"/>
    <col min="1531" max="1531" width="8.28515625" style="325" customWidth="1"/>
    <col min="1532" max="1532" width="8.7109375" style="325" customWidth="1"/>
    <col min="1533" max="1533" width="9.85546875" style="325" customWidth="1"/>
    <col min="1534" max="1534" width="8.85546875" style="325" customWidth="1"/>
    <col min="1535" max="1535" width="8.7109375" style="325" customWidth="1"/>
    <col min="1536" max="1536" width="9.28515625" style="325" customWidth="1"/>
    <col min="1537" max="1537" width="8.85546875" style="325" customWidth="1"/>
    <col min="1538" max="1538" width="8.7109375" style="325" customWidth="1"/>
    <col min="1539" max="1539" width="9.5703125" style="325" customWidth="1"/>
    <col min="1540" max="1540" width="8.85546875" style="325" customWidth="1"/>
    <col min="1541" max="1541" width="11.140625" style="325" customWidth="1"/>
    <col min="1542" max="1542" width="10.140625" style="325" customWidth="1"/>
    <col min="1543" max="1543" width="13.7109375" style="325" customWidth="1"/>
    <col min="1544" max="1544" width="10.140625" style="325" customWidth="1"/>
    <col min="1545" max="1545" width="11" style="325" customWidth="1"/>
    <col min="1546" max="1546" width="11.7109375" style="325" customWidth="1"/>
    <col min="1547" max="1547" width="12.28515625" style="325" customWidth="1"/>
    <col min="1548" max="1548" width="9.7109375" style="325" customWidth="1"/>
    <col min="1549" max="1549" width="12.85546875" style="325" customWidth="1"/>
    <col min="1550" max="1550" width="9.28515625" style="325" customWidth="1"/>
    <col min="1551" max="1782" width="9.140625" style="325"/>
    <col min="1783" max="1783" width="6.7109375" style="325" customWidth="1"/>
    <col min="1784" max="1784" width="7.85546875" style="325" customWidth="1"/>
    <col min="1785" max="1785" width="12.140625" style="325" customWidth="1"/>
    <col min="1786" max="1786" width="10.28515625" style="325" customWidth="1"/>
    <col min="1787" max="1787" width="8.28515625" style="325" customWidth="1"/>
    <col min="1788" max="1788" width="8.7109375" style="325" customWidth="1"/>
    <col min="1789" max="1789" width="9.85546875" style="325" customWidth="1"/>
    <col min="1790" max="1790" width="8.85546875" style="325" customWidth="1"/>
    <col min="1791" max="1791" width="8.7109375" style="325" customWidth="1"/>
    <col min="1792" max="1792" width="9.28515625" style="325" customWidth="1"/>
    <col min="1793" max="1793" width="8.85546875" style="325" customWidth="1"/>
    <col min="1794" max="1794" width="8.7109375" style="325" customWidth="1"/>
    <col min="1795" max="1795" width="9.5703125" style="325" customWidth="1"/>
    <col min="1796" max="1796" width="8.85546875" style="325" customWidth="1"/>
    <col min="1797" max="1797" width="11.140625" style="325" customWidth="1"/>
    <col min="1798" max="1798" width="10.140625" style="325" customWidth="1"/>
    <col min="1799" max="1799" width="13.7109375" style="325" customWidth="1"/>
    <col min="1800" max="1800" width="10.140625" style="325" customWidth="1"/>
    <col min="1801" max="1801" width="11" style="325" customWidth="1"/>
    <col min="1802" max="1802" width="11.7109375" style="325" customWidth="1"/>
    <col min="1803" max="1803" width="12.28515625" style="325" customWidth="1"/>
    <col min="1804" max="1804" width="9.7109375" style="325" customWidth="1"/>
    <col min="1805" max="1805" width="12.85546875" style="325" customWidth="1"/>
    <col min="1806" max="1806" width="9.28515625" style="325" customWidth="1"/>
    <col min="1807" max="2038" width="9.140625" style="325"/>
    <col min="2039" max="2039" width="6.7109375" style="325" customWidth="1"/>
    <col min="2040" max="2040" width="7.85546875" style="325" customWidth="1"/>
    <col min="2041" max="2041" width="12.140625" style="325" customWidth="1"/>
    <col min="2042" max="2042" width="10.28515625" style="325" customWidth="1"/>
    <col min="2043" max="2043" width="8.28515625" style="325" customWidth="1"/>
    <col min="2044" max="2044" width="8.7109375" style="325" customWidth="1"/>
    <col min="2045" max="2045" width="9.85546875" style="325" customWidth="1"/>
    <col min="2046" max="2046" width="8.85546875" style="325" customWidth="1"/>
    <col min="2047" max="2047" width="8.7109375" style="325" customWidth="1"/>
    <col min="2048" max="2048" width="9.28515625" style="325" customWidth="1"/>
    <col min="2049" max="2049" width="8.85546875" style="325" customWidth="1"/>
    <col min="2050" max="2050" width="8.7109375" style="325" customWidth="1"/>
    <col min="2051" max="2051" width="9.5703125" style="325" customWidth="1"/>
    <col min="2052" max="2052" width="8.85546875" style="325" customWidth="1"/>
    <col min="2053" max="2053" width="11.140625" style="325" customWidth="1"/>
    <col min="2054" max="2054" width="10.140625" style="325" customWidth="1"/>
    <col min="2055" max="2055" width="13.7109375" style="325" customWidth="1"/>
    <col min="2056" max="2056" width="10.140625" style="325" customWidth="1"/>
    <col min="2057" max="2057" width="11" style="325" customWidth="1"/>
    <col min="2058" max="2058" width="11.7109375" style="325" customWidth="1"/>
    <col min="2059" max="2059" width="12.28515625" style="325" customWidth="1"/>
    <col min="2060" max="2060" width="9.7109375" style="325" customWidth="1"/>
    <col min="2061" max="2061" width="12.85546875" style="325" customWidth="1"/>
    <col min="2062" max="2062" width="9.28515625" style="325" customWidth="1"/>
    <col min="2063" max="2294" width="9.140625" style="325"/>
    <col min="2295" max="2295" width="6.7109375" style="325" customWidth="1"/>
    <col min="2296" max="2296" width="7.85546875" style="325" customWidth="1"/>
    <col min="2297" max="2297" width="12.140625" style="325" customWidth="1"/>
    <col min="2298" max="2298" width="10.28515625" style="325" customWidth="1"/>
    <col min="2299" max="2299" width="8.28515625" style="325" customWidth="1"/>
    <col min="2300" max="2300" width="8.7109375" style="325" customWidth="1"/>
    <col min="2301" max="2301" width="9.85546875" style="325" customWidth="1"/>
    <col min="2302" max="2302" width="8.85546875" style="325" customWidth="1"/>
    <col min="2303" max="2303" width="8.7109375" style="325" customWidth="1"/>
    <col min="2304" max="2304" width="9.28515625" style="325" customWidth="1"/>
    <col min="2305" max="2305" width="8.85546875" style="325" customWidth="1"/>
    <col min="2306" max="2306" width="8.7109375" style="325" customWidth="1"/>
    <col min="2307" max="2307" width="9.5703125" style="325" customWidth="1"/>
    <col min="2308" max="2308" width="8.85546875" style="325" customWidth="1"/>
    <col min="2309" max="2309" width="11.140625" style="325" customWidth="1"/>
    <col min="2310" max="2310" width="10.140625" style="325" customWidth="1"/>
    <col min="2311" max="2311" width="13.7109375" style="325" customWidth="1"/>
    <col min="2312" max="2312" width="10.140625" style="325" customWidth="1"/>
    <col min="2313" max="2313" width="11" style="325" customWidth="1"/>
    <col min="2314" max="2314" width="11.7109375" style="325" customWidth="1"/>
    <col min="2315" max="2315" width="12.28515625" style="325" customWidth="1"/>
    <col min="2316" max="2316" width="9.7109375" style="325" customWidth="1"/>
    <col min="2317" max="2317" width="12.85546875" style="325" customWidth="1"/>
    <col min="2318" max="2318" width="9.28515625" style="325" customWidth="1"/>
    <col min="2319" max="2550" width="9.140625" style="325"/>
    <col min="2551" max="2551" width="6.7109375" style="325" customWidth="1"/>
    <col min="2552" max="2552" width="7.85546875" style="325" customWidth="1"/>
    <col min="2553" max="2553" width="12.140625" style="325" customWidth="1"/>
    <col min="2554" max="2554" width="10.28515625" style="325" customWidth="1"/>
    <col min="2555" max="2555" width="8.28515625" style="325" customWidth="1"/>
    <col min="2556" max="2556" width="8.7109375" style="325" customWidth="1"/>
    <col min="2557" max="2557" width="9.85546875" style="325" customWidth="1"/>
    <col min="2558" max="2558" width="8.85546875" style="325" customWidth="1"/>
    <col min="2559" max="2559" width="8.7109375" style="325" customWidth="1"/>
    <col min="2560" max="2560" width="9.28515625" style="325" customWidth="1"/>
    <col min="2561" max="2561" width="8.85546875" style="325" customWidth="1"/>
    <col min="2562" max="2562" width="8.7109375" style="325" customWidth="1"/>
    <col min="2563" max="2563" width="9.5703125" style="325" customWidth="1"/>
    <col min="2564" max="2564" width="8.85546875" style="325" customWidth="1"/>
    <col min="2565" max="2565" width="11.140625" style="325" customWidth="1"/>
    <col min="2566" max="2566" width="10.140625" style="325" customWidth="1"/>
    <col min="2567" max="2567" width="13.7109375" style="325" customWidth="1"/>
    <col min="2568" max="2568" width="10.140625" style="325" customWidth="1"/>
    <col min="2569" max="2569" width="11" style="325" customWidth="1"/>
    <col min="2570" max="2570" width="11.7109375" style="325" customWidth="1"/>
    <col min="2571" max="2571" width="12.28515625" style="325" customWidth="1"/>
    <col min="2572" max="2572" width="9.7109375" style="325" customWidth="1"/>
    <col min="2573" max="2573" width="12.85546875" style="325" customWidth="1"/>
    <col min="2574" max="2574" width="9.28515625" style="325" customWidth="1"/>
    <col min="2575" max="2806" width="9.140625" style="325"/>
    <col min="2807" max="2807" width="6.7109375" style="325" customWidth="1"/>
    <col min="2808" max="2808" width="7.85546875" style="325" customWidth="1"/>
    <col min="2809" max="2809" width="12.140625" style="325" customWidth="1"/>
    <col min="2810" max="2810" width="10.28515625" style="325" customWidth="1"/>
    <col min="2811" max="2811" width="8.28515625" style="325" customWidth="1"/>
    <col min="2812" max="2812" width="8.7109375" style="325" customWidth="1"/>
    <col min="2813" max="2813" width="9.85546875" style="325" customWidth="1"/>
    <col min="2814" max="2814" width="8.85546875" style="325" customWidth="1"/>
    <col min="2815" max="2815" width="8.7109375" style="325" customWidth="1"/>
    <col min="2816" max="2816" width="9.28515625" style="325" customWidth="1"/>
    <col min="2817" max="2817" width="8.85546875" style="325" customWidth="1"/>
    <col min="2818" max="2818" width="8.7109375" style="325" customWidth="1"/>
    <col min="2819" max="2819" width="9.5703125" style="325" customWidth="1"/>
    <col min="2820" max="2820" width="8.85546875" style="325" customWidth="1"/>
    <col min="2821" max="2821" width="11.140625" style="325" customWidth="1"/>
    <col min="2822" max="2822" width="10.140625" style="325" customWidth="1"/>
    <col min="2823" max="2823" width="13.7109375" style="325" customWidth="1"/>
    <col min="2824" max="2824" width="10.140625" style="325" customWidth="1"/>
    <col min="2825" max="2825" width="11" style="325" customWidth="1"/>
    <col min="2826" max="2826" width="11.7109375" style="325" customWidth="1"/>
    <col min="2827" max="2827" width="12.28515625" style="325" customWidth="1"/>
    <col min="2828" max="2828" width="9.7109375" style="325" customWidth="1"/>
    <col min="2829" max="2829" width="12.85546875" style="325" customWidth="1"/>
    <col min="2830" max="2830" width="9.28515625" style="325" customWidth="1"/>
    <col min="2831" max="3062" width="9.140625" style="325"/>
    <col min="3063" max="3063" width="6.7109375" style="325" customWidth="1"/>
    <col min="3064" max="3064" width="7.85546875" style="325" customWidth="1"/>
    <col min="3065" max="3065" width="12.140625" style="325" customWidth="1"/>
    <col min="3066" max="3066" width="10.28515625" style="325" customWidth="1"/>
    <col min="3067" max="3067" width="8.28515625" style="325" customWidth="1"/>
    <col min="3068" max="3068" width="8.7109375" style="325" customWidth="1"/>
    <col min="3069" max="3069" width="9.85546875" style="325" customWidth="1"/>
    <col min="3070" max="3070" width="8.85546875" style="325" customWidth="1"/>
    <col min="3071" max="3071" width="8.7109375" style="325" customWidth="1"/>
    <col min="3072" max="3072" width="9.28515625" style="325" customWidth="1"/>
    <col min="3073" max="3073" width="8.85546875" style="325" customWidth="1"/>
    <col min="3074" max="3074" width="8.7109375" style="325" customWidth="1"/>
    <col min="3075" max="3075" width="9.5703125" style="325" customWidth="1"/>
    <col min="3076" max="3076" width="8.85546875" style="325" customWidth="1"/>
    <col min="3077" max="3077" width="11.140625" style="325" customWidth="1"/>
    <col min="3078" max="3078" width="10.140625" style="325" customWidth="1"/>
    <col min="3079" max="3079" width="13.7109375" style="325" customWidth="1"/>
    <col min="3080" max="3080" width="10.140625" style="325" customWidth="1"/>
    <col min="3081" max="3081" width="11" style="325" customWidth="1"/>
    <col min="3082" max="3082" width="11.7109375" style="325" customWidth="1"/>
    <col min="3083" max="3083" width="12.28515625" style="325" customWidth="1"/>
    <col min="3084" max="3084" width="9.7109375" style="325" customWidth="1"/>
    <col min="3085" max="3085" width="12.85546875" style="325" customWidth="1"/>
    <col min="3086" max="3086" width="9.28515625" style="325" customWidth="1"/>
    <col min="3087" max="3318" width="9.140625" style="325"/>
    <col min="3319" max="3319" width="6.7109375" style="325" customWidth="1"/>
    <col min="3320" max="3320" width="7.85546875" style="325" customWidth="1"/>
    <col min="3321" max="3321" width="12.140625" style="325" customWidth="1"/>
    <col min="3322" max="3322" width="10.28515625" style="325" customWidth="1"/>
    <col min="3323" max="3323" width="8.28515625" style="325" customWidth="1"/>
    <col min="3324" max="3324" width="8.7109375" style="325" customWidth="1"/>
    <col min="3325" max="3325" width="9.85546875" style="325" customWidth="1"/>
    <col min="3326" max="3326" width="8.85546875" style="325" customWidth="1"/>
    <col min="3327" max="3327" width="8.7109375" style="325" customWidth="1"/>
    <col min="3328" max="3328" width="9.28515625" style="325" customWidth="1"/>
    <col min="3329" max="3329" width="8.85546875" style="325" customWidth="1"/>
    <col min="3330" max="3330" width="8.7109375" style="325" customWidth="1"/>
    <col min="3331" max="3331" width="9.5703125" style="325" customWidth="1"/>
    <col min="3332" max="3332" width="8.85546875" style="325" customWidth="1"/>
    <col min="3333" max="3333" width="11.140625" style="325" customWidth="1"/>
    <col min="3334" max="3334" width="10.140625" style="325" customWidth="1"/>
    <col min="3335" max="3335" width="13.7109375" style="325" customWidth="1"/>
    <col min="3336" max="3336" width="10.140625" style="325" customWidth="1"/>
    <col min="3337" max="3337" width="11" style="325" customWidth="1"/>
    <col min="3338" max="3338" width="11.7109375" style="325" customWidth="1"/>
    <col min="3339" max="3339" width="12.28515625" style="325" customWidth="1"/>
    <col min="3340" max="3340" width="9.7109375" style="325" customWidth="1"/>
    <col min="3341" max="3341" width="12.85546875" style="325" customWidth="1"/>
    <col min="3342" max="3342" width="9.28515625" style="325" customWidth="1"/>
    <col min="3343" max="3574" width="9.140625" style="325"/>
    <col min="3575" max="3575" width="6.7109375" style="325" customWidth="1"/>
    <col min="3576" max="3576" width="7.85546875" style="325" customWidth="1"/>
    <col min="3577" max="3577" width="12.140625" style="325" customWidth="1"/>
    <col min="3578" max="3578" width="10.28515625" style="325" customWidth="1"/>
    <col min="3579" max="3579" width="8.28515625" style="325" customWidth="1"/>
    <col min="3580" max="3580" width="8.7109375" style="325" customWidth="1"/>
    <col min="3581" max="3581" width="9.85546875" style="325" customWidth="1"/>
    <col min="3582" max="3582" width="8.85546875" style="325" customWidth="1"/>
    <col min="3583" max="3583" width="8.7109375" style="325" customWidth="1"/>
    <col min="3584" max="3584" width="9.28515625" style="325" customWidth="1"/>
    <col min="3585" max="3585" width="8.85546875" style="325" customWidth="1"/>
    <col min="3586" max="3586" width="8.7109375" style="325" customWidth="1"/>
    <col min="3587" max="3587" width="9.5703125" style="325" customWidth="1"/>
    <col min="3588" max="3588" width="8.85546875" style="325" customWidth="1"/>
    <col min="3589" max="3589" width="11.140625" style="325" customWidth="1"/>
    <col min="3590" max="3590" width="10.140625" style="325" customWidth="1"/>
    <col min="3591" max="3591" width="13.7109375" style="325" customWidth="1"/>
    <col min="3592" max="3592" width="10.140625" style="325" customWidth="1"/>
    <col min="3593" max="3593" width="11" style="325" customWidth="1"/>
    <col min="3594" max="3594" width="11.7109375" style="325" customWidth="1"/>
    <col min="3595" max="3595" width="12.28515625" style="325" customWidth="1"/>
    <col min="3596" max="3596" width="9.7109375" style="325" customWidth="1"/>
    <col min="3597" max="3597" width="12.85546875" style="325" customWidth="1"/>
    <col min="3598" max="3598" width="9.28515625" style="325" customWidth="1"/>
    <col min="3599" max="3830" width="9.140625" style="325"/>
    <col min="3831" max="3831" width="6.7109375" style="325" customWidth="1"/>
    <col min="3832" max="3832" width="7.85546875" style="325" customWidth="1"/>
    <col min="3833" max="3833" width="12.140625" style="325" customWidth="1"/>
    <col min="3834" max="3834" width="10.28515625" style="325" customWidth="1"/>
    <col min="3835" max="3835" width="8.28515625" style="325" customWidth="1"/>
    <col min="3836" max="3836" width="8.7109375" style="325" customWidth="1"/>
    <col min="3837" max="3837" width="9.85546875" style="325" customWidth="1"/>
    <col min="3838" max="3838" width="8.85546875" style="325" customWidth="1"/>
    <col min="3839" max="3839" width="8.7109375" style="325" customWidth="1"/>
    <col min="3840" max="3840" width="9.28515625" style="325" customWidth="1"/>
    <col min="3841" max="3841" width="8.85546875" style="325" customWidth="1"/>
    <col min="3842" max="3842" width="8.7109375" style="325" customWidth="1"/>
    <col min="3843" max="3843" width="9.5703125" style="325" customWidth="1"/>
    <col min="3844" max="3844" width="8.85546875" style="325" customWidth="1"/>
    <col min="3845" max="3845" width="11.140625" style="325" customWidth="1"/>
    <col min="3846" max="3846" width="10.140625" style="325" customWidth="1"/>
    <col min="3847" max="3847" width="13.7109375" style="325" customWidth="1"/>
    <col min="3848" max="3848" width="10.140625" style="325" customWidth="1"/>
    <col min="3849" max="3849" width="11" style="325" customWidth="1"/>
    <col min="3850" max="3850" width="11.7109375" style="325" customWidth="1"/>
    <col min="3851" max="3851" width="12.28515625" style="325" customWidth="1"/>
    <col min="3852" max="3852" width="9.7109375" style="325" customWidth="1"/>
    <col min="3853" max="3853" width="12.85546875" style="325" customWidth="1"/>
    <col min="3854" max="3854" width="9.28515625" style="325" customWidth="1"/>
    <col min="3855" max="4086" width="9.140625" style="325"/>
    <col min="4087" max="4087" width="6.7109375" style="325" customWidth="1"/>
    <col min="4088" max="4088" width="7.85546875" style="325" customWidth="1"/>
    <col min="4089" max="4089" width="12.140625" style="325" customWidth="1"/>
    <col min="4090" max="4090" width="10.28515625" style="325" customWidth="1"/>
    <col min="4091" max="4091" width="8.28515625" style="325" customWidth="1"/>
    <col min="4092" max="4092" width="8.7109375" style="325" customWidth="1"/>
    <col min="4093" max="4093" width="9.85546875" style="325" customWidth="1"/>
    <col min="4094" max="4094" width="8.85546875" style="325" customWidth="1"/>
    <col min="4095" max="4095" width="8.7109375" style="325" customWidth="1"/>
    <col min="4096" max="4096" width="9.28515625" style="325" customWidth="1"/>
    <col min="4097" max="4097" width="8.85546875" style="325" customWidth="1"/>
    <col min="4098" max="4098" width="8.7109375" style="325" customWidth="1"/>
    <col min="4099" max="4099" width="9.5703125" style="325" customWidth="1"/>
    <col min="4100" max="4100" width="8.85546875" style="325" customWidth="1"/>
    <col min="4101" max="4101" width="11.140625" style="325" customWidth="1"/>
    <col min="4102" max="4102" width="10.140625" style="325" customWidth="1"/>
    <col min="4103" max="4103" width="13.7109375" style="325" customWidth="1"/>
    <col min="4104" max="4104" width="10.140625" style="325" customWidth="1"/>
    <col min="4105" max="4105" width="11" style="325" customWidth="1"/>
    <col min="4106" max="4106" width="11.7109375" style="325" customWidth="1"/>
    <col min="4107" max="4107" width="12.28515625" style="325" customWidth="1"/>
    <col min="4108" max="4108" width="9.7109375" style="325" customWidth="1"/>
    <col min="4109" max="4109" width="12.85546875" style="325" customWidth="1"/>
    <col min="4110" max="4110" width="9.28515625" style="325" customWidth="1"/>
    <col min="4111" max="4342" width="9.140625" style="325"/>
    <col min="4343" max="4343" width="6.7109375" style="325" customWidth="1"/>
    <col min="4344" max="4344" width="7.85546875" style="325" customWidth="1"/>
    <col min="4345" max="4345" width="12.140625" style="325" customWidth="1"/>
    <col min="4346" max="4346" width="10.28515625" style="325" customWidth="1"/>
    <col min="4347" max="4347" width="8.28515625" style="325" customWidth="1"/>
    <col min="4348" max="4348" width="8.7109375" style="325" customWidth="1"/>
    <col min="4349" max="4349" width="9.85546875" style="325" customWidth="1"/>
    <col min="4350" max="4350" width="8.85546875" style="325" customWidth="1"/>
    <col min="4351" max="4351" width="8.7109375" style="325" customWidth="1"/>
    <col min="4352" max="4352" width="9.28515625" style="325" customWidth="1"/>
    <col min="4353" max="4353" width="8.85546875" style="325" customWidth="1"/>
    <col min="4354" max="4354" width="8.7109375" style="325" customWidth="1"/>
    <col min="4355" max="4355" width="9.5703125" style="325" customWidth="1"/>
    <col min="4356" max="4356" width="8.85546875" style="325" customWidth="1"/>
    <col min="4357" max="4357" width="11.140625" style="325" customWidth="1"/>
    <col min="4358" max="4358" width="10.140625" style="325" customWidth="1"/>
    <col min="4359" max="4359" width="13.7109375" style="325" customWidth="1"/>
    <col min="4360" max="4360" width="10.140625" style="325" customWidth="1"/>
    <col min="4361" max="4361" width="11" style="325" customWidth="1"/>
    <col min="4362" max="4362" width="11.7109375" style="325" customWidth="1"/>
    <col min="4363" max="4363" width="12.28515625" style="325" customWidth="1"/>
    <col min="4364" max="4364" width="9.7109375" style="325" customWidth="1"/>
    <col min="4365" max="4365" width="12.85546875" style="325" customWidth="1"/>
    <col min="4366" max="4366" width="9.28515625" style="325" customWidth="1"/>
    <col min="4367" max="4598" width="9.140625" style="325"/>
    <col min="4599" max="4599" width="6.7109375" style="325" customWidth="1"/>
    <col min="4600" max="4600" width="7.85546875" style="325" customWidth="1"/>
    <col min="4601" max="4601" width="12.140625" style="325" customWidth="1"/>
    <col min="4602" max="4602" width="10.28515625" style="325" customWidth="1"/>
    <col min="4603" max="4603" width="8.28515625" style="325" customWidth="1"/>
    <col min="4604" max="4604" width="8.7109375" style="325" customWidth="1"/>
    <col min="4605" max="4605" width="9.85546875" style="325" customWidth="1"/>
    <col min="4606" max="4606" width="8.85546875" style="325" customWidth="1"/>
    <col min="4607" max="4607" width="8.7109375" style="325" customWidth="1"/>
    <col min="4608" max="4608" width="9.28515625" style="325" customWidth="1"/>
    <col min="4609" max="4609" width="8.85546875" style="325" customWidth="1"/>
    <col min="4610" max="4610" width="8.7109375" style="325" customWidth="1"/>
    <col min="4611" max="4611" width="9.5703125" style="325" customWidth="1"/>
    <col min="4612" max="4612" width="8.85546875" style="325" customWidth="1"/>
    <col min="4613" max="4613" width="11.140625" style="325" customWidth="1"/>
    <col min="4614" max="4614" width="10.140625" style="325" customWidth="1"/>
    <col min="4615" max="4615" width="13.7109375" style="325" customWidth="1"/>
    <col min="4616" max="4616" width="10.140625" style="325" customWidth="1"/>
    <col min="4617" max="4617" width="11" style="325" customWidth="1"/>
    <col min="4618" max="4618" width="11.7109375" style="325" customWidth="1"/>
    <col min="4619" max="4619" width="12.28515625" style="325" customWidth="1"/>
    <col min="4620" max="4620" width="9.7109375" style="325" customWidth="1"/>
    <col min="4621" max="4621" width="12.85546875" style="325" customWidth="1"/>
    <col min="4622" max="4622" width="9.28515625" style="325" customWidth="1"/>
    <col min="4623" max="4854" width="9.140625" style="325"/>
    <col min="4855" max="4855" width="6.7109375" style="325" customWidth="1"/>
    <col min="4856" max="4856" width="7.85546875" style="325" customWidth="1"/>
    <col min="4857" max="4857" width="12.140625" style="325" customWidth="1"/>
    <col min="4858" max="4858" width="10.28515625" style="325" customWidth="1"/>
    <col min="4859" max="4859" width="8.28515625" style="325" customWidth="1"/>
    <col min="4860" max="4860" width="8.7109375" style="325" customWidth="1"/>
    <col min="4861" max="4861" width="9.85546875" style="325" customWidth="1"/>
    <col min="4862" max="4862" width="8.85546875" style="325" customWidth="1"/>
    <col min="4863" max="4863" width="8.7109375" style="325" customWidth="1"/>
    <col min="4864" max="4864" width="9.28515625" style="325" customWidth="1"/>
    <col min="4865" max="4865" width="8.85546875" style="325" customWidth="1"/>
    <col min="4866" max="4866" width="8.7109375" style="325" customWidth="1"/>
    <col min="4867" max="4867" width="9.5703125" style="325" customWidth="1"/>
    <col min="4868" max="4868" width="8.85546875" style="325" customWidth="1"/>
    <col min="4869" max="4869" width="11.140625" style="325" customWidth="1"/>
    <col min="4870" max="4870" width="10.140625" style="325" customWidth="1"/>
    <col min="4871" max="4871" width="13.7109375" style="325" customWidth="1"/>
    <col min="4872" max="4872" width="10.140625" style="325" customWidth="1"/>
    <col min="4873" max="4873" width="11" style="325" customWidth="1"/>
    <col min="4874" max="4874" width="11.7109375" style="325" customWidth="1"/>
    <col min="4875" max="4875" width="12.28515625" style="325" customWidth="1"/>
    <col min="4876" max="4876" width="9.7109375" style="325" customWidth="1"/>
    <col min="4877" max="4877" width="12.85546875" style="325" customWidth="1"/>
    <col min="4878" max="4878" width="9.28515625" style="325" customWidth="1"/>
    <col min="4879" max="5110" width="9.140625" style="325"/>
    <col min="5111" max="5111" width="6.7109375" style="325" customWidth="1"/>
    <col min="5112" max="5112" width="7.85546875" style="325" customWidth="1"/>
    <col min="5113" max="5113" width="12.140625" style="325" customWidth="1"/>
    <col min="5114" max="5114" width="10.28515625" style="325" customWidth="1"/>
    <col min="5115" max="5115" width="8.28515625" style="325" customWidth="1"/>
    <col min="5116" max="5116" width="8.7109375" style="325" customWidth="1"/>
    <col min="5117" max="5117" width="9.85546875" style="325" customWidth="1"/>
    <col min="5118" max="5118" width="8.85546875" style="325" customWidth="1"/>
    <col min="5119" max="5119" width="8.7109375" style="325" customWidth="1"/>
    <col min="5120" max="5120" width="9.28515625" style="325" customWidth="1"/>
    <col min="5121" max="5121" width="8.85546875" style="325" customWidth="1"/>
    <col min="5122" max="5122" width="8.7109375" style="325" customWidth="1"/>
    <col min="5123" max="5123" width="9.5703125" style="325" customWidth="1"/>
    <col min="5124" max="5124" width="8.85546875" style="325" customWidth="1"/>
    <col min="5125" max="5125" width="11.140625" style="325" customWidth="1"/>
    <col min="5126" max="5126" width="10.140625" style="325" customWidth="1"/>
    <col min="5127" max="5127" width="13.7109375" style="325" customWidth="1"/>
    <col min="5128" max="5128" width="10.140625" style="325" customWidth="1"/>
    <col min="5129" max="5129" width="11" style="325" customWidth="1"/>
    <col min="5130" max="5130" width="11.7109375" style="325" customWidth="1"/>
    <col min="5131" max="5131" width="12.28515625" style="325" customWidth="1"/>
    <col min="5132" max="5132" width="9.7109375" style="325" customWidth="1"/>
    <col min="5133" max="5133" width="12.85546875" style="325" customWidth="1"/>
    <col min="5134" max="5134" width="9.28515625" style="325" customWidth="1"/>
    <col min="5135" max="5366" width="9.140625" style="325"/>
    <col min="5367" max="5367" width="6.7109375" style="325" customWidth="1"/>
    <col min="5368" max="5368" width="7.85546875" style="325" customWidth="1"/>
    <col min="5369" max="5369" width="12.140625" style="325" customWidth="1"/>
    <col min="5370" max="5370" width="10.28515625" style="325" customWidth="1"/>
    <col min="5371" max="5371" width="8.28515625" style="325" customWidth="1"/>
    <col min="5372" max="5372" width="8.7109375" style="325" customWidth="1"/>
    <col min="5373" max="5373" width="9.85546875" style="325" customWidth="1"/>
    <col min="5374" max="5374" width="8.85546875" style="325" customWidth="1"/>
    <col min="5375" max="5375" width="8.7109375" style="325" customWidth="1"/>
    <col min="5376" max="5376" width="9.28515625" style="325" customWidth="1"/>
    <col min="5377" max="5377" width="8.85546875" style="325" customWidth="1"/>
    <col min="5378" max="5378" width="8.7109375" style="325" customWidth="1"/>
    <col min="5379" max="5379" width="9.5703125" style="325" customWidth="1"/>
    <col min="5380" max="5380" width="8.85546875" style="325" customWidth="1"/>
    <col min="5381" max="5381" width="11.140625" style="325" customWidth="1"/>
    <col min="5382" max="5382" width="10.140625" style="325" customWidth="1"/>
    <col min="5383" max="5383" width="13.7109375" style="325" customWidth="1"/>
    <col min="5384" max="5384" width="10.140625" style="325" customWidth="1"/>
    <col min="5385" max="5385" width="11" style="325" customWidth="1"/>
    <col min="5386" max="5386" width="11.7109375" style="325" customWidth="1"/>
    <col min="5387" max="5387" width="12.28515625" style="325" customWidth="1"/>
    <col min="5388" max="5388" width="9.7109375" style="325" customWidth="1"/>
    <col min="5389" max="5389" width="12.85546875" style="325" customWidth="1"/>
    <col min="5390" max="5390" width="9.28515625" style="325" customWidth="1"/>
    <col min="5391" max="5622" width="9.140625" style="325"/>
    <col min="5623" max="5623" width="6.7109375" style="325" customWidth="1"/>
    <col min="5624" max="5624" width="7.85546875" style="325" customWidth="1"/>
    <col min="5625" max="5625" width="12.140625" style="325" customWidth="1"/>
    <col min="5626" max="5626" width="10.28515625" style="325" customWidth="1"/>
    <col min="5627" max="5627" width="8.28515625" style="325" customWidth="1"/>
    <col min="5628" max="5628" width="8.7109375" style="325" customWidth="1"/>
    <col min="5629" max="5629" width="9.85546875" style="325" customWidth="1"/>
    <col min="5630" max="5630" width="8.85546875" style="325" customWidth="1"/>
    <col min="5631" max="5631" width="8.7109375" style="325" customWidth="1"/>
    <col min="5632" max="5632" width="9.28515625" style="325" customWidth="1"/>
    <col min="5633" max="5633" width="8.85546875" style="325" customWidth="1"/>
    <col min="5634" max="5634" width="8.7109375" style="325" customWidth="1"/>
    <col min="5635" max="5635" width="9.5703125" style="325" customWidth="1"/>
    <col min="5636" max="5636" width="8.85546875" style="325" customWidth="1"/>
    <col min="5637" max="5637" width="11.140625" style="325" customWidth="1"/>
    <col min="5638" max="5638" width="10.140625" style="325" customWidth="1"/>
    <col min="5639" max="5639" width="13.7109375" style="325" customWidth="1"/>
    <col min="5640" max="5640" width="10.140625" style="325" customWidth="1"/>
    <col min="5641" max="5641" width="11" style="325" customWidth="1"/>
    <col min="5642" max="5642" width="11.7109375" style="325" customWidth="1"/>
    <col min="5643" max="5643" width="12.28515625" style="325" customWidth="1"/>
    <col min="5644" max="5644" width="9.7109375" style="325" customWidth="1"/>
    <col min="5645" max="5645" width="12.85546875" style="325" customWidth="1"/>
    <col min="5646" max="5646" width="9.28515625" style="325" customWidth="1"/>
    <col min="5647" max="5878" width="9.140625" style="325"/>
    <col min="5879" max="5879" width="6.7109375" style="325" customWidth="1"/>
    <col min="5880" max="5880" width="7.85546875" style="325" customWidth="1"/>
    <col min="5881" max="5881" width="12.140625" style="325" customWidth="1"/>
    <col min="5882" max="5882" width="10.28515625" style="325" customWidth="1"/>
    <col min="5883" max="5883" width="8.28515625" style="325" customWidth="1"/>
    <col min="5884" max="5884" width="8.7109375" style="325" customWidth="1"/>
    <col min="5885" max="5885" width="9.85546875" style="325" customWidth="1"/>
    <col min="5886" max="5886" width="8.85546875" style="325" customWidth="1"/>
    <col min="5887" max="5887" width="8.7109375" style="325" customWidth="1"/>
    <col min="5888" max="5888" width="9.28515625" style="325" customWidth="1"/>
    <col min="5889" max="5889" width="8.85546875" style="325" customWidth="1"/>
    <col min="5890" max="5890" width="8.7109375" style="325" customWidth="1"/>
    <col min="5891" max="5891" width="9.5703125" style="325" customWidth="1"/>
    <col min="5892" max="5892" width="8.85546875" style="325" customWidth="1"/>
    <col min="5893" max="5893" width="11.140625" style="325" customWidth="1"/>
    <col min="5894" max="5894" width="10.140625" style="325" customWidth="1"/>
    <col min="5895" max="5895" width="13.7109375" style="325" customWidth="1"/>
    <col min="5896" max="5896" width="10.140625" style="325" customWidth="1"/>
    <col min="5897" max="5897" width="11" style="325" customWidth="1"/>
    <col min="5898" max="5898" width="11.7109375" style="325" customWidth="1"/>
    <col min="5899" max="5899" width="12.28515625" style="325" customWidth="1"/>
    <col min="5900" max="5900" width="9.7109375" style="325" customWidth="1"/>
    <col min="5901" max="5901" width="12.85546875" style="325" customWidth="1"/>
    <col min="5902" max="5902" width="9.28515625" style="325" customWidth="1"/>
    <col min="5903" max="6134" width="9.140625" style="325"/>
    <col min="6135" max="6135" width="6.7109375" style="325" customWidth="1"/>
    <col min="6136" max="6136" width="7.85546875" style="325" customWidth="1"/>
    <col min="6137" max="6137" width="12.140625" style="325" customWidth="1"/>
    <col min="6138" max="6138" width="10.28515625" style="325" customWidth="1"/>
    <col min="6139" max="6139" width="8.28515625" style="325" customWidth="1"/>
    <col min="6140" max="6140" width="8.7109375" style="325" customWidth="1"/>
    <col min="6141" max="6141" width="9.85546875" style="325" customWidth="1"/>
    <col min="6142" max="6142" width="8.85546875" style="325" customWidth="1"/>
    <col min="6143" max="6143" width="8.7109375" style="325" customWidth="1"/>
    <col min="6144" max="6144" width="9.28515625" style="325" customWidth="1"/>
    <col min="6145" max="6145" width="8.85546875" style="325" customWidth="1"/>
    <col min="6146" max="6146" width="8.7109375" style="325" customWidth="1"/>
    <col min="6147" max="6147" width="9.5703125" style="325" customWidth="1"/>
    <col min="6148" max="6148" width="8.85546875" style="325" customWidth="1"/>
    <col min="6149" max="6149" width="11.140625" style="325" customWidth="1"/>
    <col min="6150" max="6150" width="10.140625" style="325" customWidth="1"/>
    <col min="6151" max="6151" width="13.7109375" style="325" customWidth="1"/>
    <col min="6152" max="6152" width="10.140625" style="325" customWidth="1"/>
    <col min="6153" max="6153" width="11" style="325" customWidth="1"/>
    <col min="6154" max="6154" width="11.7109375" style="325" customWidth="1"/>
    <col min="6155" max="6155" width="12.28515625" style="325" customWidth="1"/>
    <col min="6156" max="6156" width="9.7109375" style="325" customWidth="1"/>
    <col min="6157" max="6157" width="12.85546875" style="325" customWidth="1"/>
    <col min="6158" max="6158" width="9.28515625" style="325" customWidth="1"/>
    <col min="6159" max="6390" width="9.140625" style="325"/>
    <col min="6391" max="6391" width="6.7109375" style="325" customWidth="1"/>
    <col min="6392" max="6392" width="7.85546875" style="325" customWidth="1"/>
    <col min="6393" max="6393" width="12.140625" style="325" customWidth="1"/>
    <col min="6394" max="6394" width="10.28515625" style="325" customWidth="1"/>
    <col min="6395" max="6395" width="8.28515625" style="325" customWidth="1"/>
    <col min="6396" max="6396" width="8.7109375" style="325" customWidth="1"/>
    <col min="6397" max="6397" width="9.85546875" style="325" customWidth="1"/>
    <col min="6398" max="6398" width="8.85546875" style="325" customWidth="1"/>
    <col min="6399" max="6399" width="8.7109375" style="325" customWidth="1"/>
    <col min="6400" max="6400" width="9.28515625" style="325" customWidth="1"/>
    <col min="6401" max="6401" width="8.85546875" style="325" customWidth="1"/>
    <col min="6402" max="6402" width="8.7109375" style="325" customWidth="1"/>
    <col min="6403" max="6403" width="9.5703125" style="325" customWidth="1"/>
    <col min="6404" max="6404" width="8.85546875" style="325" customWidth="1"/>
    <col min="6405" max="6405" width="11.140625" style="325" customWidth="1"/>
    <col min="6406" max="6406" width="10.140625" style="325" customWidth="1"/>
    <col min="6407" max="6407" width="13.7109375" style="325" customWidth="1"/>
    <col min="6408" max="6408" width="10.140625" style="325" customWidth="1"/>
    <col min="6409" max="6409" width="11" style="325" customWidth="1"/>
    <col min="6410" max="6410" width="11.7109375" style="325" customWidth="1"/>
    <col min="6411" max="6411" width="12.28515625" style="325" customWidth="1"/>
    <col min="6412" max="6412" width="9.7109375" style="325" customWidth="1"/>
    <col min="6413" max="6413" width="12.85546875" style="325" customWidth="1"/>
    <col min="6414" max="6414" width="9.28515625" style="325" customWidth="1"/>
    <col min="6415" max="6646" width="9.140625" style="325"/>
    <col min="6647" max="6647" width="6.7109375" style="325" customWidth="1"/>
    <col min="6648" max="6648" width="7.85546875" style="325" customWidth="1"/>
    <col min="6649" max="6649" width="12.140625" style="325" customWidth="1"/>
    <col min="6650" max="6650" width="10.28515625" style="325" customWidth="1"/>
    <col min="6651" max="6651" width="8.28515625" style="325" customWidth="1"/>
    <col min="6652" max="6652" width="8.7109375" style="325" customWidth="1"/>
    <col min="6653" max="6653" width="9.85546875" style="325" customWidth="1"/>
    <col min="6654" max="6654" width="8.85546875" style="325" customWidth="1"/>
    <col min="6655" max="6655" width="8.7109375" style="325" customWidth="1"/>
    <col min="6656" max="6656" width="9.28515625" style="325" customWidth="1"/>
    <col min="6657" max="6657" width="8.85546875" style="325" customWidth="1"/>
    <col min="6658" max="6658" width="8.7109375" style="325" customWidth="1"/>
    <col min="6659" max="6659" width="9.5703125" style="325" customWidth="1"/>
    <col min="6660" max="6660" width="8.85546875" style="325" customWidth="1"/>
    <col min="6661" max="6661" width="11.140625" style="325" customWidth="1"/>
    <col min="6662" max="6662" width="10.140625" style="325" customWidth="1"/>
    <col min="6663" max="6663" width="13.7109375" style="325" customWidth="1"/>
    <col min="6664" max="6664" width="10.140625" style="325" customWidth="1"/>
    <col min="6665" max="6665" width="11" style="325" customWidth="1"/>
    <col min="6666" max="6666" width="11.7109375" style="325" customWidth="1"/>
    <col min="6667" max="6667" width="12.28515625" style="325" customWidth="1"/>
    <col min="6668" max="6668" width="9.7109375" style="325" customWidth="1"/>
    <col min="6669" max="6669" width="12.85546875" style="325" customWidth="1"/>
    <col min="6670" max="6670" width="9.28515625" style="325" customWidth="1"/>
    <col min="6671" max="6902" width="9.140625" style="325"/>
    <col min="6903" max="6903" width="6.7109375" style="325" customWidth="1"/>
    <col min="6904" max="6904" width="7.85546875" style="325" customWidth="1"/>
    <col min="6905" max="6905" width="12.140625" style="325" customWidth="1"/>
    <col min="6906" max="6906" width="10.28515625" style="325" customWidth="1"/>
    <col min="6907" max="6907" width="8.28515625" style="325" customWidth="1"/>
    <col min="6908" max="6908" width="8.7109375" style="325" customWidth="1"/>
    <col min="6909" max="6909" width="9.85546875" style="325" customWidth="1"/>
    <col min="6910" max="6910" width="8.85546875" style="325" customWidth="1"/>
    <col min="6911" max="6911" width="8.7109375" style="325" customWidth="1"/>
    <col min="6912" max="6912" width="9.28515625" style="325" customWidth="1"/>
    <col min="6913" max="6913" width="8.85546875" style="325" customWidth="1"/>
    <col min="6914" max="6914" width="8.7109375" style="325" customWidth="1"/>
    <col min="6915" max="6915" width="9.5703125" style="325" customWidth="1"/>
    <col min="6916" max="6916" width="8.85546875" style="325" customWidth="1"/>
    <col min="6917" max="6917" width="11.140625" style="325" customWidth="1"/>
    <col min="6918" max="6918" width="10.140625" style="325" customWidth="1"/>
    <col min="6919" max="6919" width="13.7109375" style="325" customWidth="1"/>
    <col min="6920" max="6920" width="10.140625" style="325" customWidth="1"/>
    <col min="6921" max="6921" width="11" style="325" customWidth="1"/>
    <col min="6922" max="6922" width="11.7109375" style="325" customWidth="1"/>
    <col min="6923" max="6923" width="12.28515625" style="325" customWidth="1"/>
    <col min="6924" max="6924" width="9.7109375" style="325" customWidth="1"/>
    <col min="6925" max="6925" width="12.85546875" style="325" customWidth="1"/>
    <col min="6926" max="6926" width="9.28515625" style="325" customWidth="1"/>
    <col min="6927" max="7158" width="9.140625" style="325"/>
    <col min="7159" max="7159" width="6.7109375" style="325" customWidth="1"/>
    <col min="7160" max="7160" width="7.85546875" style="325" customWidth="1"/>
    <col min="7161" max="7161" width="12.140625" style="325" customWidth="1"/>
    <col min="7162" max="7162" width="10.28515625" style="325" customWidth="1"/>
    <col min="7163" max="7163" width="8.28515625" style="325" customWidth="1"/>
    <col min="7164" max="7164" width="8.7109375" style="325" customWidth="1"/>
    <col min="7165" max="7165" width="9.85546875" style="325" customWidth="1"/>
    <col min="7166" max="7166" width="8.85546875" style="325" customWidth="1"/>
    <col min="7167" max="7167" width="8.7109375" style="325" customWidth="1"/>
    <col min="7168" max="7168" width="9.28515625" style="325" customWidth="1"/>
    <col min="7169" max="7169" width="8.85546875" style="325" customWidth="1"/>
    <col min="7170" max="7170" width="8.7109375" style="325" customWidth="1"/>
    <col min="7171" max="7171" width="9.5703125" style="325" customWidth="1"/>
    <col min="7172" max="7172" width="8.85546875" style="325" customWidth="1"/>
    <col min="7173" max="7173" width="11.140625" style="325" customWidth="1"/>
    <col min="7174" max="7174" width="10.140625" style="325" customWidth="1"/>
    <col min="7175" max="7175" width="13.7109375" style="325" customWidth="1"/>
    <col min="7176" max="7176" width="10.140625" style="325" customWidth="1"/>
    <col min="7177" max="7177" width="11" style="325" customWidth="1"/>
    <col min="7178" max="7178" width="11.7109375" style="325" customWidth="1"/>
    <col min="7179" max="7179" width="12.28515625" style="325" customWidth="1"/>
    <col min="7180" max="7180" width="9.7109375" style="325" customWidth="1"/>
    <col min="7181" max="7181" width="12.85546875" style="325" customWidth="1"/>
    <col min="7182" max="7182" width="9.28515625" style="325" customWidth="1"/>
    <col min="7183" max="7414" width="9.140625" style="325"/>
    <col min="7415" max="7415" width="6.7109375" style="325" customWidth="1"/>
    <col min="7416" max="7416" width="7.85546875" style="325" customWidth="1"/>
    <col min="7417" max="7417" width="12.140625" style="325" customWidth="1"/>
    <col min="7418" max="7418" width="10.28515625" style="325" customWidth="1"/>
    <col min="7419" max="7419" width="8.28515625" style="325" customWidth="1"/>
    <col min="7420" max="7420" width="8.7109375" style="325" customWidth="1"/>
    <col min="7421" max="7421" width="9.85546875" style="325" customWidth="1"/>
    <col min="7422" max="7422" width="8.85546875" style="325" customWidth="1"/>
    <col min="7423" max="7423" width="8.7109375" style="325" customWidth="1"/>
    <col min="7424" max="7424" width="9.28515625" style="325" customWidth="1"/>
    <col min="7425" max="7425" width="8.85546875" style="325" customWidth="1"/>
    <col min="7426" max="7426" width="8.7109375" style="325" customWidth="1"/>
    <col min="7427" max="7427" width="9.5703125" style="325" customWidth="1"/>
    <col min="7428" max="7428" width="8.85546875" style="325" customWidth="1"/>
    <col min="7429" max="7429" width="11.140625" style="325" customWidth="1"/>
    <col min="7430" max="7430" width="10.140625" style="325" customWidth="1"/>
    <col min="7431" max="7431" width="13.7109375" style="325" customWidth="1"/>
    <col min="7432" max="7432" width="10.140625" style="325" customWidth="1"/>
    <col min="7433" max="7433" width="11" style="325" customWidth="1"/>
    <col min="7434" max="7434" width="11.7109375" style="325" customWidth="1"/>
    <col min="7435" max="7435" width="12.28515625" style="325" customWidth="1"/>
    <col min="7436" max="7436" width="9.7109375" style="325" customWidth="1"/>
    <col min="7437" max="7437" width="12.85546875" style="325" customWidth="1"/>
    <col min="7438" max="7438" width="9.28515625" style="325" customWidth="1"/>
    <col min="7439" max="7670" width="9.140625" style="325"/>
    <col min="7671" max="7671" width="6.7109375" style="325" customWidth="1"/>
    <col min="7672" max="7672" width="7.85546875" style="325" customWidth="1"/>
    <col min="7673" max="7673" width="12.140625" style="325" customWidth="1"/>
    <col min="7674" max="7674" width="10.28515625" style="325" customWidth="1"/>
    <col min="7675" max="7675" width="8.28515625" style="325" customWidth="1"/>
    <col min="7676" max="7676" width="8.7109375" style="325" customWidth="1"/>
    <col min="7677" max="7677" width="9.85546875" style="325" customWidth="1"/>
    <col min="7678" max="7678" width="8.85546875" style="325" customWidth="1"/>
    <col min="7679" max="7679" width="8.7109375" style="325" customWidth="1"/>
    <col min="7680" max="7680" width="9.28515625" style="325" customWidth="1"/>
    <col min="7681" max="7681" width="8.85546875" style="325" customWidth="1"/>
    <col min="7682" max="7682" width="8.7109375" style="325" customWidth="1"/>
    <col min="7683" max="7683" width="9.5703125" style="325" customWidth="1"/>
    <col min="7684" max="7684" width="8.85546875" style="325" customWidth="1"/>
    <col min="7685" max="7685" width="11.140625" style="325" customWidth="1"/>
    <col min="7686" max="7686" width="10.140625" style="325" customWidth="1"/>
    <col min="7687" max="7687" width="13.7109375" style="325" customWidth="1"/>
    <col min="7688" max="7688" width="10.140625" style="325" customWidth="1"/>
    <col min="7689" max="7689" width="11" style="325" customWidth="1"/>
    <col min="7690" max="7690" width="11.7109375" style="325" customWidth="1"/>
    <col min="7691" max="7691" width="12.28515625" style="325" customWidth="1"/>
    <col min="7692" max="7692" width="9.7109375" style="325" customWidth="1"/>
    <col min="7693" max="7693" width="12.85546875" style="325" customWidth="1"/>
    <col min="7694" max="7694" width="9.28515625" style="325" customWidth="1"/>
    <col min="7695" max="7926" width="9.140625" style="325"/>
    <col min="7927" max="7927" width="6.7109375" style="325" customWidth="1"/>
    <col min="7928" max="7928" width="7.85546875" style="325" customWidth="1"/>
    <col min="7929" max="7929" width="12.140625" style="325" customWidth="1"/>
    <col min="7930" max="7930" width="10.28515625" style="325" customWidth="1"/>
    <col min="7931" max="7931" width="8.28515625" style="325" customWidth="1"/>
    <col min="7932" max="7932" width="8.7109375" style="325" customWidth="1"/>
    <col min="7933" max="7933" width="9.85546875" style="325" customWidth="1"/>
    <col min="7934" max="7934" width="8.85546875" style="325" customWidth="1"/>
    <col min="7935" max="7935" width="8.7109375" style="325" customWidth="1"/>
    <col min="7936" max="7936" width="9.28515625" style="325" customWidth="1"/>
    <col min="7937" max="7937" width="8.85546875" style="325" customWidth="1"/>
    <col min="7938" max="7938" width="8.7109375" style="325" customWidth="1"/>
    <col min="7939" max="7939" width="9.5703125" style="325" customWidth="1"/>
    <col min="7940" max="7940" width="8.85546875" style="325" customWidth="1"/>
    <col min="7941" max="7941" width="11.140625" style="325" customWidth="1"/>
    <col min="7942" max="7942" width="10.140625" style="325" customWidth="1"/>
    <col min="7943" max="7943" width="13.7109375" style="325" customWidth="1"/>
    <col min="7944" max="7944" width="10.140625" style="325" customWidth="1"/>
    <col min="7945" max="7945" width="11" style="325" customWidth="1"/>
    <col min="7946" max="7946" width="11.7109375" style="325" customWidth="1"/>
    <col min="7947" max="7947" width="12.28515625" style="325" customWidth="1"/>
    <col min="7948" max="7948" width="9.7109375" style="325" customWidth="1"/>
    <col min="7949" max="7949" width="12.85546875" style="325" customWidth="1"/>
    <col min="7950" max="7950" width="9.28515625" style="325" customWidth="1"/>
    <col min="7951" max="8182" width="9.140625" style="325"/>
    <col min="8183" max="8183" width="6.7109375" style="325" customWidth="1"/>
    <col min="8184" max="8184" width="7.85546875" style="325" customWidth="1"/>
    <col min="8185" max="8185" width="12.140625" style="325" customWidth="1"/>
    <col min="8186" max="8186" width="10.28515625" style="325" customWidth="1"/>
    <col min="8187" max="8187" width="8.28515625" style="325" customWidth="1"/>
    <col min="8188" max="8188" width="8.7109375" style="325" customWidth="1"/>
    <col min="8189" max="8189" width="9.85546875" style="325" customWidth="1"/>
    <col min="8190" max="8190" width="8.85546875" style="325" customWidth="1"/>
    <col min="8191" max="8191" width="8.7109375" style="325" customWidth="1"/>
    <col min="8192" max="8192" width="9.28515625" style="325" customWidth="1"/>
    <col min="8193" max="8193" width="8.85546875" style="325" customWidth="1"/>
    <col min="8194" max="8194" width="8.7109375" style="325" customWidth="1"/>
    <col min="8195" max="8195" width="9.5703125" style="325" customWidth="1"/>
    <col min="8196" max="8196" width="8.85546875" style="325" customWidth="1"/>
    <col min="8197" max="8197" width="11.140625" style="325" customWidth="1"/>
    <col min="8198" max="8198" width="10.140625" style="325" customWidth="1"/>
    <col min="8199" max="8199" width="13.7109375" style="325" customWidth="1"/>
    <col min="8200" max="8200" width="10.140625" style="325" customWidth="1"/>
    <col min="8201" max="8201" width="11" style="325" customWidth="1"/>
    <col min="8202" max="8202" width="11.7109375" style="325" customWidth="1"/>
    <col min="8203" max="8203" width="12.28515625" style="325" customWidth="1"/>
    <col min="8204" max="8204" width="9.7109375" style="325" customWidth="1"/>
    <col min="8205" max="8205" width="12.85546875" style="325" customWidth="1"/>
    <col min="8206" max="8206" width="9.28515625" style="325" customWidth="1"/>
    <col min="8207" max="8438" width="9.140625" style="325"/>
    <col min="8439" max="8439" width="6.7109375" style="325" customWidth="1"/>
    <col min="8440" max="8440" width="7.85546875" style="325" customWidth="1"/>
    <col min="8441" max="8441" width="12.140625" style="325" customWidth="1"/>
    <col min="8442" max="8442" width="10.28515625" style="325" customWidth="1"/>
    <col min="8443" max="8443" width="8.28515625" style="325" customWidth="1"/>
    <col min="8444" max="8444" width="8.7109375" style="325" customWidth="1"/>
    <col min="8445" max="8445" width="9.85546875" style="325" customWidth="1"/>
    <col min="8446" max="8446" width="8.85546875" style="325" customWidth="1"/>
    <col min="8447" max="8447" width="8.7109375" style="325" customWidth="1"/>
    <col min="8448" max="8448" width="9.28515625" style="325" customWidth="1"/>
    <col min="8449" max="8449" width="8.85546875" style="325" customWidth="1"/>
    <col min="8450" max="8450" width="8.7109375" style="325" customWidth="1"/>
    <col min="8451" max="8451" width="9.5703125" style="325" customWidth="1"/>
    <col min="8452" max="8452" width="8.85546875" style="325" customWidth="1"/>
    <col min="8453" max="8453" width="11.140625" style="325" customWidth="1"/>
    <col min="8454" max="8454" width="10.140625" style="325" customWidth="1"/>
    <col min="8455" max="8455" width="13.7109375" style="325" customWidth="1"/>
    <col min="8456" max="8456" width="10.140625" style="325" customWidth="1"/>
    <col min="8457" max="8457" width="11" style="325" customWidth="1"/>
    <col min="8458" max="8458" width="11.7109375" style="325" customWidth="1"/>
    <col min="8459" max="8459" width="12.28515625" style="325" customWidth="1"/>
    <col min="8460" max="8460" width="9.7109375" style="325" customWidth="1"/>
    <col min="8461" max="8461" width="12.85546875" style="325" customWidth="1"/>
    <col min="8462" max="8462" width="9.28515625" style="325" customWidth="1"/>
    <col min="8463" max="8694" width="9.140625" style="325"/>
    <col min="8695" max="8695" width="6.7109375" style="325" customWidth="1"/>
    <col min="8696" max="8696" width="7.85546875" style="325" customWidth="1"/>
    <col min="8697" max="8697" width="12.140625" style="325" customWidth="1"/>
    <col min="8698" max="8698" width="10.28515625" style="325" customWidth="1"/>
    <col min="8699" max="8699" width="8.28515625" style="325" customWidth="1"/>
    <col min="8700" max="8700" width="8.7109375" style="325" customWidth="1"/>
    <col min="8701" max="8701" width="9.85546875" style="325" customWidth="1"/>
    <col min="8702" max="8702" width="8.85546875" style="325" customWidth="1"/>
    <col min="8703" max="8703" width="8.7109375" style="325" customWidth="1"/>
    <col min="8704" max="8704" width="9.28515625" style="325" customWidth="1"/>
    <col min="8705" max="8705" width="8.85546875" style="325" customWidth="1"/>
    <col min="8706" max="8706" width="8.7109375" style="325" customWidth="1"/>
    <col min="8707" max="8707" width="9.5703125" style="325" customWidth="1"/>
    <col min="8708" max="8708" width="8.85546875" style="325" customWidth="1"/>
    <col min="8709" max="8709" width="11.140625" style="325" customWidth="1"/>
    <col min="8710" max="8710" width="10.140625" style="325" customWidth="1"/>
    <col min="8711" max="8711" width="13.7109375" style="325" customWidth="1"/>
    <col min="8712" max="8712" width="10.140625" style="325" customWidth="1"/>
    <col min="8713" max="8713" width="11" style="325" customWidth="1"/>
    <col min="8714" max="8714" width="11.7109375" style="325" customWidth="1"/>
    <col min="8715" max="8715" width="12.28515625" style="325" customWidth="1"/>
    <col min="8716" max="8716" width="9.7109375" style="325" customWidth="1"/>
    <col min="8717" max="8717" width="12.85546875" style="325" customWidth="1"/>
    <col min="8718" max="8718" width="9.28515625" style="325" customWidth="1"/>
    <col min="8719" max="8950" width="9.140625" style="325"/>
    <col min="8951" max="8951" width="6.7109375" style="325" customWidth="1"/>
    <col min="8952" max="8952" width="7.85546875" style="325" customWidth="1"/>
    <col min="8953" max="8953" width="12.140625" style="325" customWidth="1"/>
    <col min="8954" max="8954" width="10.28515625" style="325" customWidth="1"/>
    <col min="8955" max="8955" width="8.28515625" style="325" customWidth="1"/>
    <col min="8956" max="8956" width="8.7109375" style="325" customWidth="1"/>
    <col min="8957" max="8957" width="9.85546875" style="325" customWidth="1"/>
    <col min="8958" max="8958" width="8.85546875" style="325" customWidth="1"/>
    <col min="8959" max="8959" width="8.7109375" style="325" customWidth="1"/>
    <col min="8960" max="8960" width="9.28515625" style="325" customWidth="1"/>
    <col min="8961" max="8961" width="8.85546875" style="325" customWidth="1"/>
    <col min="8962" max="8962" width="8.7109375" style="325" customWidth="1"/>
    <col min="8963" max="8963" width="9.5703125" style="325" customWidth="1"/>
    <col min="8964" max="8964" width="8.85546875" style="325" customWidth="1"/>
    <col min="8965" max="8965" width="11.140625" style="325" customWidth="1"/>
    <col min="8966" max="8966" width="10.140625" style="325" customWidth="1"/>
    <col min="8967" max="8967" width="13.7109375" style="325" customWidth="1"/>
    <col min="8968" max="8968" width="10.140625" style="325" customWidth="1"/>
    <col min="8969" max="8969" width="11" style="325" customWidth="1"/>
    <col min="8970" max="8970" width="11.7109375" style="325" customWidth="1"/>
    <col min="8971" max="8971" width="12.28515625" style="325" customWidth="1"/>
    <col min="8972" max="8972" width="9.7109375" style="325" customWidth="1"/>
    <col min="8973" max="8973" width="12.85546875" style="325" customWidth="1"/>
    <col min="8974" max="8974" width="9.28515625" style="325" customWidth="1"/>
    <col min="8975" max="9206" width="9.140625" style="325"/>
    <col min="9207" max="9207" width="6.7109375" style="325" customWidth="1"/>
    <col min="9208" max="9208" width="7.85546875" style="325" customWidth="1"/>
    <col min="9209" max="9209" width="12.140625" style="325" customWidth="1"/>
    <col min="9210" max="9210" width="10.28515625" style="325" customWidth="1"/>
    <col min="9211" max="9211" width="8.28515625" style="325" customWidth="1"/>
    <col min="9212" max="9212" width="8.7109375" style="325" customWidth="1"/>
    <col min="9213" max="9213" width="9.85546875" style="325" customWidth="1"/>
    <col min="9214" max="9214" width="8.85546875" style="325" customWidth="1"/>
    <col min="9215" max="9215" width="8.7109375" style="325" customWidth="1"/>
    <col min="9216" max="9216" width="9.28515625" style="325" customWidth="1"/>
    <col min="9217" max="9217" width="8.85546875" style="325" customWidth="1"/>
    <col min="9218" max="9218" width="8.7109375" style="325" customWidth="1"/>
    <col min="9219" max="9219" width="9.5703125" style="325" customWidth="1"/>
    <col min="9220" max="9220" width="8.85546875" style="325" customWidth="1"/>
    <col min="9221" max="9221" width="11.140625" style="325" customWidth="1"/>
    <col min="9222" max="9222" width="10.140625" style="325" customWidth="1"/>
    <col min="9223" max="9223" width="13.7109375" style="325" customWidth="1"/>
    <col min="9224" max="9224" width="10.140625" style="325" customWidth="1"/>
    <col min="9225" max="9225" width="11" style="325" customWidth="1"/>
    <col min="9226" max="9226" width="11.7109375" style="325" customWidth="1"/>
    <col min="9227" max="9227" width="12.28515625" style="325" customWidth="1"/>
    <col min="9228" max="9228" width="9.7109375" style="325" customWidth="1"/>
    <col min="9229" max="9229" width="12.85546875" style="325" customWidth="1"/>
    <col min="9230" max="9230" width="9.28515625" style="325" customWidth="1"/>
    <col min="9231" max="9462" width="9.140625" style="325"/>
    <col min="9463" max="9463" width="6.7109375" style="325" customWidth="1"/>
    <col min="9464" max="9464" width="7.85546875" style="325" customWidth="1"/>
    <col min="9465" max="9465" width="12.140625" style="325" customWidth="1"/>
    <col min="9466" max="9466" width="10.28515625" style="325" customWidth="1"/>
    <col min="9467" max="9467" width="8.28515625" style="325" customWidth="1"/>
    <col min="9468" max="9468" width="8.7109375" style="325" customWidth="1"/>
    <col min="9469" max="9469" width="9.85546875" style="325" customWidth="1"/>
    <col min="9470" max="9470" width="8.85546875" style="325" customWidth="1"/>
    <col min="9471" max="9471" width="8.7109375" style="325" customWidth="1"/>
    <col min="9472" max="9472" width="9.28515625" style="325" customWidth="1"/>
    <col min="9473" max="9473" width="8.85546875" style="325" customWidth="1"/>
    <col min="9474" max="9474" width="8.7109375" style="325" customWidth="1"/>
    <col min="9475" max="9475" width="9.5703125" style="325" customWidth="1"/>
    <col min="9476" max="9476" width="8.85546875" style="325" customWidth="1"/>
    <col min="9477" max="9477" width="11.140625" style="325" customWidth="1"/>
    <col min="9478" max="9478" width="10.140625" style="325" customWidth="1"/>
    <col min="9479" max="9479" width="13.7109375" style="325" customWidth="1"/>
    <col min="9480" max="9480" width="10.140625" style="325" customWidth="1"/>
    <col min="9481" max="9481" width="11" style="325" customWidth="1"/>
    <col min="9482" max="9482" width="11.7109375" style="325" customWidth="1"/>
    <col min="9483" max="9483" width="12.28515625" style="325" customWidth="1"/>
    <col min="9484" max="9484" width="9.7109375" style="325" customWidth="1"/>
    <col min="9485" max="9485" width="12.85546875" style="325" customWidth="1"/>
    <col min="9486" max="9486" width="9.28515625" style="325" customWidth="1"/>
    <col min="9487" max="9718" width="9.140625" style="325"/>
    <col min="9719" max="9719" width="6.7109375" style="325" customWidth="1"/>
    <col min="9720" max="9720" width="7.85546875" style="325" customWidth="1"/>
    <col min="9721" max="9721" width="12.140625" style="325" customWidth="1"/>
    <col min="9722" max="9722" width="10.28515625" style="325" customWidth="1"/>
    <col min="9723" max="9723" width="8.28515625" style="325" customWidth="1"/>
    <col min="9724" max="9724" width="8.7109375" style="325" customWidth="1"/>
    <col min="9725" max="9725" width="9.85546875" style="325" customWidth="1"/>
    <col min="9726" max="9726" width="8.85546875" style="325" customWidth="1"/>
    <col min="9727" max="9727" width="8.7109375" style="325" customWidth="1"/>
    <col min="9728" max="9728" width="9.28515625" style="325" customWidth="1"/>
    <col min="9729" max="9729" width="8.85546875" style="325" customWidth="1"/>
    <col min="9730" max="9730" width="8.7109375" style="325" customWidth="1"/>
    <col min="9731" max="9731" width="9.5703125" style="325" customWidth="1"/>
    <col min="9732" max="9732" width="8.85546875" style="325" customWidth="1"/>
    <col min="9733" max="9733" width="11.140625" style="325" customWidth="1"/>
    <col min="9734" max="9734" width="10.140625" style="325" customWidth="1"/>
    <col min="9735" max="9735" width="13.7109375" style="325" customWidth="1"/>
    <col min="9736" max="9736" width="10.140625" style="325" customWidth="1"/>
    <col min="9737" max="9737" width="11" style="325" customWidth="1"/>
    <col min="9738" max="9738" width="11.7109375" style="325" customWidth="1"/>
    <col min="9739" max="9739" width="12.28515625" style="325" customWidth="1"/>
    <col min="9740" max="9740" width="9.7109375" style="325" customWidth="1"/>
    <col min="9741" max="9741" width="12.85546875" style="325" customWidth="1"/>
    <col min="9742" max="9742" width="9.28515625" style="325" customWidth="1"/>
    <col min="9743" max="9974" width="9.140625" style="325"/>
    <col min="9975" max="9975" width="6.7109375" style="325" customWidth="1"/>
    <col min="9976" max="9976" width="7.85546875" style="325" customWidth="1"/>
    <col min="9977" max="9977" width="12.140625" style="325" customWidth="1"/>
    <col min="9978" max="9978" width="10.28515625" style="325" customWidth="1"/>
    <col min="9979" max="9979" width="8.28515625" style="325" customWidth="1"/>
    <col min="9980" max="9980" width="8.7109375" style="325" customWidth="1"/>
    <col min="9981" max="9981" width="9.85546875" style="325" customWidth="1"/>
    <col min="9982" max="9982" width="8.85546875" style="325" customWidth="1"/>
    <col min="9983" max="9983" width="8.7109375" style="325" customWidth="1"/>
    <col min="9984" max="9984" width="9.28515625" style="325" customWidth="1"/>
    <col min="9985" max="9985" width="8.85546875" style="325" customWidth="1"/>
    <col min="9986" max="9986" width="8.7109375" style="325" customWidth="1"/>
    <col min="9987" max="9987" width="9.5703125" style="325" customWidth="1"/>
    <col min="9988" max="9988" width="8.85546875" style="325" customWidth="1"/>
    <col min="9989" max="9989" width="11.140625" style="325" customWidth="1"/>
    <col min="9990" max="9990" width="10.140625" style="325" customWidth="1"/>
    <col min="9991" max="9991" width="13.7109375" style="325" customWidth="1"/>
    <col min="9992" max="9992" width="10.140625" style="325" customWidth="1"/>
    <col min="9993" max="9993" width="11" style="325" customWidth="1"/>
    <col min="9994" max="9994" width="11.7109375" style="325" customWidth="1"/>
    <col min="9995" max="9995" width="12.28515625" style="325" customWidth="1"/>
    <col min="9996" max="9996" width="9.7109375" style="325" customWidth="1"/>
    <col min="9997" max="9997" width="12.85546875" style="325" customWidth="1"/>
    <col min="9998" max="9998" width="9.28515625" style="325" customWidth="1"/>
    <col min="9999" max="10230" width="9.140625" style="325"/>
    <col min="10231" max="10231" width="6.7109375" style="325" customWidth="1"/>
    <col min="10232" max="10232" width="7.85546875" style="325" customWidth="1"/>
    <col min="10233" max="10233" width="12.140625" style="325" customWidth="1"/>
    <col min="10234" max="10234" width="10.28515625" style="325" customWidth="1"/>
    <col min="10235" max="10235" width="8.28515625" style="325" customWidth="1"/>
    <col min="10236" max="10236" width="8.7109375" style="325" customWidth="1"/>
    <col min="10237" max="10237" width="9.85546875" style="325" customWidth="1"/>
    <col min="10238" max="10238" width="8.85546875" style="325" customWidth="1"/>
    <col min="10239" max="10239" width="8.7109375" style="325" customWidth="1"/>
    <col min="10240" max="10240" width="9.28515625" style="325" customWidth="1"/>
    <col min="10241" max="10241" width="8.85546875" style="325" customWidth="1"/>
    <col min="10242" max="10242" width="8.7109375" style="325" customWidth="1"/>
    <col min="10243" max="10243" width="9.5703125" style="325" customWidth="1"/>
    <col min="10244" max="10244" width="8.85546875" style="325" customWidth="1"/>
    <col min="10245" max="10245" width="11.140625" style="325" customWidth="1"/>
    <col min="10246" max="10246" width="10.140625" style="325" customWidth="1"/>
    <col min="10247" max="10247" width="13.7109375" style="325" customWidth="1"/>
    <col min="10248" max="10248" width="10.140625" style="325" customWidth="1"/>
    <col min="10249" max="10249" width="11" style="325" customWidth="1"/>
    <col min="10250" max="10250" width="11.7109375" style="325" customWidth="1"/>
    <col min="10251" max="10251" width="12.28515625" style="325" customWidth="1"/>
    <col min="10252" max="10252" width="9.7109375" style="325" customWidth="1"/>
    <col min="10253" max="10253" width="12.85546875" style="325" customWidth="1"/>
    <col min="10254" max="10254" width="9.28515625" style="325" customWidth="1"/>
    <col min="10255" max="10486" width="9.140625" style="325"/>
    <col min="10487" max="10487" width="6.7109375" style="325" customWidth="1"/>
    <col min="10488" max="10488" width="7.85546875" style="325" customWidth="1"/>
    <col min="10489" max="10489" width="12.140625" style="325" customWidth="1"/>
    <col min="10490" max="10490" width="10.28515625" style="325" customWidth="1"/>
    <col min="10491" max="10491" width="8.28515625" style="325" customWidth="1"/>
    <col min="10492" max="10492" width="8.7109375" style="325" customWidth="1"/>
    <col min="10493" max="10493" width="9.85546875" style="325" customWidth="1"/>
    <col min="10494" max="10494" width="8.85546875" style="325" customWidth="1"/>
    <col min="10495" max="10495" width="8.7109375" style="325" customWidth="1"/>
    <col min="10496" max="10496" width="9.28515625" style="325" customWidth="1"/>
    <col min="10497" max="10497" width="8.85546875" style="325" customWidth="1"/>
    <col min="10498" max="10498" width="8.7109375" style="325" customWidth="1"/>
    <col min="10499" max="10499" width="9.5703125" style="325" customWidth="1"/>
    <col min="10500" max="10500" width="8.85546875" style="325" customWidth="1"/>
    <col min="10501" max="10501" width="11.140625" style="325" customWidth="1"/>
    <col min="10502" max="10502" width="10.140625" style="325" customWidth="1"/>
    <col min="10503" max="10503" width="13.7109375" style="325" customWidth="1"/>
    <col min="10504" max="10504" width="10.140625" style="325" customWidth="1"/>
    <col min="10505" max="10505" width="11" style="325" customWidth="1"/>
    <col min="10506" max="10506" width="11.7109375" style="325" customWidth="1"/>
    <col min="10507" max="10507" width="12.28515625" style="325" customWidth="1"/>
    <col min="10508" max="10508" width="9.7109375" style="325" customWidth="1"/>
    <col min="10509" max="10509" width="12.85546875" style="325" customWidth="1"/>
    <col min="10510" max="10510" width="9.28515625" style="325" customWidth="1"/>
    <col min="10511" max="10742" width="9.140625" style="325"/>
    <col min="10743" max="10743" width="6.7109375" style="325" customWidth="1"/>
    <col min="10744" max="10744" width="7.85546875" style="325" customWidth="1"/>
    <col min="10745" max="10745" width="12.140625" style="325" customWidth="1"/>
    <col min="10746" max="10746" width="10.28515625" style="325" customWidth="1"/>
    <col min="10747" max="10747" width="8.28515625" style="325" customWidth="1"/>
    <col min="10748" max="10748" width="8.7109375" style="325" customWidth="1"/>
    <col min="10749" max="10749" width="9.85546875" style="325" customWidth="1"/>
    <col min="10750" max="10750" width="8.85546875" style="325" customWidth="1"/>
    <col min="10751" max="10751" width="8.7109375" style="325" customWidth="1"/>
    <col min="10752" max="10752" width="9.28515625" style="325" customWidth="1"/>
    <col min="10753" max="10753" width="8.85546875" style="325" customWidth="1"/>
    <col min="10754" max="10754" width="8.7109375" style="325" customWidth="1"/>
    <col min="10755" max="10755" width="9.5703125" style="325" customWidth="1"/>
    <col min="10756" max="10756" width="8.85546875" style="325" customWidth="1"/>
    <col min="10757" max="10757" width="11.140625" style="325" customWidth="1"/>
    <col min="10758" max="10758" width="10.140625" style="325" customWidth="1"/>
    <col min="10759" max="10759" width="13.7109375" style="325" customWidth="1"/>
    <col min="10760" max="10760" width="10.140625" style="325" customWidth="1"/>
    <col min="10761" max="10761" width="11" style="325" customWidth="1"/>
    <col min="10762" max="10762" width="11.7109375" style="325" customWidth="1"/>
    <col min="10763" max="10763" width="12.28515625" style="325" customWidth="1"/>
    <col min="10764" max="10764" width="9.7109375" style="325" customWidth="1"/>
    <col min="10765" max="10765" width="12.85546875" style="325" customWidth="1"/>
    <col min="10766" max="10766" width="9.28515625" style="325" customWidth="1"/>
    <col min="10767" max="10998" width="9.140625" style="325"/>
    <col min="10999" max="10999" width="6.7109375" style="325" customWidth="1"/>
    <col min="11000" max="11000" width="7.85546875" style="325" customWidth="1"/>
    <col min="11001" max="11001" width="12.140625" style="325" customWidth="1"/>
    <col min="11002" max="11002" width="10.28515625" style="325" customWidth="1"/>
    <col min="11003" max="11003" width="8.28515625" style="325" customWidth="1"/>
    <col min="11004" max="11004" width="8.7109375" style="325" customWidth="1"/>
    <col min="11005" max="11005" width="9.85546875" style="325" customWidth="1"/>
    <col min="11006" max="11006" width="8.85546875" style="325" customWidth="1"/>
    <col min="11007" max="11007" width="8.7109375" style="325" customWidth="1"/>
    <col min="11008" max="11008" width="9.28515625" style="325" customWidth="1"/>
    <col min="11009" max="11009" width="8.85546875" style="325" customWidth="1"/>
    <col min="11010" max="11010" width="8.7109375" style="325" customWidth="1"/>
    <col min="11011" max="11011" width="9.5703125" style="325" customWidth="1"/>
    <col min="11012" max="11012" width="8.85546875" style="325" customWidth="1"/>
    <col min="11013" max="11013" width="11.140625" style="325" customWidth="1"/>
    <col min="11014" max="11014" width="10.140625" style="325" customWidth="1"/>
    <col min="11015" max="11015" width="13.7109375" style="325" customWidth="1"/>
    <col min="11016" max="11016" width="10.140625" style="325" customWidth="1"/>
    <col min="11017" max="11017" width="11" style="325" customWidth="1"/>
    <col min="11018" max="11018" width="11.7109375" style="325" customWidth="1"/>
    <col min="11019" max="11019" width="12.28515625" style="325" customWidth="1"/>
    <col min="11020" max="11020" width="9.7109375" style="325" customWidth="1"/>
    <col min="11021" max="11021" width="12.85546875" style="325" customWidth="1"/>
    <col min="11022" max="11022" width="9.28515625" style="325" customWidth="1"/>
    <col min="11023" max="11254" width="9.140625" style="325"/>
    <col min="11255" max="11255" width="6.7109375" style="325" customWidth="1"/>
    <col min="11256" max="11256" width="7.85546875" style="325" customWidth="1"/>
    <col min="11257" max="11257" width="12.140625" style="325" customWidth="1"/>
    <col min="11258" max="11258" width="10.28515625" style="325" customWidth="1"/>
    <col min="11259" max="11259" width="8.28515625" style="325" customWidth="1"/>
    <col min="11260" max="11260" width="8.7109375" style="325" customWidth="1"/>
    <col min="11261" max="11261" width="9.85546875" style="325" customWidth="1"/>
    <col min="11262" max="11262" width="8.85546875" style="325" customWidth="1"/>
    <col min="11263" max="11263" width="8.7109375" style="325" customWidth="1"/>
    <col min="11264" max="11264" width="9.28515625" style="325" customWidth="1"/>
    <col min="11265" max="11265" width="8.85546875" style="325" customWidth="1"/>
    <col min="11266" max="11266" width="8.7109375" style="325" customWidth="1"/>
    <col min="11267" max="11267" width="9.5703125" style="325" customWidth="1"/>
    <col min="11268" max="11268" width="8.85546875" style="325" customWidth="1"/>
    <col min="11269" max="11269" width="11.140625" style="325" customWidth="1"/>
    <col min="11270" max="11270" width="10.140625" style="325" customWidth="1"/>
    <col min="11271" max="11271" width="13.7109375" style="325" customWidth="1"/>
    <col min="11272" max="11272" width="10.140625" style="325" customWidth="1"/>
    <col min="11273" max="11273" width="11" style="325" customWidth="1"/>
    <col min="11274" max="11274" width="11.7109375" style="325" customWidth="1"/>
    <col min="11275" max="11275" width="12.28515625" style="325" customWidth="1"/>
    <col min="11276" max="11276" width="9.7109375" style="325" customWidth="1"/>
    <col min="11277" max="11277" width="12.85546875" style="325" customWidth="1"/>
    <col min="11278" max="11278" width="9.28515625" style="325" customWidth="1"/>
    <col min="11279" max="11510" width="9.140625" style="325"/>
    <col min="11511" max="11511" width="6.7109375" style="325" customWidth="1"/>
    <col min="11512" max="11512" width="7.85546875" style="325" customWidth="1"/>
    <col min="11513" max="11513" width="12.140625" style="325" customWidth="1"/>
    <col min="11514" max="11514" width="10.28515625" style="325" customWidth="1"/>
    <col min="11515" max="11515" width="8.28515625" style="325" customWidth="1"/>
    <col min="11516" max="11516" width="8.7109375" style="325" customWidth="1"/>
    <col min="11517" max="11517" width="9.85546875" style="325" customWidth="1"/>
    <col min="11518" max="11518" width="8.85546875" style="325" customWidth="1"/>
    <col min="11519" max="11519" width="8.7109375" style="325" customWidth="1"/>
    <col min="11520" max="11520" width="9.28515625" style="325" customWidth="1"/>
    <col min="11521" max="11521" width="8.85546875" style="325" customWidth="1"/>
    <col min="11522" max="11522" width="8.7109375" style="325" customWidth="1"/>
    <col min="11523" max="11523" width="9.5703125" style="325" customWidth="1"/>
    <col min="11524" max="11524" width="8.85546875" style="325" customWidth="1"/>
    <col min="11525" max="11525" width="11.140625" style="325" customWidth="1"/>
    <col min="11526" max="11526" width="10.140625" style="325" customWidth="1"/>
    <col min="11527" max="11527" width="13.7109375" style="325" customWidth="1"/>
    <col min="11528" max="11528" width="10.140625" style="325" customWidth="1"/>
    <col min="11529" max="11529" width="11" style="325" customWidth="1"/>
    <col min="11530" max="11530" width="11.7109375" style="325" customWidth="1"/>
    <col min="11531" max="11531" width="12.28515625" style="325" customWidth="1"/>
    <col min="11532" max="11532" width="9.7109375" style="325" customWidth="1"/>
    <col min="11533" max="11533" width="12.85546875" style="325" customWidth="1"/>
    <col min="11534" max="11534" width="9.28515625" style="325" customWidth="1"/>
    <col min="11535" max="11766" width="9.140625" style="325"/>
    <col min="11767" max="11767" width="6.7109375" style="325" customWidth="1"/>
    <col min="11768" max="11768" width="7.85546875" style="325" customWidth="1"/>
    <col min="11769" max="11769" width="12.140625" style="325" customWidth="1"/>
    <col min="11770" max="11770" width="10.28515625" style="325" customWidth="1"/>
    <col min="11771" max="11771" width="8.28515625" style="325" customWidth="1"/>
    <col min="11772" max="11772" width="8.7109375" style="325" customWidth="1"/>
    <col min="11773" max="11773" width="9.85546875" style="325" customWidth="1"/>
    <col min="11774" max="11774" width="8.85546875" style="325" customWidth="1"/>
    <col min="11775" max="11775" width="8.7109375" style="325" customWidth="1"/>
    <col min="11776" max="11776" width="9.28515625" style="325" customWidth="1"/>
    <col min="11777" max="11777" width="8.85546875" style="325" customWidth="1"/>
    <col min="11778" max="11778" width="8.7109375" style="325" customWidth="1"/>
    <col min="11779" max="11779" width="9.5703125" style="325" customWidth="1"/>
    <col min="11780" max="11780" width="8.85546875" style="325" customWidth="1"/>
    <col min="11781" max="11781" width="11.140625" style="325" customWidth="1"/>
    <col min="11782" max="11782" width="10.140625" style="325" customWidth="1"/>
    <col min="11783" max="11783" width="13.7109375" style="325" customWidth="1"/>
    <col min="11784" max="11784" width="10.140625" style="325" customWidth="1"/>
    <col min="11785" max="11785" width="11" style="325" customWidth="1"/>
    <col min="11786" max="11786" width="11.7109375" style="325" customWidth="1"/>
    <col min="11787" max="11787" width="12.28515625" style="325" customWidth="1"/>
    <col min="11788" max="11788" width="9.7109375" style="325" customWidth="1"/>
    <col min="11789" max="11789" width="12.85546875" style="325" customWidth="1"/>
    <col min="11790" max="11790" width="9.28515625" style="325" customWidth="1"/>
    <col min="11791" max="12022" width="9.140625" style="325"/>
    <col min="12023" max="12023" width="6.7109375" style="325" customWidth="1"/>
    <col min="12024" max="12024" width="7.85546875" style="325" customWidth="1"/>
    <col min="12025" max="12025" width="12.140625" style="325" customWidth="1"/>
    <col min="12026" max="12026" width="10.28515625" style="325" customWidth="1"/>
    <col min="12027" max="12027" width="8.28515625" style="325" customWidth="1"/>
    <col min="12028" max="12028" width="8.7109375" style="325" customWidth="1"/>
    <col min="12029" max="12029" width="9.85546875" style="325" customWidth="1"/>
    <col min="12030" max="12030" width="8.85546875" style="325" customWidth="1"/>
    <col min="12031" max="12031" width="8.7109375" style="325" customWidth="1"/>
    <col min="12032" max="12032" width="9.28515625" style="325" customWidth="1"/>
    <col min="12033" max="12033" width="8.85546875" style="325" customWidth="1"/>
    <col min="12034" max="12034" width="8.7109375" style="325" customWidth="1"/>
    <col min="12035" max="12035" width="9.5703125" style="325" customWidth="1"/>
    <col min="12036" max="12036" width="8.85546875" style="325" customWidth="1"/>
    <col min="12037" max="12037" width="11.140625" style="325" customWidth="1"/>
    <col min="12038" max="12038" width="10.140625" style="325" customWidth="1"/>
    <col min="12039" max="12039" width="13.7109375" style="325" customWidth="1"/>
    <col min="12040" max="12040" width="10.140625" style="325" customWidth="1"/>
    <col min="12041" max="12041" width="11" style="325" customWidth="1"/>
    <col min="12042" max="12042" width="11.7109375" style="325" customWidth="1"/>
    <col min="12043" max="12043" width="12.28515625" style="325" customWidth="1"/>
    <col min="12044" max="12044" width="9.7109375" style="325" customWidth="1"/>
    <col min="12045" max="12045" width="12.85546875" style="325" customWidth="1"/>
    <col min="12046" max="12046" width="9.28515625" style="325" customWidth="1"/>
    <col min="12047" max="12278" width="9.140625" style="325"/>
    <col min="12279" max="12279" width="6.7109375" style="325" customWidth="1"/>
    <col min="12280" max="12280" width="7.85546875" style="325" customWidth="1"/>
    <col min="12281" max="12281" width="12.140625" style="325" customWidth="1"/>
    <col min="12282" max="12282" width="10.28515625" style="325" customWidth="1"/>
    <col min="12283" max="12283" width="8.28515625" style="325" customWidth="1"/>
    <col min="12284" max="12284" width="8.7109375" style="325" customWidth="1"/>
    <col min="12285" max="12285" width="9.85546875" style="325" customWidth="1"/>
    <col min="12286" max="12286" width="8.85546875" style="325" customWidth="1"/>
    <col min="12287" max="12287" width="8.7109375" style="325" customWidth="1"/>
    <col min="12288" max="12288" width="9.28515625" style="325" customWidth="1"/>
    <col min="12289" max="12289" width="8.85546875" style="325" customWidth="1"/>
    <col min="12290" max="12290" width="8.7109375" style="325" customWidth="1"/>
    <col min="12291" max="12291" width="9.5703125" style="325" customWidth="1"/>
    <col min="12292" max="12292" width="8.85546875" style="325" customWidth="1"/>
    <col min="12293" max="12293" width="11.140625" style="325" customWidth="1"/>
    <col min="12294" max="12294" width="10.140625" style="325" customWidth="1"/>
    <col min="12295" max="12295" width="13.7109375" style="325" customWidth="1"/>
    <col min="12296" max="12296" width="10.140625" style="325" customWidth="1"/>
    <col min="12297" max="12297" width="11" style="325" customWidth="1"/>
    <col min="12298" max="12298" width="11.7109375" style="325" customWidth="1"/>
    <col min="12299" max="12299" width="12.28515625" style="325" customWidth="1"/>
    <col min="12300" max="12300" width="9.7109375" style="325" customWidth="1"/>
    <col min="12301" max="12301" width="12.85546875" style="325" customWidth="1"/>
    <col min="12302" max="12302" width="9.28515625" style="325" customWidth="1"/>
    <col min="12303" max="12534" width="9.140625" style="325"/>
    <col min="12535" max="12535" width="6.7109375" style="325" customWidth="1"/>
    <col min="12536" max="12536" width="7.85546875" style="325" customWidth="1"/>
    <col min="12537" max="12537" width="12.140625" style="325" customWidth="1"/>
    <col min="12538" max="12538" width="10.28515625" style="325" customWidth="1"/>
    <col min="12539" max="12539" width="8.28515625" style="325" customWidth="1"/>
    <col min="12540" max="12540" width="8.7109375" style="325" customWidth="1"/>
    <col min="12541" max="12541" width="9.85546875" style="325" customWidth="1"/>
    <col min="12542" max="12542" width="8.85546875" style="325" customWidth="1"/>
    <col min="12543" max="12543" width="8.7109375" style="325" customWidth="1"/>
    <col min="12544" max="12544" width="9.28515625" style="325" customWidth="1"/>
    <col min="12545" max="12545" width="8.85546875" style="325" customWidth="1"/>
    <col min="12546" max="12546" width="8.7109375" style="325" customWidth="1"/>
    <col min="12547" max="12547" width="9.5703125" style="325" customWidth="1"/>
    <col min="12548" max="12548" width="8.85546875" style="325" customWidth="1"/>
    <col min="12549" max="12549" width="11.140625" style="325" customWidth="1"/>
    <col min="12550" max="12550" width="10.140625" style="325" customWidth="1"/>
    <col min="12551" max="12551" width="13.7109375" style="325" customWidth="1"/>
    <col min="12552" max="12552" width="10.140625" style="325" customWidth="1"/>
    <col min="12553" max="12553" width="11" style="325" customWidth="1"/>
    <col min="12554" max="12554" width="11.7109375" style="325" customWidth="1"/>
    <col min="12555" max="12555" width="12.28515625" style="325" customWidth="1"/>
    <col min="12556" max="12556" width="9.7109375" style="325" customWidth="1"/>
    <col min="12557" max="12557" width="12.85546875" style="325" customWidth="1"/>
    <col min="12558" max="12558" width="9.28515625" style="325" customWidth="1"/>
    <col min="12559" max="12790" width="9.140625" style="325"/>
    <col min="12791" max="12791" width="6.7109375" style="325" customWidth="1"/>
    <col min="12792" max="12792" width="7.85546875" style="325" customWidth="1"/>
    <col min="12793" max="12793" width="12.140625" style="325" customWidth="1"/>
    <col min="12794" max="12794" width="10.28515625" style="325" customWidth="1"/>
    <col min="12795" max="12795" width="8.28515625" style="325" customWidth="1"/>
    <col min="12796" max="12796" width="8.7109375" style="325" customWidth="1"/>
    <col min="12797" max="12797" width="9.85546875" style="325" customWidth="1"/>
    <col min="12798" max="12798" width="8.85546875" style="325" customWidth="1"/>
    <col min="12799" max="12799" width="8.7109375" style="325" customWidth="1"/>
    <col min="12800" max="12800" width="9.28515625" style="325" customWidth="1"/>
    <col min="12801" max="12801" width="8.85546875" style="325" customWidth="1"/>
    <col min="12802" max="12802" width="8.7109375" style="325" customWidth="1"/>
    <col min="12803" max="12803" width="9.5703125" style="325" customWidth="1"/>
    <col min="12804" max="12804" width="8.85546875" style="325" customWidth="1"/>
    <col min="12805" max="12805" width="11.140625" style="325" customWidth="1"/>
    <col min="12806" max="12806" width="10.140625" style="325" customWidth="1"/>
    <col min="12807" max="12807" width="13.7109375" style="325" customWidth="1"/>
    <col min="12808" max="12808" width="10.140625" style="325" customWidth="1"/>
    <col min="12809" max="12809" width="11" style="325" customWidth="1"/>
    <col min="12810" max="12810" width="11.7109375" style="325" customWidth="1"/>
    <col min="12811" max="12811" width="12.28515625" style="325" customWidth="1"/>
    <col min="12812" max="12812" width="9.7109375" style="325" customWidth="1"/>
    <col min="12813" max="12813" width="12.85546875" style="325" customWidth="1"/>
    <col min="12814" max="12814" width="9.28515625" style="325" customWidth="1"/>
    <col min="12815" max="13046" width="9.140625" style="325"/>
    <col min="13047" max="13047" width="6.7109375" style="325" customWidth="1"/>
    <col min="13048" max="13048" width="7.85546875" style="325" customWidth="1"/>
    <col min="13049" max="13049" width="12.140625" style="325" customWidth="1"/>
    <col min="13050" max="13050" width="10.28515625" style="325" customWidth="1"/>
    <col min="13051" max="13051" width="8.28515625" style="325" customWidth="1"/>
    <col min="13052" max="13052" width="8.7109375" style="325" customWidth="1"/>
    <col min="13053" max="13053" width="9.85546875" style="325" customWidth="1"/>
    <col min="13054" max="13054" width="8.85546875" style="325" customWidth="1"/>
    <col min="13055" max="13055" width="8.7109375" style="325" customWidth="1"/>
    <col min="13056" max="13056" width="9.28515625" style="325" customWidth="1"/>
    <col min="13057" max="13057" width="8.85546875" style="325" customWidth="1"/>
    <col min="13058" max="13058" width="8.7109375" style="325" customWidth="1"/>
    <col min="13059" max="13059" width="9.5703125" style="325" customWidth="1"/>
    <col min="13060" max="13060" width="8.85546875" style="325" customWidth="1"/>
    <col min="13061" max="13061" width="11.140625" style="325" customWidth="1"/>
    <col min="13062" max="13062" width="10.140625" style="325" customWidth="1"/>
    <col min="13063" max="13063" width="13.7109375" style="325" customWidth="1"/>
    <col min="13064" max="13064" width="10.140625" style="325" customWidth="1"/>
    <col min="13065" max="13065" width="11" style="325" customWidth="1"/>
    <col min="13066" max="13066" width="11.7109375" style="325" customWidth="1"/>
    <col min="13067" max="13067" width="12.28515625" style="325" customWidth="1"/>
    <col min="13068" max="13068" width="9.7109375" style="325" customWidth="1"/>
    <col min="13069" max="13069" width="12.85546875" style="325" customWidth="1"/>
    <col min="13070" max="13070" width="9.28515625" style="325" customWidth="1"/>
    <col min="13071" max="13302" width="9.140625" style="325"/>
    <col min="13303" max="13303" width="6.7109375" style="325" customWidth="1"/>
    <col min="13304" max="13304" width="7.85546875" style="325" customWidth="1"/>
    <col min="13305" max="13305" width="12.140625" style="325" customWidth="1"/>
    <col min="13306" max="13306" width="10.28515625" style="325" customWidth="1"/>
    <col min="13307" max="13307" width="8.28515625" style="325" customWidth="1"/>
    <col min="13308" max="13308" width="8.7109375" style="325" customWidth="1"/>
    <col min="13309" max="13309" width="9.85546875" style="325" customWidth="1"/>
    <col min="13310" max="13310" width="8.85546875" style="325" customWidth="1"/>
    <col min="13311" max="13311" width="8.7109375" style="325" customWidth="1"/>
    <col min="13312" max="13312" width="9.28515625" style="325" customWidth="1"/>
    <col min="13313" max="13313" width="8.85546875" style="325" customWidth="1"/>
    <col min="13314" max="13314" width="8.7109375" style="325" customWidth="1"/>
    <col min="13315" max="13315" width="9.5703125" style="325" customWidth="1"/>
    <col min="13316" max="13316" width="8.85546875" style="325" customWidth="1"/>
    <col min="13317" max="13317" width="11.140625" style="325" customWidth="1"/>
    <col min="13318" max="13318" width="10.140625" style="325" customWidth="1"/>
    <col min="13319" max="13319" width="13.7109375" style="325" customWidth="1"/>
    <col min="13320" max="13320" width="10.140625" style="325" customWidth="1"/>
    <col min="13321" max="13321" width="11" style="325" customWidth="1"/>
    <col min="13322" max="13322" width="11.7109375" style="325" customWidth="1"/>
    <col min="13323" max="13323" width="12.28515625" style="325" customWidth="1"/>
    <col min="13324" max="13324" width="9.7109375" style="325" customWidth="1"/>
    <col min="13325" max="13325" width="12.85546875" style="325" customWidth="1"/>
    <col min="13326" max="13326" width="9.28515625" style="325" customWidth="1"/>
    <col min="13327" max="13558" width="9.140625" style="325"/>
    <col min="13559" max="13559" width="6.7109375" style="325" customWidth="1"/>
    <col min="13560" max="13560" width="7.85546875" style="325" customWidth="1"/>
    <col min="13561" max="13561" width="12.140625" style="325" customWidth="1"/>
    <col min="13562" max="13562" width="10.28515625" style="325" customWidth="1"/>
    <col min="13563" max="13563" width="8.28515625" style="325" customWidth="1"/>
    <col min="13564" max="13564" width="8.7109375" style="325" customWidth="1"/>
    <col min="13565" max="13565" width="9.85546875" style="325" customWidth="1"/>
    <col min="13566" max="13566" width="8.85546875" style="325" customWidth="1"/>
    <col min="13567" max="13567" width="8.7109375" style="325" customWidth="1"/>
    <col min="13568" max="13568" width="9.28515625" style="325" customWidth="1"/>
    <col min="13569" max="13569" width="8.85546875" style="325" customWidth="1"/>
    <col min="13570" max="13570" width="8.7109375" style="325" customWidth="1"/>
    <col min="13571" max="13571" width="9.5703125" style="325" customWidth="1"/>
    <col min="13572" max="13572" width="8.85546875" style="325" customWidth="1"/>
    <col min="13573" max="13573" width="11.140625" style="325" customWidth="1"/>
    <col min="13574" max="13574" width="10.140625" style="325" customWidth="1"/>
    <col min="13575" max="13575" width="13.7109375" style="325" customWidth="1"/>
    <col min="13576" max="13576" width="10.140625" style="325" customWidth="1"/>
    <col min="13577" max="13577" width="11" style="325" customWidth="1"/>
    <col min="13578" max="13578" width="11.7109375" style="325" customWidth="1"/>
    <col min="13579" max="13579" width="12.28515625" style="325" customWidth="1"/>
    <col min="13580" max="13580" width="9.7109375" style="325" customWidth="1"/>
    <col min="13581" max="13581" width="12.85546875" style="325" customWidth="1"/>
    <col min="13582" max="13582" width="9.28515625" style="325" customWidth="1"/>
    <col min="13583" max="13814" width="9.140625" style="325"/>
    <col min="13815" max="13815" width="6.7109375" style="325" customWidth="1"/>
    <col min="13816" max="13816" width="7.85546875" style="325" customWidth="1"/>
    <col min="13817" max="13817" width="12.140625" style="325" customWidth="1"/>
    <col min="13818" max="13818" width="10.28515625" style="325" customWidth="1"/>
    <col min="13819" max="13819" width="8.28515625" style="325" customWidth="1"/>
    <col min="13820" max="13820" width="8.7109375" style="325" customWidth="1"/>
    <col min="13821" max="13821" width="9.85546875" style="325" customWidth="1"/>
    <col min="13822" max="13822" width="8.85546875" style="325" customWidth="1"/>
    <col min="13823" max="13823" width="8.7109375" style="325" customWidth="1"/>
    <col min="13824" max="13824" width="9.28515625" style="325" customWidth="1"/>
    <col min="13825" max="13825" width="8.85546875" style="325" customWidth="1"/>
    <col min="13826" max="13826" width="8.7109375" style="325" customWidth="1"/>
    <col min="13827" max="13827" width="9.5703125" style="325" customWidth="1"/>
    <col min="13828" max="13828" width="8.85546875" style="325" customWidth="1"/>
    <col min="13829" max="13829" width="11.140625" style="325" customWidth="1"/>
    <col min="13830" max="13830" width="10.140625" style="325" customWidth="1"/>
    <col min="13831" max="13831" width="13.7109375" style="325" customWidth="1"/>
    <col min="13832" max="13832" width="10.140625" style="325" customWidth="1"/>
    <col min="13833" max="13833" width="11" style="325" customWidth="1"/>
    <col min="13834" max="13834" width="11.7109375" style="325" customWidth="1"/>
    <col min="13835" max="13835" width="12.28515625" style="325" customWidth="1"/>
    <col min="13836" max="13836" width="9.7109375" style="325" customWidth="1"/>
    <col min="13837" max="13837" width="12.85546875" style="325" customWidth="1"/>
    <col min="13838" max="13838" width="9.28515625" style="325" customWidth="1"/>
    <col min="13839" max="14070" width="9.140625" style="325"/>
    <col min="14071" max="14071" width="6.7109375" style="325" customWidth="1"/>
    <col min="14072" max="14072" width="7.85546875" style="325" customWidth="1"/>
    <col min="14073" max="14073" width="12.140625" style="325" customWidth="1"/>
    <col min="14074" max="14074" width="10.28515625" style="325" customWidth="1"/>
    <col min="14075" max="14075" width="8.28515625" style="325" customWidth="1"/>
    <col min="14076" max="14076" width="8.7109375" style="325" customWidth="1"/>
    <col min="14077" max="14077" width="9.85546875" style="325" customWidth="1"/>
    <col min="14078" max="14078" width="8.85546875" style="325" customWidth="1"/>
    <col min="14079" max="14079" width="8.7109375" style="325" customWidth="1"/>
    <col min="14080" max="14080" width="9.28515625" style="325" customWidth="1"/>
    <col min="14081" max="14081" width="8.85546875" style="325" customWidth="1"/>
    <col min="14082" max="14082" width="8.7109375" style="325" customWidth="1"/>
    <col min="14083" max="14083" width="9.5703125" style="325" customWidth="1"/>
    <col min="14084" max="14084" width="8.85546875" style="325" customWidth="1"/>
    <col min="14085" max="14085" width="11.140625" style="325" customWidth="1"/>
    <col min="14086" max="14086" width="10.140625" style="325" customWidth="1"/>
    <col min="14087" max="14087" width="13.7109375" style="325" customWidth="1"/>
    <col min="14088" max="14088" width="10.140625" style="325" customWidth="1"/>
    <col min="14089" max="14089" width="11" style="325" customWidth="1"/>
    <col min="14090" max="14090" width="11.7109375" style="325" customWidth="1"/>
    <col min="14091" max="14091" width="12.28515625" style="325" customWidth="1"/>
    <col min="14092" max="14092" width="9.7109375" style="325" customWidth="1"/>
    <col min="14093" max="14093" width="12.85546875" style="325" customWidth="1"/>
    <col min="14094" max="14094" width="9.28515625" style="325" customWidth="1"/>
    <col min="14095" max="14326" width="9.140625" style="325"/>
    <col min="14327" max="14327" width="6.7109375" style="325" customWidth="1"/>
    <col min="14328" max="14328" width="7.85546875" style="325" customWidth="1"/>
    <col min="14329" max="14329" width="12.140625" style="325" customWidth="1"/>
    <col min="14330" max="14330" width="10.28515625" style="325" customWidth="1"/>
    <col min="14331" max="14331" width="8.28515625" style="325" customWidth="1"/>
    <col min="14332" max="14332" width="8.7109375" style="325" customWidth="1"/>
    <col min="14333" max="14333" width="9.85546875" style="325" customWidth="1"/>
    <col min="14334" max="14334" width="8.85546875" style="325" customWidth="1"/>
    <col min="14335" max="14335" width="8.7109375" style="325" customWidth="1"/>
    <col min="14336" max="14336" width="9.28515625" style="325" customWidth="1"/>
    <col min="14337" max="14337" width="8.85546875" style="325" customWidth="1"/>
    <col min="14338" max="14338" width="8.7109375" style="325" customWidth="1"/>
    <col min="14339" max="14339" width="9.5703125" style="325" customWidth="1"/>
    <col min="14340" max="14340" width="8.85546875" style="325" customWidth="1"/>
    <col min="14341" max="14341" width="11.140625" style="325" customWidth="1"/>
    <col min="14342" max="14342" width="10.140625" style="325" customWidth="1"/>
    <col min="14343" max="14343" width="13.7109375" style="325" customWidth="1"/>
    <col min="14344" max="14344" width="10.140625" style="325" customWidth="1"/>
    <col min="14345" max="14345" width="11" style="325" customWidth="1"/>
    <col min="14346" max="14346" width="11.7109375" style="325" customWidth="1"/>
    <col min="14347" max="14347" width="12.28515625" style="325" customWidth="1"/>
    <col min="14348" max="14348" width="9.7109375" style="325" customWidth="1"/>
    <col min="14349" max="14349" width="12.85546875" style="325" customWidth="1"/>
    <col min="14350" max="14350" width="9.28515625" style="325" customWidth="1"/>
    <col min="14351" max="14582" width="9.140625" style="325"/>
    <col min="14583" max="14583" width="6.7109375" style="325" customWidth="1"/>
    <col min="14584" max="14584" width="7.85546875" style="325" customWidth="1"/>
    <col min="14585" max="14585" width="12.140625" style="325" customWidth="1"/>
    <col min="14586" max="14586" width="10.28515625" style="325" customWidth="1"/>
    <col min="14587" max="14587" width="8.28515625" style="325" customWidth="1"/>
    <col min="14588" max="14588" width="8.7109375" style="325" customWidth="1"/>
    <col min="14589" max="14589" width="9.85546875" style="325" customWidth="1"/>
    <col min="14590" max="14590" width="8.85546875" style="325" customWidth="1"/>
    <col min="14591" max="14591" width="8.7109375" style="325" customWidth="1"/>
    <col min="14592" max="14592" width="9.28515625" style="325" customWidth="1"/>
    <col min="14593" max="14593" width="8.85546875" style="325" customWidth="1"/>
    <col min="14594" max="14594" width="8.7109375" style="325" customWidth="1"/>
    <col min="14595" max="14595" width="9.5703125" style="325" customWidth="1"/>
    <col min="14596" max="14596" width="8.85546875" style="325" customWidth="1"/>
    <col min="14597" max="14597" width="11.140625" style="325" customWidth="1"/>
    <col min="14598" max="14598" width="10.140625" style="325" customWidth="1"/>
    <col min="14599" max="14599" width="13.7109375" style="325" customWidth="1"/>
    <col min="14600" max="14600" width="10.140625" style="325" customWidth="1"/>
    <col min="14601" max="14601" width="11" style="325" customWidth="1"/>
    <col min="14602" max="14602" width="11.7109375" style="325" customWidth="1"/>
    <col min="14603" max="14603" width="12.28515625" style="325" customWidth="1"/>
    <col min="14604" max="14604" width="9.7109375" style="325" customWidth="1"/>
    <col min="14605" max="14605" width="12.85546875" style="325" customWidth="1"/>
    <col min="14606" max="14606" width="9.28515625" style="325" customWidth="1"/>
    <col min="14607" max="14838" width="9.140625" style="325"/>
    <col min="14839" max="14839" width="6.7109375" style="325" customWidth="1"/>
    <col min="14840" max="14840" width="7.85546875" style="325" customWidth="1"/>
    <col min="14841" max="14841" width="12.140625" style="325" customWidth="1"/>
    <col min="14842" max="14842" width="10.28515625" style="325" customWidth="1"/>
    <col min="14843" max="14843" width="8.28515625" style="325" customWidth="1"/>
    <col min="14844" max="14844" width="8.7109375" style="325" customWidth="1"/>
    <col min="14845" max="14845" width="9.85546875" style="325" customWidth="1"/>
    <col min="14846" max="14846" width="8.85546875" style="325" customWidth="1"/>
    <col min="14847" max="14847" width="8.7109375" style="325" customWidth="1"/>
    <col min="14848" max="14848" width="9.28515625" style="325" customWidth="1"/>
    <col min="14849" max="14849" width="8.85546875" style="325" customWidth="1"/>
    <col min="14850" max="14850" width="8.7109375" style="325" customWidth="1"/>
    <col min="14851" max="14851" width="9.5703125" style="325" customWidth="1"/>
    <col min="14852" max="14852" width="8.85546875" style="325" customWidth="1"/>
    <col min="14853" max="14853" width="11.140625" style="325" customWidth="1"/>
    <col min="14854" max="14854" width="10.140625" style="325" customWidth="1"/>
    <col min="14855" max="14855" width="13.7109375" style="325" customWidth="1"/>
    <col min="14856" max="14856" width="10.140625" style="325" customWidth="1"/>
    <col min="14857" max="14857" width="11" style="325" customWidth="1"/>
    <col min="14858" max="14858" width="11.7109375" style="325" customWidth="1"/>
    <col min="14859" max="14859" width="12.28515625" style="325" customWidth="1"/>
    <col min="14860" max="14860" width="9.7109375" style="325" customWidth="1"/>
    <col min="14861" max="14861" width="12.85546875" style="325" customWidth="1"/>
    <col min="14862" max="14862" width="9.28515625" style="325" customWidth="1"/>
    <col min="14863" max="15094" width="9.140625" style="325"/>
    <col min="15095" max="15095" width="6.7109375" style="325" customWidth="1"/>
    <col min="15096" max="15096" width="7.85546875" style="325" customWidth="1"/>
    <col min="15097" max="15097" width="12.140625" style="325" customWidth="1"/>
    <col min="15098" max="15098" width="10.28515625" style="325" customWidth="1"/>
    <col min="15099" max="15099" width="8.28515625" style="325" customWidth="1"/>
    <col min="15100" max="15100" width="8.7109375" style="325" customWidth="1"/>
    <col min="15101" max="15101" width="9.85546875" style="325" customWidth="1"/>
    <col min="15102" max="15102" width="8.85546875" style="325" customWidth="1"/>
    <col min="15103" max="15103" width="8.7109375" style="325" customWidth="1"/>
    <col min="15104" max="15104" width="9.28515625" style="325" customWidth="1"/>
    <col min="15105" max="15105" width="8.85546875" style="325" customWidth="1"/>
    <col min="15106" max="15106" width="8.7109375" style="325" customWidth="1"/>
    <col min="15107" max="15107" width="9.5703125" style="325" customWidth="1"/>
    <col min="15108" max="15108" width="8.85546875" style="325" customWidth="1"/>
    <col min="15109" max="15109" width="11.140625" style="325" customWidth="1"/>
    <col min="15110" max="15110" width="10.140625" style="325" customWidth="1"/>
    <col min="15111" max="15111" width="13.7109375" style="325" customWidth="1"/>
    <col min="15112" max="15112" width="10.140625" style="325" customWidth="1"/>
    <col min="15113" max="15113" width="11" style="325" customWidth="1"/>
    <col min="15114" max="15114" width="11.7109375" style="325" customWidth="1"/>
    <col min="15115" max="15115" width="12.28515625" style="325" customWidth="1"/>
    <col min="15116" max="15116" width="9.7109375" style="325" customWidth="1"/>
    <col min="15117" max="15117" width="12.85546875" style="325" customWidth="1"/>
    <col min="15118" max="15118" width="9.28515625" style="325" customWidth="1"/>
    <col min="15119" max="15350" width="9.140625" style="325"/>
    <col min="15351" max="15351" width="6.7109375" style="325" customWidth="1"/>
    <col min="15352" max="15352" width="7.85546875" style="325" customWidth="1"/>
    <col min="15353" max="15353" width="12.140625" style="325" customWidth="1"/>
    <col min="15354" max="15354" width="10.28515625" style="325" customWidth="1"/>
    <col min="15355" max="15355" width="8.28515625" style="325" customWidth="1"/>
    <col min="15356" max="15356" width="8.7109375" style="325" customWidth="1"/>
    <col min="15357" max="15357" width="9.85546875" style="325" customWidth="1"/>
    <col min="15358" max="15358" width="8.85546875" style="325" customWidth="1"/>
    <col min="15359" max="15359" width="8.7109375" style="325" customWidth="1"/>
    <col min="15360" max="15360" width="9.28515625" style="325" customWidth="1"/>
    <col min="15361" max="15361" width="8.85546875" style="325" customWidth="1"/>
    <col min="15362" max="15362" width="8.7109375" style="325" customWidth="1"/>
    <col min="15363" max="15363" width="9.5703125" style="325" customWidth="1"/>
    <col min="15364" max="15364" width="8.85546875" style="325" customWidth="1"/>
    <col min="15365" max="15365" width="11.140625" style="325" customWidth="1"/>
    <col min="15366" max="15366" width="10.140625" style="325" customWidth="1"/>
    <col min="15367" max="15367" width="13.7109375" style="325" customWidth="1"/>
    <col min="15368" max="15368" width="10.140625" style="325" customWidth="1"/>
    <col min="15369" max="15369" width="11" style="325" customWidth="1"/>
    <col min="15370" max="15370" width="11.7109375" style="325" customWidth="1"/>
    <col min="15371" max="15371" width="12.28515625" style="325" customWidth="1"/>
    <col min="15372" max="15372" width="9.7109375" style="325" customWidth="1"/>
    <col min="15373" max="15373" width="12.85546875" style="325" customWidth="1"/>
    <col min="15374" max="15374" width="9.28515625" style="325" customWidth="1"/>
    <col min="15375" max="15606" width="9.140625" style="325"/>
    <col min="15607" max="15607" width="6.7109375" style="325" customWidth="1"/>
    <col min="15608" max="15608" width="7.85546875" style="325" customWidth="1"/>
    <col min="15609" max="15609" width="12.140625" style="325" customWidth="1"/>
    <col min="15610" max="15610" width="10.28515625" style="325" customWidth="1"/>
    <col min="15611" max="15611" width="8.28515625" style="325" customWidth="1"/>
    <col min="15612" max="15612" width="8.7109375" style="325" customWidth="1"/>
    <col min="15613" max="15613" width="9.85546875" style="325" customWidth="1"/>
    <col min="15614" max="15614" width="8.85546875" style="325" customWidth="1"/>
    <col min="15615" max="15615" width="8.7109375" style="325" customWidth="1"/>
    <col min="15616" max="15616" width="9.28515625" style="325" customWidth="1"/>
    <col min="15617" max="15617" width="8.85546875" style="325" customWidth="1"/>
    <col min="15618" max="15618" width="8.7109375" style="325" customWidth="1"/>
    <col min="15619" max="15619" width="9.5703125" style="325" customWidth="1"/>
    <col min="15620" max="15620" width="8.85546875" style="325" customWidth="1"/>
    <col min="15621" max="15621" width="11.140625" style="325" customWidth="1"/>
    <col min="15622" max="15622" width="10.140625" style="325" customWidth="1"/>
    <col min="15623" max="15623" width="13.7109375" style="325" customWidth="1"/>
    <col min="15624" max="15624" width="10.140625" style="325" customWidth="1"/>
    <col min="15625" max="15625" width="11" style="325" customWidth="1"/>
    <col min="15626" max="15626" width="11.7109375" style="325" customWidth="1"/>
    <col min="15627" max="15627" width="12.28515625" style="325" customWidth="1"/>
    <col min="15628" max="15628" width="9.7109375" style="325" customWidth="1"/>
    <col min="15629" max="15629" width="12.85546875" style="325" customWidth="1"/>
    <col min="15630" max="15630" width="9.28515625" style="325" customWidth="1"/>
    <col min="15631" max="15862" width="9.140625" style="325"/>
    <col min="15863" max="15863" width="6.7109375" style="325" customWidth="1"/>
    <col min="15864" max="15864" width="7.85546875" style="325" customWidth="1"/>
    <col min="15865" max="15865" width="12.140625" style="325" customWidth="1"/>
    <col min="15866" max="15866" width="10.28515625" style="325" customWidth="1"/>
    <col min="15867" max="15867" width="8.28515625" style="325" customWidth="1"/>
    <col min="15868" max="15868" width="8.7109375" style="325" customWidth="1"/>
    <col min="15869" max="15869" width="9.85546875" style="325" customWidth="1"/>
    <col min="15870" max="15870" width="8.85546875" style="325" customWidth="1"/>
    <col min="15871" max="15871" width="8.7109375" style="325" customWidth="1"/>
    <col min="15872" max="15872" width="9.28515625" style="325" customWidth="1"/>
    <col min="15873" max="15873" width="8.85546875" style="325" customWidth="1"/>
    <col min="15874" max="15874" width="8.7109375" style="325" customWidth="1"/>
    <col min="15875" max="15875" width="9.5703125" style="325" customWidth="1"/>
    <col min="15876" max="15876" width="8.85546875" style="325" customWidth="1"/>
    <col min="15877" max="15877" width="11.140625" style="325" customWidth="1"/>
    <col min="15878" max="15878" width="10.140625" style="325" customWidth="1"/>
    <col min="15879" max="15879" width="13.7109375" style="325" customWidth="1"/>
    <col min="15880" max="15880" width="10.140625" style="325" customWidth="1"/>
    <col min="15881" max="15881" width="11" style="325" customWidth="1"/>
    <col min="15882" max="15882" width="11.7109375" style="325" customWidth="1"/>
    <col min="15883" max="15883" width="12.28515625" style="325" customWidth="1"/>
    <col min="15884" max="15884" width="9.7109375" style="325" customWidth="1"/>
    <col min="15885" max="15885" width="12.85546875" style="325" customWidth="1"/>
    <col min="15886" max="15886" width="9.28515625" style="325" customWidth="1"/>
    <col min="15887" max="16118" width="9.140625" style="325"/>
    <col min="16119" max="16119" width="6.7109375" style="325" customWidth="1"/>
    <col min="16120" max="16120" width="7.85546875" style="325" customWidth="1"/>
    <col min="16121" max="16121" width="12.140625" style="325" customWidth="1"/>
    <col min="16122" max="16122" width="10.28515625" style="325" customWidth="1"/>
    <col min="16123" max="16123" width="8.28515625" style="325" customWidth="1"/>
    <col min="16124" max="16124" width="8.7109375" style="325" customWidth="1"/>
    <col min="16125" max="16125" width="9.85546875" style="325" customWidth="1"/>
    <col min="16126" max="16126" width="8.85546875" style="325" customWidth="1"/>
    <col min="16127" max="16127" width="8.7109375" style="325" customWidth="1"/>
    <col min="16128" max="16128" width="9.28515625" style="325" customWidth="1"/>
    <col min="16129" max="16129" width="8.85546875" style="325" customWidth="1"/>
    <col min="16130" max="16130" width="8.7109375" style="325" customWidth="1"/>
    <col min="16131" max="16131" width="9.5703125" style="325" customWidth="1"/>
    <col min="16132" max="16132" width="8.85546875" style="325" customWidth="1"/>
    <col min="16133" max="16133" width="11.140625" style="325" customWidth="1"/>
    <col min="16134" max="16134" width="10.140625" style="325" customWidth="1"/>
    <col min="16135" max="16135" width="13.7109375" style="325" customWidth="1"/>
    <col min="16136" max="16136" width="10.140625" style="325" customWidth="1"/>
    <col min="16137" max="16137" width="11" style="325" customWidth="1"/>
    <col min="16138" max="16138" width="11.7109375" style="325" customWidth="1"/>
    <col min="16139" max="16139" width="12.28515625" style="325" customWidth="1"/>
    <col min="16140" max="16140" width="9.7109375" style="325" customWidth="1"/>
    <col min="16141" max="16141" width="12.85546875" style="325" customWidth="1"/>
    <col min="16142" max="16142" width="9.28515625" style="325" customWidth="1"/>
    <col min="16143" max="16371" width="9.140625" style="325"/>
    <col min="16372" max="16384" width="10.140625" style="325" customWidth="1"/>
  </cols>
  <sheetData>
    <row r="1" spans="1:20" s="303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300"/>
      <c r="M1" s="301"/>
      <c r="N1" s="302"/>
    </row>
    <row r="2" spans="1:20" s="304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304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310" customFormat="1" ht="15.75" customHeight="1">
      <c r="A4" s="305" t="s">
        <v>327</v>
      </c>
      <c r="B4" s="306"/>
      <c r="C4" s="307"/>
      <c r="D4" s="307"/>
      <c r="E4" s="307"/>
      <c r="F4" s="308"/>
      <c r="G4" s="308"/>
      <c r="H4" s="308"/>
      <c r="I4" s="308"/>
      <c r="J4" s="308"/>
      <c r="K4" s="309"/>
      <c r="L4" s="310">
        <f>THKL!A8</f>
        <v>6</v>
      </c>
      <c r="Q4" s="311"/>
    </row>
    <row r="5" spans="1:20" s="310" customFormat="1" ht="15.75" customHeight="1">
      <c r="A5" s="312" t="str">
        <f>L5&amp;M5&amp;". "&amp;N5</f>
        <v>Hạng mục C.I.2.1. Khe co giãn</v>
      </c>
      <c r="B5" s="306"/>
      <c r="C5" s="307"/>
      <c r="D5" s="307"/>
      <c r="E5" s="307"/>
      <c r="F5" s="308"/>
      <c r="G5" s="308"/>
      <c r="H5" s="308"/>
      <c r="I5" s="308"/>
      <c r="J5" s="308"/>
      <c r="K5" s="309"/>
      <c r="L5" s="313" t="s">
        <v>328</v>
      </c>
      <c r="M5" s="310" t="s">
        <v>651</v>
      </c>
      <c r="N5" s="314" t="str">
        <f>'PHAN KHAI'!C34</f>
        <v>Khe co giãn</v>
      </c>
      <c r="Q5" s="311"/>
    </row>
    <row r="6" spans="1:20" s="310" customFormat="1" ht="15.75" customHeight="1">
      <c r="A6" s="312" t="str">
        <f>L6&amp;M6&amp;". "&amp;N6</f>
        <v>Mục C.I.2.1.1. Lắp đặt khe co giãn FEPA</v>
      </c>
      <c r="B6" s="306"/>
      <c r="C6" s="307"/>
      <c r="D6" s="307"/>
      <c r="E6" s="307"/>
      <c r="F6" s="308"/>
      <c r="G6" s="308"/>
      <c r="H6" s="308"/>
      <c r="I6" s="308"/>
      <c r="J6" s="308"/>
      <c r="K6" s="309"/>
      <c r="L6" s="313" t="str">
        <f>"Mục C."&amp;M5&amp;"."</f>
        <v>Mục C.I.2.1.</v>
      </c>
      <c r="M6" s="310">
        <v>1</v>
      </c>
      <c r="N6" s="314" t="str">
        <f>THKLQT!C35</f>
        <v>Lắp đặt khe co giãn FEPA</v>
      </c>
      <c r="Q6" s="311"/>
    </row>
    <row r="7" spans="1:20" s="319" customFormat="1" ht="18.75" customHeight="1">
      <c r="A7" s="698">
        <f>I17</f>
        <v>59.84</v>
      </c>
      <c r="B7" s="699"/>
      <c r="C7" s="699"/>
      <c r="D7" s="699"/>
      <c r="E7" s="315" t="str">
        <f>"("&amp;L7&amp;")"</f>
        <v>(m)</v>
      </c>
      <c r="F7" s="316"/>
      <c r="G7" s="316"/>
      <c r="H7" s="316"/>
      <c r="I7" s="316"/>
      <c r="J7" s="316"/>
      <c r="K7" s="317"/>
      <c r="L7" s="318" t="str">
        <f>THKLQT!D37</f>
        <v>m</v>
      </c>
    </row>
    <row r="8" spans="1:20" s="323" customFormat="1" ht="15" customHeight="1" thickBot="1">
      <c r="A8" s="320"/>
      <c r="B8" s="321"/>
      <c r="C8" s="321"/>
      <c r="D8" s="321"/>
      <c r="E8" s="321"/>
      <c r="F8" s="321"/>
      <c r="G8" s="321"/>
      <c r="H8" s="321"/>
      <c r="I8" s="321"/>
      <c r="J8" s="321"/>
      <c r="K8" s="321"/>
      <c r="L8" s="322"/>
      <c r="M8" s="322"/>
      <c r="N8" s="322"/>
      <c r="O8" s="322"/>
      <c r="P8" s="322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24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327"/>
      <c r="O10" s="327"/>
      <c r="P10" s="328" t="s">
        <v>72</v>
      </c>
      <c r="Q10" s="293" t="s">
        <v>71</v>
      </c>
      <c r="R10" s="328" t="s">
        <v>2</v>
      </c>
      <c r="S10" s="328" t="s">
        <v>73</v>
      </c>
      <c r="T10" s="32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327"/>
      <c r="O11" s="327"/>
      <c r="P11" s="329">
        <f>THKL!A10</f>
        <v>7</v>
      </c>
      <c r="Q11" s="330">
        <f>P11</f>
        <v>7</v>
      </c>
      <c r="R11" s="330"/>
      <c r="S11" s="330">
        <f>THKL!A6</f>
        <v>4</v>
      </c>
      <c r="T11" s="331">
        <f>THKL!A10</f>
        <v>7</v>
      </c>
    </row>
    <row r="12" spans="1:20" ht="14.25" outlineLevel="2">
      <c r="A12" s="81">
        <f>SUBTOTAL(103,$B$12:B12)</f>
        <v>1</v>
      </c>
      <c r="B12" s="78">
        <f>Q12</f>
        <v>43734</v>
      </c>
      <c r="C12" s="571" t="str">
        <f>T12</f>
        <v xml:space="preserve">Lắp đặt khe co giãn FEPA </v>
      </c>
      <c r="D12" s="572"/>
      <c r="E12" s="573"/>
      <c r="F12" s="2">
        <f>56+0.87+0.927+0.99+1.051</f>
        <v>59.838000000000001</v>
      </c>
      <c r="G12" s="1">
        <f>F12</f>
        <v>59.838000000000001</v>
      </c>
      <c r="H12" s="381">
        <f>G12</f>
        <v>59.838000000000001</v>
      </c>
      <c r="I12" s="107">
        <f>H12</f>
        <v>59.838000000000001</v>
      </c>
      <c r="J12" s="107">
        <f>I12</f>
        <v>59.838000000000001</v>
      </c>
      <c r="K12" s="403" t="s">
        <v>677</v>
      </c>
      <c r="L12" s="325" t="s">
        <v>757</v>
      </c>
      <c r="N12" s="327"/>
      <c r="O12" s="327"/>
      <c r="P12" s="328">
        <v>0</v>
      </c>
      <c r="Q12" s="332">
        <v>43734</v>
      </c>
      <c r="R12" s="328"/>
      <c r="S12" s="328" t="e">
        <f>VLOOKUP($S$11,hamchuigoi3,M12,0)</f>
        <v>#VALUE!</v>
      </c>
      <c r="T12" s="333" t="str">
        <f t="shared" ref="T12:T15" si="0">$N$6&amp;" "&amp;O12</f>
        <v xml:space="preserve">Lắp đặt khe co giãn FEPA </v>
      </c>
    </row>
    <row r="13" spans="1:20" ht="14.25" hidden="1" outlineLevel="2">
      <c r="A13" s="81">
        <f>SUBTOTAL(103,$B$12:B13)</f>
        <v>1</v>
      </c>
      <c r="B13" s="78">
        <f>Q13</f>
        <v>43578</v>
      </c>
      <c r="C13" s="571" t="str">
        <f>T13</f>
        <v xml:space="preserve">Lắp đặt khe co giãn FEPA </v>
      </c>
      <c r="D13" s="572"/>
      <c r="E13" s="573"/>
      <c r="F13" s="2">
        <f>P13</f>
        <v>0</v>
      </c>
      <c r="G13" s="1">
        <f>P13</f>
        <v>0</v>
      </c>
      <c r="H13" s="31">
        <f>P13</f>
        <v>0</v>
      </c>
      <c r="I13" s="107">
        <f>P13</f>
        <v>0</v>
      </c>
      <c r="J13" s="107">
        <f>P13</f>
        <v>0</v>
      </c>
      <c r="K13" s="82"/>
      <c r="N13" s="327"/>
      <c r="O13" s="327"/>
      <c r="P13" s="328">
        <v>0</v>
      </c>
      <c r="Q13" s="332">
        <v>43578</v>
      </c>
      <c r="R13" s="328"/>
      <c r="S13" s="328" t="e">
        <f>VLOOKUP($S$11,hamchuigoi3,M13,0)</f>
        <v>#VALUE!</v>
      </c>
      <c r="T13" s="333" t="str">
        <f t="shared" si="0"/>
        <v xml:space="preserve">Lắp đặt khe co giãn FEPA </v>
      </c>
    </row>
    <row r="14" spans="1:20" ht="14.25" hidden="1" outlineLevel="2">
      <c r="A14" s="81">
        <f>SUBTOTAL(103,$B$12:B14)</f>
        <v>1</v>
      </c>
      <c r="B14" s="78">
        <f>Q14</f>
        <v>43575</v>
      </c>
      <c r="C14" s="571" t="str">
        <f>T14</f>
        <v xml:space="preserve">Lắp đặt khe co giãn FEPA </v>
      </c>
      <c r="D14" s="572"/>
      <c r="E14" s="573"/>
      <c r="F14" s="2">
        <f>P14</f>
        <v>0</v>
      </c>
      <c r="G14" s="1">
        <f>P14</f>
        <v>0</v>
      </c>
      <c r="H14" s="31">
        <f>P14</f>
        <v>0</v>
      </c>
      <c r="I14" s="107">
        <f>P14</f>
        <v>0</v>
      </c>
      <c r="J14" s="107">
        <f>P14</f>
        <v>0</v>
      </c>
      <c r="K14" s="82"/>
      <c r="N14" s="327"/>
      <c r="O14" s="327"/>
      <c r="P14" s="328">
        <v>0</v>
      </c>
      <c r="Q14" s="332">
        <v>43575</v>
      </c>
      <c r="R14" s="328"/>
      <c r="S14" s="328" t="e">
        <f>VLOOKUP($S$11,hamchuigoi3,M14,0)</f>
        <v>#VALUE!</v>
      </c>
      <c r="T14" s="333" t="str">
        <f t="shared" si="0"/>
        <v xml:space="preserve">Lắp đặt khe co giãn FEPA </v>
      </c>
    </row>
    <row r="15" spans="1:20" ht="14.25" hidden="1" outlineLevel="2">
      <c r="A15" s="81">
        <f>SUBTOTAL(103,$B$12:B15)</f>
        <v>1</v>
      </c>
      <c r="B15" s="78">
        <f>Q15</f>
        <v>43576</v>
      </c>
      <c r="C15" s="571" t="str">
        <f>T15</f>
        <v xml:space="preserve">Lắp đặt khe co giãn FEPA </v>
      </c>
      <c r="D15" s="572"/>
      <c r="E15" s="573"/>
      <c r="F15" s="2">
        <f>P15</f>
        <v>0</v>
      </c>
      <c r="G15" s="1">
        <f>P15</f>
        <v>0</v>
      </c>
      <c r="H15" s="31">
        <f>P15</f>
        <v>0</v>
      </c>
      <c r="I15" s="107">
        <f>P15</f>
        <v>0</v>
      </c>
      <c r="J15" s="107">
        <f>P15</f>
        <v>0</v>
      </c>
      <c r="K15" s="82"/>
      <c r="N15" s="327"/>
      <c r="O15" s="327"/>
      <c r="P15" s="328">
        <v>0</v>
      </c>
      <c r="Q15" s="332">
        <v>43576</v>
      </c>
      <c r="R15" s="328"/>
      <c r="S15" s="328" t="e">
        <f>VLOOKUP($S$11,hamchuigoi3,M15,0)</f>
        <v>#VALUE!</v>
      </c>
      <c r="T15" s="333" t="str">
        <f t="shared" si="0"/>
        <v xml:space="preserve">Lắp đặt khe co giãn FEPA 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327"/>
      <c r="O16" s="327"/>
      <c r="P16" s="328"/>
      <c r="Q16" s="332"/>
      <c r="R16" s="328"/>
      <c r="S16" s="328"/>
      <c r="T16" s="333"/>
    </row>
    <row r="17" spans="1:20" thickBot="1">
      <c r="A17" s="574" t="s">
        <v>4</v>
      </c>
      <c r="B17" s="575"/>
      <c r="C17" s="575"/>
      <c r="D17" s="575"/>
      <c r="E17" s="575"/>
      <c r="F17" s="79">
        <f>56+0.87+0.927+0.99+1.051</f>
        <v>59.838000000000001</v>
      </c>
      <c r="G17" s="79">
        <f>ROUND(SUM(G12:G16),2)</f>
        <v>59.84</v>
      </c>
      <c r="H17" s="79">
        <f>ROUND(SUM(H12:H16),2)</f>
        <v>59.84</v>
      </c>
      <c r="I17" s="79">
        <f>ROUND(SUM(I12:I16),2)</f>
        <v>59.84</v>
      </c>
      <c r="J17" s="79">
        <f>ROUND(SUM(J12:J16),2)</f>
        <v>59.84</v>
      </c>
      <c r="K17" s="80"/>
      <c r="N17" s="327"/>
      <c r="O17" s="327"/>
      <c r="P17" s="334">
        <f>SUM(P12:P12)</f>
        <v>0</v>
      </c>
    </row>
    <row r="18" spans="1:20" s="339" customFormat="1" ht="18" customHeight="1" thickTop="1" thickBot="1">
      <c r="A18" s="294"/>
      <c r="B18" s="294"/>
      <c r="C18" s="294"/>
      <c r="D18" s="294"/>
      <c r="E18" s="294"/>
      <c r="F18" s="116"/>
      <c r="G18" s="116"/>
      <c r="H18" s="116"/>
      <c r="I18" s="116"/>
      <c r="J18" s="116"/>
      <c r="K18" s="335"/>
      <c r="L18" s="325"/>
      <c r="M18" s="325"/>
      <c r="N18" s="327"/>
      <c r="O18" s="327"/>
      <c r="P18" s="336"/>
      <c r="Q18" s="337"/>
      <c r="R18" s="337"/>
      <c r="S18" s="337"/>
      <c r="T18" s="338"/>
    </row>
    <row r="19" spans="1:20" s="326" customFormat="1" ht="13.9" customHeight="1" thickTop="1">
      <c r="A19" s="693" t="s">
        <v>68</v>
      </c>
      <c r="B19" s="694"/>
      <c r="C19" s="694"/>
      <c r="D19" s="694"/>
      <c r="E19" s="694"/>
      <c r="F19" s="695" t="s">
        <v>69</v>
      </c>
      <c r="G19" s="695"/>
      <c r="H19" s="695"/>
      <c r="I19" s="696"/>
      <c r="J19" s="696"/>
      <c r="K19" s="697"/>
      <c r="L19" s="325"/>
      <c r="M19" s="325"/>
      <c r="N19" s="325"/>
      <c r="O19" s="325"/>
      <c r="P19" s="325"/>
    </row>
    <row r="20" spans="1:20" s="326" customFormat="1" ht="13.9" customHeight="1">
      <c r="A20" s="663" t="s">
        <v>5</v>
      </c>
      <c r="B20" s="664"/>
      <c r="C20" s="664"/>
      <c r="D20" s="664"/>
      <c r="E20" s="664"/>
      <c r="F20" s="665" t="s">
        <v>6</v>
      </c>
      <c r="G20" s="665"/>
      <c r="H20" s="665"/>
      <c r="I20" s="666"/>
      <c r="J20" s="666"/>
      <c r="K20" s="667"/>
      <c r="L20" s="325"/>
      <c r="M20" s="325"/>
      <c r="N20" s="325"/>
      <c r="O20" s="325"/>
      <c r="P20" s="325"/>
    </row>
    <row r="21" spans="1:20" s="326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325"/>
      <c r="M21" s="325"/>
      <c r="N21" s="325"/>
      <c r="O21" s="325"/>
      <c r="P21" s="325"/>
    </row>
    <row r="22" spans="1:20" s="326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325"/>
      <c r="M22" s="325"/>
      <c r="N22" s="325"/>
      <c r="O22" s="325"/>
      <c r="P22" s="325"/>
    </row>
    <row r="23" spans="1:20" s="326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325"/>
      <c r="M23" s="325"/>
      <c r="N23" s="325"/>
      <c r="O23" s="325"/>
      <c r="P23" s="325"/>
    </row>
    <row r="24" spans="1:20" s="326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325"/>
      <c r="M24" s="325"/>
      <c r="N24" s="325"/>
      <c r="O24" s="325"/>
      <c r="P24" s="325"/>
    </row>
    <row r="25" spans="1:20" s="326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325"/>
      <c r="M25" s="325"/>
      <c r="N25" s="325"/>
      <c r="O25" s="325"/>
      <c r="P25" s="325"/>
    </row>
    <row r="26" spans="1:20" s="326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325"/>
      <c r="M26" s="325"/>
      <c r="N26" s="325"/>
      <c r="O26" s="325"/>
      <c r="P26" s="325"/>
    </row>
    <row r="27" spans="1:20" s="326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325"/>
      <c r="M27" s="325"/>
      <c r="N27" s="325"/>
      <c r="O27" s="325"/>
      <c r="P27" s="325"/>
    </row>
    <row r="28" spans="1:20" s="339" customFormat="1" ht="18" customHeight="1" thickTop="1">
      <c r="A28" s="294"/>
      <c r="B28" s="294"/>
      <c r="C28" s="294"/>
      <c r="D28" s="294"/>
      <c r="E28" s="294"/>
      <c r="F28" s="116"/>
      <c r="G28" s="116"/>
      <c r="H28" s="116"/>
      <c r="I28" s="116"/>
      <c r="J28" s="116"/>
      <c r="K28" s="335"/>
      <c r="L28" s="327"/>
      <c r="M28" s="327"/>
      <c r="N28" s="327"/>
      <c r="O28" s="327"/>
      <c r="P28" s="336"/>
      <c r="Q28" s="337"/>
      <c r="R28" s="337"/>
      <c r="S28" s="337"/>
      <c r="T28" s="338"/>
    </row>
    <row r="29" spans="1:20" s="303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300"/>
      <c r="M29" s="301"/>
      <c r="N29" s="302"/>
    </row>
    <row r="30" spans="1:20" s="304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339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340"/>
      <c r="M31" s="341"/>
      <c r="N31" s="340"/>
      <c r="O31" s="340"/>
      <c r="P31" s="340"/>
      <c r="Q31" s="340"/>
      <c r="R31" s="340"/>
      <c r="S31" s="340"/>
      <c r="T31" s="340"/>
    </row>
    <row r="32" spans="1:20" s="339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340"/>
      <c r="M32" s="341"/>
      <c r="N32" s="340"/>
      <c r="O32" s="340"/>
      <c r="P32" s="340"/>
      <c r="Q32" s="340"/>
      <c r="R32" s="340"/>
      <c r="S32" s="340"/>
      <c r="T32" s="340"/>
    </row>
    <row r="33" spans="1:20" s="339" customFormat="1" ht="15.95" customHeight="1">
      <c r="A33" s="680" t="str">
        <f>A4</f>
        <v>PHẦN C.: CẦU VƯỢT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2"/>
      <c r="L33" s="340"/>
      <c r="M33" s="341"/>
      <c r="N33" s="340"/>
      <c r="O33" s="340"/>
      <c r="P33" s="340"/>
      <c r="Q33" s="340"/>
      <c r="R33" s="340"/>
      <c r="S33" s="340"/>
      <c r="T33" s="340"/>
    </row>
    <row r="34" spans="1:20" s="339" customFormat="1" ht="15.95" customHeight="1">
      <c r="A34" s="342" t="str">
        <f>A5</f>
        <v>Hạng mục C.I.2.1. Khe co giãn</v>
      </c>
      <c r="B34" s="343"/>
      <c r="C34" s="344"/>
      <c r="D34" s="344"/>
      <c r="E34" s="345"/>
      <c r="F34" s="346"/>
      <c r="G34" s="346"/>
      <c r="H34" s="346"/>
      <c r="I34" s="346"/>
      <c r="J34" s="346"/>
      <c r="K34" s="347"/>
      <c r="L34" s="340"/>
      <c r="M34" s="341"/>
      <c r="N34" s="340"/>
      <c r="O34" s="340"/>
      <c r="P34" s="340"/>
      <c r="Q34" s="340"/>
      <c r="R34" s="340"/>
      <c r="S34" s="340"/>
      <c r="T34" s="340"/>
    </row>
    <row r="35" spans="1:20" s="339" customFormat="1" ht="15.95" customHeight="1">
      <c r="A35" s="342" t="str">
        <f>A6</f>
        <v>Mục C.I.2.1.1. Lắp đặt khe co giãn FEPA</v>
      </c>
      <c r="B35" s="343"/>
      <c r="C35" s="344"/>
      <c r="D35" s="344"/>
      <c r="E35" s="345"/>
      <c r="F35" s="346"/>
      <c r="G35" s="346"/>
      <c r="H35" s="346"/>
      <c r="I35" s="346"/>
      <c r="J35" s="346"/>
      <c r="K35" s="347"/>
      <c r="L35" s="340"/>
      <c r="M35" s="341"/>
      <c r="N35" s="340"/>
      <c r="O35" s="340"/>
      <c r="P35" s="340"/>
      <c r="Q35" s="340"/>
      <c r="R35" s="340"/>
      <c r="S35" s="340"/>
      <c r="T35" s="340"/>
    </row>
    <row r="36" spans="1:20" s="339" customFormat="1" ht="15.95" customHeight="1">
      <c r="A36" s="683">
        <f>A7</f>
        <v>59.84</v>
      </c>
      <c r="B36" s="684"/>
      <c r="C36" s="684"/>
      <c r="D36" s="684"/>
      <c r="E36" s="348" t="str">
        <f>E7</f>
        <v>(m)</v>
      </c>
      <c r="F36" s="349"/>
      <c r="G36" s="349"/>
      <c r="H36" s="349"/>
      <c r="I36" s="349"/>
      <c r="J36" s="349"/>
      <c r="K36" s="350"/>
      <c r="L36" s="351"/>
      <c r="M36" s="352"/>
      <c r="N36" s="353"/>
      <c r="P36" s="353"/>
    </row>
    <row r="37" spans="1:20" s="326" customFormat="1" ht="13.5" customHeight="1" thickBot="1">
      <c r="A37" s="354"/>
      <c r="B37" s="354"/>
      <c r="C37" s="354"/>
      <c r="D37" s="354"/>
      <c r="E37" s="354"/>
      <c r="F37" s="355"/>
      <c r="G37" s="355"/>
      <c r="H37" s="355"/>
      <c r="I37" s="355"/>
      <c r="J37" s="355"/>
      <c r="K37" s="356"/>
      <c r="L37" s="357"/>
      <c r="M37" s="358"/>
      <c r="N37" s="325"/>
      <c r="O37" s="325"/>
      <c r="P37" s="325"/>
      <c r="R37" s="325"/>
      <c r="S37" s="325"/>
      <c r="T37" s="325"/>
    </row>
    <row r="38" spans="1:20" s="326" customFormat="1" ht="21.6" customHeight="1" thickTop="1">
      <c r="A38" s="685" t="s">
        <v>3</v>
      </c>
      <c r="B38" s="687" t="s">
        <v>84</v>
      </c>
      <c r="C38" s="687"/>
      <c r="D38" s="689" t="s">
        <v>96</v>
      </c>
      <c r="E38" s="689"/>
      <c r="F38" s="689"/>
      <c r="G38" s="689"/>
      <c r="H38" s="687" t="s">
        <v>89</v>
      </c>
      <c r="I38" s="687"/>
      <c r="J38" s="687" t="s">
        <v>85</v>
      </c>
      <c r="K38" s="691"/>
      <c r="L38" s="359"/>
      <c r="M38" s="360"/>
      <c r="N38" s="360"/>
      <c r="O38" s="361"/>
      <c r="P38" s="362"/>
    </row>
    <row r="39" spans="1:20" s="326" customFormat="1" ht="21.6" customHeight="1">
      <c r="A39" s="686"/>
      <c r="B39" s="688"/>
      <c r="C39" s="688"/>
      <c r="D39" s="690"/>
      <c r="E39" s="690"/>
      <c r="F39" s="690"/>
      <c r="G39" s="690"/>
      <c r="H39" s="688"/>
      <c r="I39" s="688"/>
      <c r="J39" s="688"/>
      <c r="K39" s="692"/>
      <c r="L39" s="359"/>
      <c r="M39" s="363"/>
      <c r="N39" s="363"/>
      <c r="O39" s="364"/>
      <c r="P39" s="365"/>
    </row>
    <row r="40" spans="1:20" s="326" customFormat="1" ht="17.100000000000001" customHeight="1">
      <c r="A40" s="366">
        <v>1</v>
      </c>
      <c r="B40" s="676" t="str">
        <f>"Tháng "&amp;IF(L40&lt;10,0&amp;L40&amp;"/"&amp;M40,L40&amp;"/"&amp;M40)</f>
        <v>Tháng 08/2017</v>
      </c>
      <c r="C40" s="676"/>
      <c r="D40" s="677" t="str">
        <f>N6</f>
        <v>Lắp đặt khe co giãn FEPA</v>
      </c>
      <c r="E40" s="677"/>
      <c r="F40" s="677"/>
      <c r="G40" s="677"/>
      <c r="H40" s="678">
        <f t="shared" ref="H40:H63" si="1">+SUMIFS($I$12:$I$16,$B$12:$B$16,"&gt;="&amp;$O40,$B$12:$B$16,"&lt;="&amp;$P40)</f>
        <v>0</v>
      </c>
      <c r="I40" s="678"/>
      <c r="J40" s="676"/>
      <c r="K40" s="679"/>
      <c r="L40" s="359">
        <v>8</v>
      </c>
      <c r="M40" s="367">
        <v>2017</v>
      </c>
      <c r="N40" s="363"/>
      <c r="O40" s="368">
        <f t="shared" ref="O40:O64" si="2">DATE(M40,L40,1)</f>
        <v>42948</v>
      </c>
      <c r="P40" s="368">
        <f t="shared" ref="P40:P64" si="3">DATE(M40,L40+1,0)</f>
        <v>42978</v>
      </c>
    </row>
    <row r="41" spans="1:20" s="326" customFormat="1" ht="17.100000000000001" customHeight="1">
      <c r="A41" s="369">
        <v>2</v>
      </c>
      <c r="B41" s="668" t="str">
        <f t="shared" ref="B41:B65" si="4">"Tháng "&amp;IF(L41&lt;10,0&amp;L41&amp;"/"&amp;M41,L41&amp;"/"&amp;M41)</f>
        <v>Tháng 09/2017</v>
      </c>
      <c r="C41" s="668"/>
      <c r="D41" s="669" t="str">
        <f>D40</f>
        <v>Lắp đặt khe co giãn FEPA</v>
      </c>
      <c r="E41" s="669"/>
      <c r="F41" s="669"/>
      <c r="G41" s="669"/>
      <c r="H41" s="670">
        <f t="shared" si="1"/>
        <v>0</v>
      </c>
      <c r="I41" s="670"/>
      <c r="J41" s="668"/>
      <c r="K41" s="671"/>
      <c r="L41" s="359">
        <v>9</v>
      </c>
      <c r="M41" s="367">
        <v>2017</v>
      </c>
      <c r="N41" s="359"/>
      <c r="O41" s="368">
        <f t="shared" si="2"/>
        <v>42979</v>
      </c>
      <c r="P41" s="368">
        <f t="shared" si="3"/>
        <v>43008</v>
      </c>
    </row>
    <row r="42" spans="1:20" s="326" customFormat="1" ht="17.100000000000001" customHeight="1">
      <c r="A42" s="369">
        <f>A41+1</f>
        <v>3</v>
      </c>
      <c r="B42" s="668" t="str">
        <f t="shared" si="4"/>
        <v>Tháng 10/2017</v>
      </c>
      <c r="C42" s="668"/>
      <c r="D42" s="669" t="str">
        <f t="shared" ref="D42:D64" si="5">D41</f>
        <v>Lắp đặt khe co giãn FEPA</v>
      </c>
      <c r="E42" s="669"/>
      <c r="F42" s="669"/>
      <c r="G42" s="669"/>
      <c r="H42" s="670">
        <f t="shared" si="1"/>
        <v>0</v>
      </c>
      <c r="I42" s="670"/>
      <c r="J42" s="668"/>
      <c r="K42" s="671"/>
      <c r="L42" s="359">
        <v>10</v>
      </c>
      <c r="M42" s="367">
        <v>2017</v>
      </c>
      <c r="N42" s="359"/>
      <c r="O42" s="368">
        <f t="shared" si="2"/>
        <v>43009</v>
      </c>
      <c r="P42" s="368">
        <f t="shared" si="3"/>
        <v>43039</v>
      </c>
    </row>
    <row r="43" spans="1:20" s="326" customFormat="1" ht="17.100000000000001" customHeight="1">
      <c r="A43" s="369">
        <f t="shared" ref="A43:A65" si="6">A42+1</f>
        <v>4</v>
      </c>
      <c r="B43" s="668" t="str">
        <f t="shared" si="4"/>
        <v>Tháng 11/2017</v>
      </c>
      <c r="C43" s="668"/>
      <c r="D43" s="669" t="str">
        <f t="shared" si="5"/>
        <v>Lắp đặt khe co giãn FEPA</v>
      </c>
      <c r="E43" s="669"/>
      <c r="F43" s="669"/>
      <c r="G43" s="669"/>
      <c r="H43" s="670">
        <f t="shared" si="1"/>
        <v>0</v>
      </c>
      <c r="I43" s="670"/>
      <c r="J43" s="668"/>
      <c r="K43" s="671"/>
      <c r="L43" s="359">
        <v>11</v>
      </c>
      <c r="M43" s="367">
        <v>2017</v>
      </c>
      <c r="N43" s="359"/>
      <c r="O43" s="368">
        <f t="shared" si="2"/>
        <v>43040</v>
      </c>
      <c r="P43" s="368">
        <f t="shared" si="3"/>
        <v>43069</v>
      </c>
    </row>
    <row r="44" spans="1:20" s="326" customFormat="1" ht="17.100000000000001" customHeight="1">
      <c r="A44" s="369">
        <f t="shared" si="6"/>
        <v>5</v>
      </c>
      <c r="B44" s="668" t="str">
        <f t="shared" si="4"/>
        <v>Tháng 12/2017</v>
      </c>
      <c r="C44" s="668"/>
      <c r="D44" s="669" t="str">
        <f t="shared" si="5"/>
        <v>Lắp đặt khe co giãn FEPA</v>
      </c>
      <c r="E44" s="669"/>
      <c r="F44" s="669"/>
      <c r="G44" s="669"/>
      <c r="H44" s="670">
        <f t="shared" si="1"/>
        <v>0</v>
      </c>
      <c r="I44" s="670"/>
      <c r="J44" s="668"/>
      <c r="K44" s="671"/>
      <c r="L44" s="359">
        <v>12</v>
      </c>
      <c r="M44" s="367">
        <v>2017</v>
      </c>
      <c r="N44" s="359"/>
      <c r="O44" s="368">
        <f t="shared" si="2"/>
        <v>43070</v>
      </c>
      <c r="P44" s="368">
        <f t="shared" si="3"/>
        <v>43100</v>
      </c>
    </row>
    <row r="45" spans="1:20" s="326" customFormat="1" ht="17.100000000000001" customHeight="1">
      <c r="A45" s="369">
        <f t="shared" si="6"/>
        <v>6</v>
      </c>
      <c r="B45" s="668" t="str">
        <f t="shared" si="4"/>
        <v>Tháng 01/2018</v>
      </c>
      <c r="C45" s="668"/>
      <c r="D45" s="669" t="str">
        <f t="shared" si="5"/>
        <v>Lắp đặt khe co giãn FEPA</v>
      </c>
      <c r="E45" s="669"/>
      <c r="F45" s="669"/>
      <c r="G45" s="669"/>
      <c r="H45" s="670">
        <f t="shared" si="1"/>
        <v>0</v>
      </c>
      <c r="I45" s="670"/>
      <c r="J45" s="668"/>
      <c r="K45" s="671"/>
      <c r="L45" s="359">
        <v>1</v>
      </c>
      <c r="M45" s="367">
        <v>2018</v>
      </c>
      <c r="N45" s="359"/>
      <c r="O45" s="368">
        <f t="shared" si="2"/>
        <v>43101</v>
      </c>
      <c r="P45" s="368">
        <f t="shared" si="3"/>
        <v>43131</v>
      </c>
    </row>
    <row r="46" spans="1:20" s="326" customFormat="1" ht="17.100000000000001" customHeight="1">
      <c r="A46" s="369">
        <f t="shared" si="6"/>
        <v>7</v>
      </c>
      <c r="B46" s="668" t="str">
        <f t="shared" si="4"/>
        <v>Tháng 02/2018</v>
      </c>
      <c r="C46" s="668"/>
      <c r="D46" s="669" t="str">
        <f t="shared" si="5"/>
        <v>Lắp đặt khe co giãn FEPA</v>
      </c>
      <c r="E46" s="669"/>
      <c r="F46" s="669"/>
      <c r="G46" s="669"/>
      <c r="H46" s="670">
        <f t="shared" si="1"/>
        <v>0</v>
      </c>
      <c r="I46" s="670"/>
      <c r="J46" s="668"/>
      <c r="K46" s="671"/>
      <c r="L46" s="359">
        <v>2</v>
      </c>
      <c r="M46" s="367">
        <v>2018</v>
      </c>
      <c r="N46" s="359"/>
      <c r="O46" s="368">
        <f t="shared" si="2"/>
        <v>43132</v>
      </c>
      <c r="P46" s="368">
        <f t="shared" si="3"/>
        <v>43159</v>
      </c>
    </row>
    <row r="47" spans="1:20" s="326" customFormat="1" ht="17.100000000000001" customHeight="1">
      <c r="A47" s="369">
        <f t="shared" si="6"/>
        <v>8</v>
      </c>
      <c r="B47" s="668" t="str">
        <f t="shared" si="4"/>
        <v>Tháng 03/2018</v>
      </c>
      <c r="C47" s="668"/>
      <c r="D47" s="669" t="str">
        <f t="shared" si="5"/>
        <v>Lắp đặt khe co giãn FEPA</v>
      </c>
      <c r="E47" s="669"/>
      <c r="F47" s="669"/>
      <c r="G47" s="669"/>
      <c r="H47" s="670">
        <f t="shared" si="1"/>
        <v>0</v>
      </c>
      <c r="I47" s="670"/>
      <c r="J47" s="668"/>
      <c r="K47" s="671"/>
      <c r="L47" s="359">
        <v>3</v>
      </c>
      <c r="M47" s="367">
        <v>2018</v>
      </c>
      <c r="N47" s="359"/>
      <c r="O47" s="368">
        <f t="shared" si="2"/>
        <v>43160</v>
      </c>
      <c r="P47" s="368">
        <f t="shared" si="3"/>
        <v>43190</v>
      </c>
    </row>
    <row r="48" spans="1:20" s="326" customFormat="1" ht="17.100000000000001" customHeight="1">
      <c r="A48" s="369">
        <f t="shared" si="6"/>
        <v>9</v>
      </c>
      <c r="B48" s="668" t="str">
        <f t="shared" si="4"/>
        <v>Tháng 04/2018</v>
      </c>
      <c r="C48" s="668"/>
      <c r="D48" s="669" t="str">
        <f t="shared" si="5"/>
        <v>Lắp đặt khe co giãn FEPA</v>
      </c>
      <c r="E48" s="669"/>
      <c r="F48" s="669"/>
      <c r="G48" s="669"/>
      <c r="H48" s="670">
        <f t="shared" si="1"/>
        <v>0</v>
      </c>
      <c r="I48" s="670"/>
      <c r="J48" s="668"/>
      <c r="K48" s="671"/>
      <c r="L48" s="359">
        <v>4</v>
      </c>
      <c r="M48" s="367">
        <v>2018</v>
      </c>
      <c r="N48" s="359"/>
      <c r="O48" s="368">
        <f t="shared" si="2"/>
        <v>43191</v>
      </c>
      <c r="P48" s="368">
        <f t="shared" si="3"/>
        <v>43220</v>
      </c>
    </row>
    <row r="49" spans="1:16" s="326" customFormat="1" ht="17.100000000000001" customHeight="1">
      <c r="A49" s="369">
        <f t="shared" si="6"/>
        <v>10</v>
      </c>
      <c r="B49" s="668" t="str">
        <f t="shared" si="4"/>
        <v>Tháng 05/2018</v>
      </c>
      <c r="C49" s="668"/>
      <c r="D49" s="669" t="str">
        <f t="shared" si="5"/>
        <v>Lắp đặt khe co giãn FEPA</v>
      </c>
      <c r="E49" s="669"/>
      <c r="F49" s="669"/>
      <c r="G49" s="669"/>
      <c r="H49" s="670">
        <f t="shared" si="1"/>
        <v>0</v>
      </c>
      <c r="I49" s="670"/>
      <c r="J49" s="668"/>
      <c r="K49" s="671"/>
      <c r="L49" s="359">
        <v>5</v>
      </c>
      <c r="M49" s="367">
        <v>2018</v>
      </c>
      <c r="N49" s="359"/>
      <c r="O49" s="368">
        <f t="shared" si="2"/>
        <v>43221</v>
      </c>
      <c r="P49" s="368">
        <f t="shared" si="3"/>
        <v>43251</v>
      </c>
    </row>
    <row r="50" spans="1:16" s="326" customFormat="1" ht="17.100000000000001" customHeight="1">
      <c r="A50" s="369">
        <f t="shared" si="6"/>
        <v>11</v>
      </c>
      <c r="B50" s="668" t="str">
        <f t="shared" si="4"/>
        <v>Tháng 06/2018</v>
      </c>
      <c r="C50" s="668"/>
      <c r="D50" s="669" t="str">
        <f t="shared" si="5"/>
        <v>Lắp đặt khe co giãn FEPA</v>
      </c>
      <c r="E50" s="669"/>
      <c r="F50" s="669"/>
      <c r="G50" s="669"/>
      <c r="H50" s="670">
        <f t="shared" si="1"/>
        <v>0</v>
      </c>
      <c r="I50" s="670"/>
      <c r="J50" s="668"/>
      <c r="K50" s="671"/>
      <c r="L50" s="359">
        <v>6</v>
      </c>
      <c r="M50" s="367">
        <v>2018</v>
      </c>
      <c r="N50" s="359"/>
      <c r="O50" s="368">
        <f t="shared" si="2"/>
        <v>43252</v>
      </c>
      <c r="P50" s="368">
        <f t="shared" si="3"/>
        <v>43281</v>
      </c>
    </row>
    <row r="51" spans="1:16" s="326" customFormat="1" ht="17.100000000000001" customHeight="1">
      <c r="A51" s="369">
        <f t="shared" si="6"/>
        <v>12</v>
      </c>
      <c r="B51" s="668" t="str">
        <f t="shared" si="4"/>
        <v>Tháng 07/2018</v>
      </c>
      <c r="C51" s="668"/>
      <c r="D51" s="669" t="str">
        <f t="shared" si="5"/>
        <v>Lắp đặt khe co giãn FEPA</v>
      </c>
      <c r="E51" s="669"/>
      <c r="F51" s="669"/>
      <c r="G51" s="669"/>
      <c r="H51" s="670">
        <f t="shared" si="1"/>
        <v>0</v>
      </c>
      <c r="I51" s="670"/>
      <c r="J51" s="668"/>
      <c r="K51" s="671"/>
      <c r="L51" s="359">
        <v>7</v>
      </c>
      <c r="M51" s="367">
        <v>2018</v>
      </c>
      <c r="N51" s="359"/>
      <c r="O51" s="368">
        <f t="shared" si="2"/>
        <v>43282</v>
      </c>
      <c r="P51" s="368">
        <f t="shared" si="3"/>
        <v>43312</v>
      </c>
    </row>
    <row r="52" spans="1:16" s="326" customFormat="1" ht="17.100000000000001" customHeight="1">
      <c r="A52" s="369">
        <f t="shared" si="6"/>
        <v>13</v>
      </c>
      <c r="B52" s="668" t="str">
        <f t="shared" si="4"/>
        <v>Tháng 08/2018</v>
      </c>
      <c r="C52" s="668"/>
      <c r="D52" s="669" t="str">
        <f t="shared" si="5"/>
        <v>Lắp đặt khe co giãn FEPA</v>
      </c>
      <c r="E52" s="669"/>
      <c r="F52" s="669"/>
      <c r="G52" s="669"/>
      <c r="H52" s="670">
        <f t="shared" si="1"/>
        <v>0</v>
      </c>
      <c r="I52" s="670"/>
      <c r="J52" s="668"/>
      <c r="K52" s="671"/>
      <c r="L52" s="359">
        <v>8</v>
      </c>
      <c r="M52" s="367">
        <v>2018</v>
      </c>
      <c r="N52" s="359"/>
      <c r="O52" s="368">
        <f t="shared" si="2"/>
        <v>43313</v>
      </c>
      <c r="P52" s="368">
        <f t="shared" si="3"/>
        <v>43343</v>
      </c>
    </row>
    <row r="53" spans="1:16" s="326" customFormat="1" ht="17.100000000000001" customHeight="1">
      <c r="A53" s="369">
        <f t="shared" si="6"/>
        <v>14</v>
      </c>
      <c r="B53" s="668" t="str">
        <f t="shared" si="4"/>
        <v>Tháng 09/2018</v>
      </c>
      <c r="C53" s="668"/>
      <c r="D53" s="669" t="str">
        <f t="shared" si="5"/>
        <v>Lắp đặt khe co giãn FEPA</v>
      </c>
      <c r="E53" s="669"/>
      <c r="F53" s="669"/>
      <c r="G53" s="669"/>
      <c r="H53" s="670">
        <f t="shared" si="1"/>
        <v>0</v>
      </c>
      <c r="I53" s="670"/>
      <c r="J53" s="668"/>
      <c r="K53" s="671"/>
      <c r="L53" s="359">
        <v>9</v>
      </c>
      <c r="M53" s="367">
        <v>2018</v>
      </c>
      <c r="N53" s="359"/>
      <c r="O53" s="368">
        <f t="shared" si="2"/>
        <v>43344</v>
      </c>
      <c r="P53" s="368">
        <f t="shared" si="3"/>
        <v>43373</v>
      </c>
    </row>
    <row r="54" spans="1:16" s="326" customFormat="1" ht="17.100000000000001" customHeight="1">
      <c r="A54" s="369">
        <f t="shared" si="6"/>
        <v>15</v>
      </c>
      <c r="B54" s="668" t="str">
        <f t="shared" si="4"/>
        <v>Tháng 10/2018</v>
      </c>
      <c r="C54" s="668"/>
      <c r="D54" s="669" t="str">
        <f t="shared" si="5"/>
        <v>Lắp đặt khe co giãn FEPA</v>
      </c>
      <c r="E54" s="669"/>
      <c r="F54" s="669"/>
      <c r="G54" s="669"/>
      <c r="H54" s="670">
        <f t="shared" si="1"/>
        <v>0</v>
      </c>
      <c r="I54" s="670"/>
      <c r="J54" s="668"/>
      <c r="K54" s="671"/>
      <c r="L54" s="359">
        <v>10</v>
      </c>
      <c r="M54" s="367">
        <v>2018</v>
      </c>
      <c r="N54" s="359"/>
      <c r="O54" s="368">
        <f t="shared" si="2"/>
        <v>43374</v>
      </c>
      <c r="P54" s="368">
        <f t="shared" si="3"/>
        <v>43404</v>
      </c>
    </row>
    <row r="55" spans="1:16" s="326" customFormat="1" ht="17.100000000000001" customHeight="1">
      <c r="A55" s="369">
        <f t="shared" si="6"/>
        <v>16</v>
      </c>
      <c r="B55" s="668" t="str">
        <f t="shared" si="4"/>
        <v>Tháng 11/2018</v>
      </c>
      <c r="C55" s="668"/>
      <c r="D55" s="669" t="str">
        <f t="shared" si="5"/>
        <v>Lắp đặt khe co giãn FEPA</v>
      </c>
      <c r="E55" s="669"/>
      <c r="F55" s="669"/>
      <c r="G55" s="669"/>
      <c r="H55" s="670">
        <f t="shared" si="1"/>
        <v>0</v>
      </c>
      <c r="I55" s="670"/>
      <c r="J55" s="668"/>
      <c r="K55" s="671"/>
      <c r="L55" s="359">
        <v>11</v>
      </c>
      <c r="M55" s="367">
        <v>2018</v>
      </c>
      <c r="N55" s="359"/>
      <c r="O55" s="368">
        <f t="shared" si="2"/>
        <v>43405</v>
      </c>
      <c r="P55" s="368">
        <f t="shared" si="3"/>
        <v>43434</v>
      </c>
    </row>
    <row r="56" spans="1:16" s="326" customFormat="1" ht="17.100000000000001" customHeight="1">
      <c r="A56" s="369">
        <f t="shared" si="6"/>
        <v>17</v>
      </c>
      <c r="B56" s="668" t="str">
        <f t="shared" si="4"/>
        <v>Tháng 12/2018</v>
      </c>
      <c r="C56" s="668"/>
      <c r="D56" s="669" t="str">
        <f t="shared" si="5"/>
        <v>Lắp đặt khe co giãn FEPA</v>
      </c>
      <c r="E56" s="669"/>
      <c r="F56" s="669"/>
      <c r="G56" s="669"/>
      <c r="H56" s="670">
        <f t="shared" si="1"/>
        <v>0</v>
      </c>
      <c r="I56" s="670"/>
      <c r="J56" s="668"/>
      <c r="K56" s="671"/>
      <c r="L56" s="359">
        <v>12</v>
      </c>
      <c r="M56" s="367">
        <v>2018</v>
      </c>
      <c r="N56" s="359"/>
      <c r="O56" s="368">
        <f t="shared" si="2"/>
        <v>43435</v>
      </c>
      <c r="P56" s="368">
        <f t="shared" si="3"/>
        <v>43465</v>
      </c>
    </row>
    <row r="57" spans="1:16" s="326" customFormat="1" ht="17.100000000000001" customHeight="1">
      <c r="A57" s="369">
        <f t="shared" si="6"/>
        <v>18</v>
      </c>
      <c r="B57" s="668" t="str">
        <f t="shared" si="4"/>
        <v>Tháng 01/2019</v>
      </c>
      <c r="C57" s="668"/>
      <c r="D57" s="669" t="str">
        <f t="shared" si="5"/>
        <v>Lắp đặt khe co giãn FEPA</v>
      </c>
      <c r="E57" s="669"/>
      <c r="F57" s="669"/>
      <c r="G57" s="669"/>
      <c r="H57" s="670">
        <f t="shared" si="1"/>
        <v>0</v>
      </c>
      <c r="I57" s="670"/>
      <c r="J57" s="668"/>
      <c r="K57" s="671"/>
      <c r="L57" s="359">
        <v>1</v>
      </c>
      <c r="M57" s="367">
        <v>2019</v>
      </c>
      <c r="N57" s="359"/>
      <c r="O57" s="368">
        <f t="shared" si="2"/>
        <v>43466</v>
      </c>
      <c r="P57" s="368">
        <f t="shared" si="3"/>
        <v>43496</v>
      </c>
    </row>
    <row r="58" spans="1:16" s="326" customFormat="1" ht="17.100000000000001" customHeight="1">
      <c r="A58" s="369">
        <f t="shared" si="6"/>
        <v>19</v>
      </c>
      <c r="B58" s="668" t="str">
        <f t="shared" si="4"/>
        <v>Tháng 02/2019</v>
      </c>
      <c r="C58" s="668"/>
      <c r="D58" s="669" t="str">
        <f t="shared" si="5"/>
        <v>Lắp đặt khe co giãn FEPA</v>
      </c>
      <c r="E58" s="669"/>
      <c r="F58" s="669"/>
      <c r="G58" s="669"/>
      <c r="H58" s="670">
        <f t="shared" si="1"/>
        <v>0</v>
      </c>
      <c r="I58" s="670"/>
      <c r="J58" s="668"/>
      <c r="K58" s="671"/>
      <c r="L58" s="359">
        <v>2</v>
      </c>
      <c r="M58" s="367">
        <v>2019</v>
      </c>
      <c r="N58" s="359"/>
      <c r="O58" s="368">
        <f t="shared" si="2"/>
        <v>43497</v>
      </c>
      <c r="P58" s="368">
        <f t="shared" si="3"/>
        <v>43524</v>
      </c>
    </row>
    <row r="59" spans="1:16" s="326" customFormat="1" ht="17.100000000000001" customHeight="1">
      <c r="A59" s="369">
        <f t="shared" si="6"/>
        <v>20</v>
      </c>
      <c r="B59" s="668" t="str">
        <f t="shared" si="4"/>
        <v>Tháng 03/2019</v>
      </c>
      <c r="C59" s="668"/>
      <c r="D59" s="669" t="str">
        <f t="shared" si="5"/>
        <v>Lắp đặt khe co giãn FEPA</v>
      </c>
      <c r="E59" s="669"/>
      <c r="F59" s="669"/>
      <c r="G59" s="669"/>
      <c r="H59" s="670">
        <f t="shared" si="1"/>
        <v>0</v>
      </c>
      <c r="I59" s="670"/>
      <c r="J59" s="668"/>
      <c r="K59" s="671"/>
      <c r="L59" s="359">
        <v>3</v>
      </c>
      <c r="M59" s="367">
        <v>2019</v>
      </c>
      <c r="N59" s="359"/>
      <c r="O59" s="368">
        <f t="shared" si="2"/>
        <v>43525</v>
      </c>
      <c r="P59" s="368">
        <f t="shared" si="3"/>
        <v>43555</v>
      </c>
    </row>
    <row r="60" spans="1:16" s="326" customFormat="1" ht="17.100000000000001" customHeight="1">
      <c r="A60" s="369">
        <f t="shared" si="6"/>
        <v>21</v>
      </c>
      <c r="B60" s="668" t="str">
        <f t="shared" si="4"/>
        <v>Tháng 04/2019</v>
      </c>
      <c r="C60" s="668"/>
      <c r="D60" s="669" t="str">
        <f t="shared" si="5"/>
        <v>Lắp đặt khe co giãn FEPA</v>
      </c>
      <c r="E60" s="669"/>
      <c r="F60" s="669"/>
      <c r="G60" s="669"/>
      <c r="H60" s="670">
        <f t="shared" si="1"/>
        <v>0</v>
      </c>
      <c r="I60" s="670"/>
      <c r="J60" s="668"/>
      <c r="K60" s="671"/>
      <c r="L60" s="359">
        <v>4</v>
      </c>
      <c r="M60" s="367">
        <v>2019</v>
      </c>
      <c r="N60" s="359"/>
      <c r="O60" s="368">
        <f t="shared" si="2"/>
        <v>43556</v>
      </c>
      <c r="P60" s="368">
        <f t="shared" si="3"/>
        <v>43585</v>
      </c>
    </row>
    <row r="61" spans="1:16" s="326" customFormat="1" ht="17.100000000000001" customHeight="1">
      <c r="A61" s="369">
        <f t="shared" si="6"/>
        <v>22</v>
      </c>
      <c r="B61" s="668" t="str">
        <f t="shared" si="4"/>
        <v>Tháng 05/2019</v>
      </c>
      <c r="C61" s="668"/>
      <c r="D61" s="669" t="str">
        <f t="shared" si="5"/>
        <v>Lắp đặt khe co giãn FEPA</v>
      </c>
      <c r="E61" s="669"/>
      <c r="F61" s="669"/>
      <c r="G61" s="669"/>
      <c r="H61" s="670">
        <f t="shared" si="1"/>
        <v>0</v>
      </c>
      <c r="I61" s="670"/>
      <c r="J61" s="668"/>
      <c r="K61" s="671"/>
      <c r="L61" s="359">
        <v>5</v>
      </c>
      <c r="M61" s="367">
        <v>2019</v>
      </c>
      <c r="N61" s="359"/>
      <c r="O61" s="368">
        <f t="shared" si="2"/>
        <v>43586</v>
      </c>
      <c r="P61" s="368">
        <f t="shared" si="3"/>
        <v>43616</v>
      </c>
    </row>
    <row r="62" spans="1:16" s="326" customFormat="1" ht="17.100000000000001" customHeight="1">
      <c r="A62" s="369">
        <f t="shared" si="6"/>
        <v>23</v>
      </c>
      <c r="B62" s="668" t="str">
        <f t="shared" si="4"/>
        <v>Tháng 06/2019</v>
      </c>
      <c r="C62" s="668"/>
      <c r="D62" s="669" t="str">
        <f t="shared" si="5"/>
        <v>Lắp đặt khe co giãn FEPA</v>
      </c>
      <c r="E62" s="669"/>
      <c r="F62" s="669"/>
      <c r="G62" s="669"/>
      <c r="H62" s="670">
        <f t="shared" si="1"/>
        <v>0</v>
      </c>
      <c r="I62" s="670"/>
      <c r="J62" s="668"/>
      <c r="K62" s="671"/>
      <c r="L62" s="359">
        <v>6</v>
      </c>
      <c r="M62" s="367">
        <v>2019</v>
      </c>
      <c r="N62" s="359"/>
      <c r="O62" s="368">
        <f t="shared" si="2"/>
        <v>43617</v>
      </c>
      <c r="P62" s="368">
        <f t="shared" si="3"/>
        <v>43646</v>
      </c>
    </row>
    <row r="63" spans="1:16" s="326" customFormat="1" ht="17.100000000000001" customHeight="1">
      <c r="A63" s="369">
        <f t="shared" si="6"/>
        <v>24</v>
      </c>
      <c r="B63" s="668" t="str">
        <f t="shared" si="4"/>
        <v>Tháng 07/2019</v>
      </c>
      <c r="C63" s="668"/>
      <c r="D63" s="669" t="str">
        <f t="shared" si="5"/>
        <v>Lắp đặt khe co giãn FEPA</v>
      </c>
      <c r="E63" s="669"/>
      <c r="F63" s="669"/>
      <c r="G63" s="669"/>
      <c r="H63" s="670">
        <f t="shared" si="1"/>
        <v>0</v>
      </c>
      <c r="I63" s="670"/>
      <c r="J63" s="668"/>
      <c r="K63" s="671"/>
      <c r="L63" s="359">
        <v>7</v>
      </c>
      <c r="M63" s="367">
        <v>2019</v>
      </c>
      <c r="N63" s="359"/>
      <c r="O63" s="368">
        <f t="shared" si="2"/>
        <v>43647</v>
      </c>
      <c r="P63" s="368">
        <f t="shared" si="3"/>
        <v>43677</v>
      </c>
    </row>
    <row r="64" spans="1:16" s="326" customFormat="1" ht="17.100000000000001" customHeight="1">
      <c r="A64" s="369">
        <f t="shared" si="6"/>
        <v>25</v>
      </c>
      <c r="B64" s="668" t="str">
        <f t="shared" si="4"/>
        <v>Tháng 08/2019</v>
      </c>
      <c r="C64" s="668"/>
      <c r="D64" s="669" t="str">
        <f t="shared" si="5"/>
        <v>Lắp đặt khe co giãn FEPA</v>
      </c>
      <c r="E64" s="669"/>
      <c r="F64" s="669"/>
      <c r="G64" s="669"/>
      <c r="H64" s="670">
        <f t="shared" ref="H64:H65" si="7">+SUMIFS($I$12:$I$35,$B$12:$B$35,"&gt;="&amp;$O64,$B$12:$B$35,"&lt;="&amp;$P64)</f>
        <v>0</v>
      </c>
      <c r="I64" s="670"/>
      <c r="J64" s="668"/>
      <c r="K64" s="671"/>
      <c r="L64" s="359">
        <v>8</v>
      </c>
      <c r="M64" s="367">
        <v>2019</v>
      </c>
      <c r="N64" s="359"/>
      <c r="O64" s="368">
        <f t="shared" si="2"/>
        <v>43678</v>
      </c>
      <c r="P64" s="368">
        <f t="shared" si="3"/>
        <v>43708</v>
      </c>
    </row>
    <row r="65" spans="1:20" s="326" customFormat="1" ht="17.100000000000001" customHeight="1">
      <c r="A65" s="369">
        <f t="shared" si="6"/>
        <v>26</v>
      </c>
      <c r="B65" s="672" t="str">
        <f t="shared" si="4"/>
        <v>Tháng 09/2019</v>
      </c>
      <c r="C65" s="672"/>
      <c r="D65" s="673" t="str">
        <f>D63</f>
        <v>Lắp đặt khe co giãn FEPA</v>
      </c>
      <c r="E65" s="673"/>
      <c r="F65" s="673"/>
      <c r="G65" s="673"/>
      <c r="H65" s="674">
        <f t="shared" si="7"/>
        <v>59.838000000000001</v>
      </c>
      <c r="I65" s="674"/>
      <c r="J65" s="672"/>
      <c r="K65" s="675"/>
      <c r="L65" s="359">
        <v>9</v>
      </c>
      <c r="M65" s="367">
        <v>2019</v>
      </c>
      <c r="N65" s="359"/>
      <c r="O65" s="368">
        <f>DATE(M65,L65,1)</f>
        <v>43709</v>
      </c>
      <c r="P65" s="368">
        <f>DATE(M65,L65+1,0)</f>
        <v>43738</v>
      </c>
    </row>
    <row r="66" spans="1:20" s="326" customFormat="1" ht="21.6" customHeight="1" thickBot="1">
      <c r="A66" s="653" t="s">
        <v>86</v>
      </c>
      <c r="B66" s="654"/>
      <c r="C66" s="654"/>
      <c r="D66" s="654"/>
      <c r="E66" s="654"/>
      <c r="F66" s="654"/>
      <c r="G66" s="655"/>
      <c r="H66" s="656">
        <f t="shared" ref="H66" si="8">SUM(H40:I65)</f>
        <v>59.838000000000001</v>
      </c>
      <c r="I66" s="657"/>
      <c r="J66" s="656"/>
      <c r="K66" s="657"/>
      <c r="L66" s="359"/>
      <c r="M66" s="359"/>
      <c r="N66" s="359"/>
      <c r="O66" s="359"/>
      <c r="P66" s="359"/>
    </row>
    <row r="67" spans="1:20" s="326" customFormat="1" ht="18" customHeight="1" thickTop="1" thickBot="1">
      <c r="A67" s="370"/>
      <c r="B67" s="370"/>
      <c r="C67" s="370"/>
      <c r="D67" s="370"/>
      <c r="E67" s="370"/>
      <c r="F67" s="370"/>
      <c r="G67" s="370"/>
      <c r="H67" s="370"/>
      <c r="I67" s="370"/>
      <c r="J67" s="370"/>
      <c r="K67" s="370"/>
      <c r="L67" s="325"/>
      <c r="M67" s="325"/>
      <c r="N67" s="325"/>
      <c r="O67" s="325"/>
      <c r="P67" s="371"/>
    </row>
    <row r="68" spans="1:20" s="326" customFormat="1" ht="13.9" customHeight="1" thickTop="1">
      <c r="A68" s="658" t="s">
        <v>68</v>
      </c>
      <c r="B68" s="659"/>
      <c r="C68" s="659"/>
      <c r="D68" s="659"/>
      <c r="E68" s="659"/>
      <c r="F68" s="660" t="s">
        <v>69</v>
      </c>
      <c r="G68" s="660"/>
      <c r="H68" s="660"/>
      <c r="I68" s="661"/>
      <c r="J68" s="661"/>
      <c r="K68" s="662"/>
      <c r="L68" s="325"/>
      <c r="M68" s="325"/>
      <c r="N68" s="325"/>
      <c r="O68" s="325"/>
      <c r="P68" s="325"/>
    </row>
    <row r="69" spans="1:20" s="326" customFormat="1" ht="13.9" customHeight="1">
      <c r="A69" s="663" t="s">
        <v>5</v>
      </c>
      <c r="B69" s="664"/>
      <c r="C69" s="664"/>
      <c r="D69" s="664"/>
      <c r="E69" s="664"/>
      <c r="F69" s="665" t="s">
        <v>6</v>
      </c>
      <c r="G69" s="665"/>
      <c r="H69" s="665"/>
      <c r="I69" s="666"/>
      <c r="J69" s="666"/>
      <c r="K69" s="667"/>
      <c r="L69" s="325"/>
      <c r="M69" s="325"/>
      <c r="N69" s="325"/>
      <c r="O69" s="325"/>
      <c r="P69" s="325"/>
    </row>
    <row r="70" spans="1:20" s="326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325"/>
      <c r="M70" s="325"/>
      <c r="N70" s="325"/>
      <c r="O70" s="325"/>
      <c r="P70" s="325"/>
    </row>
    <row r="71" spans="1:20" s="326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325"/>
      <c r="M71" s="325"/>
      <c r="N71" s="325"/>
      <c r="O71" s="325"/>
      <c r="P71" s="325"/>
    </row>
    <row r="72" spans="1:20" s="326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325"/>
      <c r="M72" s="325"/>
      <c r="N72" s="325"/>
      <c r="O72" s="325"/>
      <c r="P72" s="325"/>
    </row>
    <row r="73" spans="1:20" s="326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325"/>
      <c r="M73" s="325"/>
      <c r="N73" s="325"/>
      <c r="O73" s="325"/>
      <c r="P73" s="325"/>
    </row>
    <row r="74" spans="1:20" s="326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325"/>
      <c r="M74" s="325"/>
      <c r="N74" s="325"/>
      <c r="O74" s="325"/>
      <c r="P74" s="325"/>
    </row>
    <row r="75" spans="1:20" s="326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325"/>
      <c r="M75" s="325"/>
      <c r="N75" s="325"/>
      <c r="O75" s="325"/>
      <c r="P75" s="325"/>
    </row>
    <row r="76" spans="1:20" s="326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325"/>
      <c r="M76" s="325"/>
      <c r="N76" s="325"/>
      <c r="O76" s="325"/>
      <c r="P76" s="325"/>
    </row>
    <row r="77" spans="1:20" s="326" customFormat="1" ht="15.75" thickTop="1">
      <c r="A77" s="325"/>
      <c r="B77" s="372"/>
      <c r="C77" s="373"/>
      <c r="D77" s="373"/>
      <c r="E77" s="373"/>
      <c r="F77" s="374"/>
      <c r="G77" s="374"/>
      <c r="H77" s="374"/>
      <c r="I77" s="374"/>
      <c r="J77" s="374"/>
      <c r="K77" s="325"/>
      <c r="L77" s="325"/>
      <c r="M77" s="325"/>
      <c r="N77" s="325"/>
      <c r="O77" s="325"/>
      <c r="P77" s="325"/>
      <c r="R77" s="325"/>
      <c r="S77" s="325"/>
      <c r="T77" s="325"/>
    </row>
  </sheetData>
  <mergeCells count="149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A70:E76"/>
    <mergeCell ref="F70:K76"/>
    <mergeCell ref="A66:G66"/>
    <mergeCell ref="H66:I66"/>
    <mergeCell ref="J66:K66"/>
    <mergeCell ref="A68:E68"/>
    <mergeCell ref="F68:K68"/>
    <mergeCell ref="A69:E69"/>
    <mergeCell ref="F69:K69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92D050"/>
  </sheetPr>
  <dimension ref="A1:T78"/>
  <sheetViews>
    <sheetView topLeftCell="A12" zoomScaleSheetLayoutView="100" workbookViewId="0">
      <selection activeCell="F18" sqref="F18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C.I.2.2.1. Lắp đặt ống HDPE D112/90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1</v>
      </c>
      <c r="N6" s="245" t="str">
        <f>THKLQT!C37</f>
        <v>Lắp đặt ống HDPE D112/90</v>
      </c>
      <c r="Q6" s="17"/>
    </row>
    <row r="7" spans="1:20" s="178" customFormat="1" ht="18.75" customHeight="1">
      <c r="A7" s="634">
        <f>I18</f>
        <v>35.909999999999997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THKLQT!D37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customHeight="1" outlineLevel="2">
      <c r="A12" s="81">
        <f>SUBTOTAL(103,$B$12:B12)</f>
        <v>1</v>
      </c>
      <c r="B12" s="78">
        <f>Q12</f>
        <v>43533</v>
      </c>
      <c r="C12" s="571" t="str">
        <f>T12</f>
        <v>Lắp đặt ống HDPE D112/90 khối G1</v>
      </c>
      <c r="D12" s="572"/>
      <c r="E12" s="573"/>
      <c r="F12" s="377">
        <f>14*1.995</f>
        <v>27.93</v>
      </c>
      <c r="G12" s="378">
        <f>P12</f>
        <v>27.93</v>
      </c>
      <c r="H12" s="380">
        <f t="shared" ref="H12" si="0">MIN(F12:G12)</f>
        <v>27.93</v>
      </c>
      <c r="I12" s="422">
        <f t="shared" ref="I12" si="1">H12</f>
        <v>27.93</v>
      </c>
      <c r="J12" s="107">
        <f>P12</f>
        <v>27.93</v>
      </c>
      <c r="K12" s="700" t="s">
        <v>677</v>
      </c>
      <c r="L12" s="4" t="s">
        <v>749</v>
      </c>
      <c r="N12" s="118"/>
      <c r="O12" s="118" t="s">
        <v>750</v>
      </c>
      <c r="P12" s="88">
        <v>27.93</v>
      </c>
      <c r="Q12" s="89">
        <v>43533</v>
      </c>
      <c r="R12" s="88"/>
      <c r="S12" s="88" t="e">
        <f>VLOOKUP($S$11,hamchuigoi3,M12,0)</f>
        <v>#VALUE!</v>
      </c>
      <c r="T12" s="3" t="str">
        <f t="shared" ref="T12:T15" si="2">$N$6&amp;" "&amp;O12</f>
        <v>Lắp đặt ống HDPE D112/90 khối G1</v>
      </c>
    </row>
    <row r="13" spans="1:20" ht="14.25" outlineLevel="2">
      <c r="A13" s="81">
        <f>SUBTOTAL(103,$B$12:B13)</f>
        <v>2</v>
      </c>
      <c r="B13" s="78">
        <f>Q13</f>
        <v>43532</v>
      </c>
      <c r="C13" s="571" t="str">
        <f>T13</f>
        <v>Lắp đặt ống HDPE D112/90 khối G2</v>
      </c>
      <c r="D13" s="572"/>
      <c r="E13" s="573"/>
      <c r="F13" s="377">
        <f>1*1.995</f>
        <v>1.9950000000000001</v>
      </c>
      <c r="G13" s="378">
        <f>P13</f>
        <v>2.0070000000000001</v>
      </c>
      <c r="H13" s="380">
        <v>2.0070000000000001</v>
      </c>
      <c r="I13" s="402">
        <f>+F13</f>
        <v>1.9950000000000001</v>
      </c>
      <c r="J13" s="107">
        <f>P13</f>
        <v>2.0070000000000001</v>
      </c>
      <c r="K13" s="701"/>
      <c r="N13" s="118"/>
      <c r="O13" s="118" t="s">
        <v>751</v>
      </c>
      <c r="P13" s="88">
        <v>2.0070000000000001</v>
      </c>
      <c r="Q13" s="89">
        <v>43532</v>
      </c>
      <c r="R13" s="88"/>
      <c r="S13" s="88" t="e">
        <f>VLOOKUP($S$11,hamchuigoi3,M13,0)</f>
        <v>#VALUE!</v>
      </c>
      <c r="T13" s="3" t="str">
        <f t="shared" si="2"/>
        <v>Lắp đặt ống HDPE D112/90 khối G2</v>
      </c>
    </row>
    <row r="14" spans="1:20" ht="14.25" outlineLevel="2">
      <c r="A14" s="81">
        <f>SUBTOTAL(103,$B$12:B14)</f>
        <v>3</v>
      </c>
      <c r="B14" s="78">
        <f>Q14</f>
        <v>43531</v>
      </c>
      <c r="C14" s="571" t="str">
        <f>T14</f>
        <v>Lắp đặt ống HDPE D112/90 khối G3</v>
      </c>
      <c r="D14" s="572"/>
      <c r="E14" s="573"/>
      <c r="F14" s="377">
        <f>1*1.995</f>
        <v>1.9950000000000001</v>
      </c>
      <c r="G14" s="378">
        <f>P14</f>
        <v>2.004</v>
      </c>
      <c r="H14" s="380">
        <f>+G14</f>
        <v>2.004</v>
      </c>
      <c r="I14" s="402">
        <f t="shared" ref="I14:I16" si="3">+F14</f>
        <v>1.9950000000000001</v>
      </c>
      <c r="J14" s="107">
        <f>P14</f>
        <v>2.004</v>
      </c>
      <c r="K14" s="701"/>
      <c r="N14" s="118"/>
      <c r="O14" s="118" t="s">
        <v>752</v>
      </c>
      <c r="P14" s="88">
        <v>2.004</v>
      </c>
      <c r="Q14" s="89">
        <v>43531</v>
      </c>
      <c r="R14" s="88"/>
      <c r="S14" s="88" t="e">
        <f>VLOOKUP($S$11,hamchuigoi3,M14,0)</f>
        <v>#VALUE!</v>
      </c>
      <c r="T14" s="3" t="str">
        <f t="shared" si="2"/>
        <v>Lắp đặt ống HDPE D112/90 khối G3</v>
      </c>
    </row>
    <row r="15" spans="1:20" ht="14.25" outlineLevel="2">
      <c r="A15" s="81">
        <f>SUBTOTAL(103,$B$12:B15)</f>
        <v>4</v>
      </c>
      <c r="B15" s="78">
        <f>Q15</f>
        <v>43529</v>
      </c>
      <c r="C15" s="571" t="str">
        <f>T15</f>
        <v>Lắp đặt ống HDPE D112/90 khối G2*</v>
      </c>
      <c r="D15" s="572"/>
      <c r="E15" s="573"/>
      <c r="F15" s="377">
        <f>1*1.995</f>
        <v>1.9950000000000001</v>
      </c>
      <c r="G15" s="378">
        <f>P15</f>
        <v>2.0739999999999998</v>
      </c>
      <c r="H15" s="378">
        <f>+G15</f>
        <v>2.0739999999999998</v>
      </c>
      <c r="I15" s="402">
        <f t="shared" si="3"/>
        <v>1.9950000000000001</v>
      </c>
      <c r="J15" s="107">
        <f>P15</f>
        <v>2.0739999999999998</v>
      </c>
      <c r="K15" s="701"/>
      <c r="N15" s="118"/>
      <c r="O15" s="118" t="s">
        <v>753</v>
      </c>
      <c r="P15" s="88">
        <v>2.0739999999999998</v>
      </c>
      <c r="Q15" s="89">
        <v>43529</v>
      </c>
      <c r="R15" s="88"/>
      <c r="S15" s="88" t="e">
        <f>VLOOKUP($S$11,hamchuigoi3,M15,0)</f>
        <v>#VALUE!</v>
      </c>
      <c r="T15" s="3" t="str">
        <f t="shared" si="2"/>
        <v>Lắp đặt ống HDPE D112/90 khối G2*</v>
      </c>
    </row>
    <row r="16" spans="1:20" ht="14.25" outlineLevel="2">
      <c r="A16" s="81">
        <f>SUBTOTAL(103,$B$12:B16)</f>
        <v>5</v>
      </c>
      <c r="B16" s="78">
        <f>Q16</f>
        <v>43530</v>
      </c>
      <c r="C16" s="571" t="str">
        <f>T16</f>
        <v>Lắp đặt ống HDPE D112/90 khối G3*</v>
      </c>
      <c r="D16" s="572"/>
      <c r="E16" s="573"/>
      <c r="F16" s="377">
        <f>1*1.995</f>
        <v>1.9950000000000001</v>
      </c>
      <c r="G16" s="378">
        <f>P16</f>
        <v>2.077</v>
      </c>
      <c r="H16" s="380">
        <f>+G16</f>
        <v>2.077</v>
      </c>
      <c r="I16" s="402">
        <f t="shared" si="3"/>
        <v>1.9950000000000001</v>
      </c>
      <c r="J16" s="107">
        <f>P16</f>
        <v>2.077</v>
      </c>
      <c r="K16" s="702"/>
      <c r="N16" s="118"/>
      <c r="O16" s="118" t="s">
        <v>754</v>
      </c>
      <c r="P16" s="88">
        <v>2.077</v>
      </c>
      <c r="Q16" s="89">
        <v>43530</v>
      </c>
      <c r="R16" s="88"/>
      <c r="S16" s="88" t="e">
        <f>VLOOKUP($S$11,hamchuigoi3,M16,0)</f>
        <v>#VALUE!</v>
      </c>
      <c r="T16" s="3" t="str">
        <f t="shared" ref="T16" si="4">$N$6&amp;" "&amp;O16</f>
        <v>Lắp đặt ống HDPE D112/90 khối G3*</v>
      </c>
    </row>
    <row r="17" spans="1:20" ht="14.25" outlineLevel="2">
      <c r="A17" s="81"/>
      <c r="B17" s="78"/>
      <c r="C17" s="571"/>
      <c r="D17" s="572"/>
      <c r="E17" s="573"/>
      <c r="F17" s="27"/>
      <c r="G17" s="33"/>
      <c r="H17" s="31"/>
      <c r="I17" s="107"/>
      <c r="J17" s="107"/>
      <c r="K17" s="82"/>
      <c r="N17" s="118"/>
      <c r="O17" s="118"/>
      <c r="P17" s="88"/>
      <c r="Q17" s="89"/>
      <c r="R17" s="88"/>
      <c r="S17" s="88"/>
      <c r="T17" s="3"/>
    </row>
    <row r="18" spans="1:20" thickBot="1">
      <c r="A18" s="574" t="s">
        <v>4</v>
      </c>
      <c r="B18" s="575"/>
      <c r="C18" s="575"/>
      <c r="D18" s="575"/>
      <c r="E18" s="575"/>
      <c r="F18" s="277">
        <f>'[1]Go lan can'!$I$42</f>
        <v>35.910000000000004</v>
      </c>
      <c r="G18" s="79">
        <f>ROUND(SUM(G12:G17),2)</f>
        <v>36.090000000000003</v>
      </c>
      <c r="H18" s="79">
        <f>ROUND(SUM(H12:H17),2)</f>
        <v>36.090000000000003</v>
      </c>
      <c r="I18" s="79">
        <f>ROUND(SUM(I12:I17),2)</f>
        <v>35.909999999999997</v>
      </c>
      <c r="J18" s="79">
        <f>ROUND(SUM(J12:J17),2)</f>
        <v>36.090000000000003</v>
      </c>
      <c r="K18" s="80"/>
      <c r="N18" s="118"/>
      <c r="O18" s="118"/>
      <c r="P18" s="90">
        <f>SUM(P12:P12)</f>
        <v>27.93</v>
      </c>
    </row>
    <row r="19" spans="1:20" s="175" customFormat="1" ht="18" customHeight="1" thickTop="1" thickBot="1">
      <c r="A19" s="253"/>
      <c r="B19" s="253"/>
      <c r="C19" s="253"/>
      <c r="D19" s="253"/>
      <c r="E19" s="253"/>
      <c r="F19" s="116"/>
      <c r="G19" s="116"/>
      <c r="H19" s="116"/>
      <c r="I19" s="116"/>
      <c r="J19" s="116"/>
      <c r="K19" s="117"/>
      <c r="L19" s="4"/>
      <c r="M19" s="4"/>
      <c r="N19" s="118"/>
      <c r="O19" s="118"/>
      <c r="P19" s="119"/>
      <c r="Q19" s="120"/>
      <c r="R19" s="120"/>
      <c r="S19" s="120"/>
      <c r="T19" s="121"/>
    </row>
    <row r="20" spans="1:20" s="5" customFormat="1" ht="13.9" customHeight="1" thickTop="1">
      <c r="A20" s="578" t="s">
        <v>68</v>
      </c>
      <c r="B20" s="579"/>
      <c r="C20" s="579"/>
      <c r="D20" s="579"/>
      <c r="E20" s="579"/>
      <c r="F20" s="580" t="s">
        <v>69</v>
      </c>
      <c r="G20" s="580"/>
      <c r="H20" s="580"/>
      <c r="I20" s="581"/>
      <c r="J20" s="581"/>
      <c r="K20" s="582"/>
      <c r="L20" s="4"/>
      <c r="M20" s="4"/>
      <c r="N20" s="4"/>
      <c r="O20" s="4"/>
      <c r="P20" s="4"/>
    </row>
    <row r="21" spans="1:20" s="5" customFormat="1" ht="13.9" customHeight="1">
      <c r="A21" s="583" t="s">
        <v>5</v>
      </c>
      <c r="B21" s="584"/>
      <c r="C21" s="584"/>
      <c r="D21" s="584"/>
      <c r="E21" s="584"/>
      <c r="F21" s="585" t="s">
        <v>6</v>
      </c>
      <c r="G21" s="585"/>
      <c r="H21" s="585"/>
      <c r="I21" s="586"/>
      <c r="J21" s="586"/>
      <c r="K21" s="587"/>
      <c r="L21" s="4"/>
      <c r="M21" s="4"/>
      <c r="N21" s="4"/>
      <c r="O21" s="4"/>
      <c r="P21" s="4"/>
    </row>
    <row r="22" spans="1:20" s="5" customFormat="1" ht="13.9" customHeight="1">
      <c r="A22" s="583" t="s">
        <v>836</v>
      </c>
      <c r="B22" s="584"/>
      <c r="C22" s="584"/>
      <c r="D22" s="584"/>
      <c r="E22" s="584"/>
      <c r="F22" s="590" t="s">
        <v>837</v>
      </c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>
      <c r="A27" s="583"/>
      <c r="B27" s="584"/>
      <c r="C27" s="584"/>
      <c r="D27" s="584"/>
      <c r="E27" s="584"/>
      <c r="F27" s="590"/>
      <c r="G27" s="590"/>
      <c r="H27" s="590"/>
      <c r="I27" s="591"/>
      <c r="J27" s="591"/>
      <c r="K27" s="592"/>
      <c r="L27" s="4"/>
      <c r="M27" s="4"/>
      <c r="N27" s="4"/>
      <c r="O27" s="4"/>
      <c r="P27" s="4"/>
    </row>
    <row r="28" spans="1:20" s="5" customFormat="1" ht="13.9" customHeight="1" thickBot="1">
      <c r="A28" s="588"/>
      <c r="B28" s="589"/>
      <c r="C28" s="589"/>
      <c r="D28" s="589"/>
      <c r="E28" s="589"/>
      <c r="F28" s="593"/>
      <c r="G28" s="593"/>
      <c r="H28" s="593"/>
      <c r="I28" s="594"/>
      <c r="J28" s="594"/>
      <c r="K28" s="595"/>
      <c r="L28" s="4"/>
      <c r="M28" s="4"/>
      <c r="N28" s="4"/>
      <c r="O28" s="4"/>
      <c r="P28" s="4"/>
    </row>
    <row r="29" spans="1:20" s="175" customFormat="1" ht="18" customHeight="1" thickTop="1">
      <c r="A29" s="253"/>
      <c r="B29" s="253"/>
      <c r="C29" s="253"/>
      <c r="D29" s="253"/>
      <c r="E29" s="253"/>
      <c r="F29" s="116"/>
      <c r="G29" s="116"/>
      <c r="H29" s="116"/>
      <c r="I29" s="116"/>
      <c r="J29" s="116"/>
      <c r="K29" s="117"/>
      <c r="L29" s="118"/>
      <c r="M29" s="118"/>
      <c r="N29" s="118"/>
      <c r="O29" s="118"/>
      <c r="P29" s="119"/>
      <c r="Q29" s="120"/>
      <c r="R29" s="120"/>
      <c r="S29" s="120"/>
      <c r="T29" s="121"/>
    </row>
    <row r="30" spans="1:20" s="111" customFormat="1" ht="48" customHeight="1">
      <c r="A30" s="596" t="s">
        <v>87</v>
      </c>
      <c r="B30" s="596"/>
      <c r="C30" s="596"/>
      <c r="D30" s="596"/>
      <c r="E30" s="596"/>
      <c r="F30" s="596"/>
      <c r="G30" s="596"/>
      <c r="H30" s="596"/>
      <c r="I30" s="596"/>
      <c r="J30" s="596"/>
      <c r="K30" s="596"/>
      <c r="L30" s="108"/>
      <c r="M30" s="109"/>
      <c r="N30" s="110"/>
    </row>
    <row r="31" spans="1:20" s="112" customFormat="1" ht="18" customHeight="1">
      <c r="A31" s="597" t="s">
        <v>599</v>
      </c>
      <c r="B31" s="597"/>
      <c r="C31" s="597"/>
      <c r="D31" s="597"/>
      <c r="E31" s="597"/>
      <c r="F31" s="597"/>
      <c r="G31" s="597"/>
      <c r="H31" s="597"/>
      <c r="I31" s="597"/>
      <c r="J31" s="597"/>
      <c r="K31" s="597"/>
    </row>
    <row r="32" spans="1:20" s="175" customFormat="1" ht="20.100000000000001" customHeight="1">
      <c r="A32" s="598" t="s">
        <v>90</v>
      </c>
      <c r="B32" s="598"/>
      <c r="C32" s="598"/>
      <c r="D32" s="598"/>
      <c r="E32" s="598"/>
      <c r="F32" s="598"/>
      <c r="G32" s="598"/>
      <c r="H32" s="598"/>
      <c r="I32" s="598"/>
      <c r="J32" s="598"/>
      <c r="K32" s="598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599" t="s">
        <v>91</v>
      </c>
      <c r="B33" s="599"/>
      <c r="C33" s="599"/>
      <c r="D33" s="599"/>
      <c r="E33" s="599"/>
      <c r="F33" s="599"/>
      <c r="G33" s="599"/>
      <c r="H33" s="599"/>
      <c r="I33" s="599"/>
      <c r="J33" s="599"/>
      <c r="K33" s="599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00" t="str">
        <f>A4</f>
        <v>PHẦN C.: CẦU VƯỢT</v>
      </c>
      <c r="B34" s="601"/>
      <c r="C34" s="601"/>
      <c r="D34" s="601"/>
      <c r="E34" s="601"/>
      <c r="F34" s="601"/>
      <c r="G34" s="601"/>
      <c r="H34" s="601"/>
      <c r="I34" s="601"/>
      <c r="J34" s="601"/>
      <c r="K34" s="602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4" t="str">
        <f>A5</f>
        <v>Hạng mục C.I.2.2. Lan can, dải phân cách</v>
      </c>
      <c r="B35" s="255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254" t="str">
        <f>A6</f>
        <v>Mục C.I.2.2.1. Lắp đặt ống HDPE D112/90</v>
      </c>
      <c r="B36" s="255"/>
      <c r="C36" s="127"/>
      <c r="D36" s="127"/>
      <c r="E36" s="128"/>
      <c r="F36" s="129"/>
      <c r="G36" s="129"/>
      <c r="H36" s="129"/>
      <c r="I36" s="129"/>
      <c r="J36" s="129"/>
      <c r="K36" s="130"/>
      <c r="L36" s="123"/>
      <c r="M36" s="124"/>
      <c r="N36" s="123"/>
      <c r="O36" s="123"/>
      <c r="P36" s="123"/>
      <c r="Q36" s="123"/>
      <c r="R36" s="123"/>
      <c r="S36" s="123"/>
      <c r="T36" s="123"/>
    </row>
    <row r="37" spans="1:20" s="175" customFormat="1" ht="15.95" customHeight="1">
      <c r="A37" s="639">
        <f>A7</f>
        <v>35.909999999999997</v>
      </c>
      <c r="B37" s="640"/>
      <c r="C37" s="640"/>
      <c r="D37" s="640"/>
      <c r="E37" s="131" t="str">
        <f>E7</f>
        <v>(m)</v>
      </c>
      <c r="F37" s="132"/>
      <c r="G37" s="132"/>
      <c r="H37" s="132"/>
      <c r="I37" s="132"/>
      <c r="J37" s="132"/>
      <c r="K37" s="133"/>
      <c r="L37" s="173"/>
      <c r="M37" s="135"/>
      <c r="N37" s="174"/>
      <c r="P37" s="174"/>
    </row>
    <row r="38" spans="1:20" s="5" customFormat="1" ht="13.5" customHeight="1" thickBot="1">
      <c r="A38" s="28"/>
      <c r="B38" s="28"/>
      <c r="C38" s="28"/>
      <c r="D38" s="28"/>
      <c r="E38" s="28"/>
      <c r="F38" s="30"/>
      <c r="G38" s="30"/>
      <c r="H38" s="30"/>
      <c r="I38" s="30"/>
      <c r="J38" s="30"/>
      <c r="K38" s="8"/>
      <c r="L38" s="23"/>
      <c r="M38" s="9"/>
      <c r="N38" s="4"/>
      <c r="O38" s="4"/>
      <c r="P38" s="4"/>
      <c r="R38" s="4"/>
      <c r="S38" s="4"/>
      <c r="T38" s="4"/>
    </row>
    <row r="39" spans="1:20" s="5" customFormat="1" ht="21.6" customHeight="1" thickTop="1">
      <c r="A39" s="576" t="s">
        <v>3</v>
      </c>
      <c r="B39" s="641" t="s">
        <v>84</v>
      </c>
      <c r="C39" s="641"/>
      <c r="D39" s="643" t="s">
        <v>96</v>
      </c>
      <c r="E39" s="643"/>
      <c r="F39" s="643"/>
      <c r="G39" s="643"/>
      <c r="H39" s="641" t="s">
        <v>89</v>
      </c>
      <c r="I39" s="641"/>
      <c r="J39" s="641" t="s">
        <v>85</v>
      </c>
      <c r="K39" s="645"/>
      <c r="L39"/>
      <c r="M39" s="94"/>
      <c r="N39" s="94"/>
      <c r="O39" s="95"/>
      <c r="P39" s="96"/>
    </row>
    <row r="40" spans="1:20" s="5" customFormat="1" ht="21.6" customHeight="1">
      <c r="A40" s="577"/>
      <c r="B40" s="642"/>
      <c r="C40" s="642"/>
      <c r="D40" s="644"/>
      <c r="E40" s="644"/>
      <c r="F40" s="644"/>
      <c r="G40" s="644"/>
      <c r="H40" s="642"/>
      <c r="I40" s="642"/>
      <c r="J40" s="642"/>
      <c r="K40" s="646"/>
      <c r="L40"/>
      <c r="M40" s="97"/>
      <c r="N40" s="97"/>
      <c r="O40" s="98"/>
      <c r="P40" s="99"/>
    </row>
    <row r="41" spans="1:20" s="5" customFormat="1" ht="17.100000000000001" customHeight="1">
      <c r="A41" s="100">
        <v>1</v>
      </c>
      <c r="B41" s="623" t="str">
        <f>"Tháng "&amp;IF(L41&lt;10,0&amp;L41&amp;"/"&amp;M41,L41&amp;"/"&amp;M41)</f>
        <v>Tháng 08/2017</v>
      </c>
      <c r="C41" s="623"/>
      <c r="D41" s="624" t="str">
        <f>N6</f>
        <v>Lắp đặt ống HDPE D112/90</v>
      </c>
      <c r="E41" s="624"/>
      <c r="F41" s="624"/>
      <c r="G41" s="624"/>
      <c r="H41" s="625">
        <f t="shared" ref="H41:H64" si="5">+SUMIFS($I$12:$I$17,$B$12:$B$17,"&gt;="&amp;$O41,$B$12:$B$17,"&lt;="&amp;$P41)</f>
        <v>0</v>
      </c>
      <c r="I41" s="625"/>
      <c r="J41" s="623"/>
      <c r="K41" s="626"/>
      <c r="L41">
        <v>8</v>
      </c>
      <c r="M41" s="101">
        <v>2017</v>
      </c>
      <c r="N41" s="97"/>
      <c r="O41" s="103">
        <f t="shared" ref="O41:O65" si="6">DATE(M41,L41,1)</f>
        <v>42948</v>
      </c>
      <c r="P41" s="103">
        <f t="shared" ref="P41:P65" si="7">DATE(M41,L41+1,0)</f>
        <v>42978</v>
      </c>
    </row>
    <row r="42" spans="1:20" s="5" customFormat="1" ht="17.100000000000001" customHeight="1">
      <c r="A42" s="104">
        <v>2</v>
      </c>
      <c r="B42" s="567" t="str">
        <f t="shared" ref="B42:B66" si="8">"Tháng "&amp;IF(L42&lt;10,0&amp;L42&amp;"/"&amp;M42,L42&amp;"/"&amp;M42)</f>
        <v>Tháng 09/2017</v>
      </c>
      <c r="C42" s="567"/>
      <c r="D42" s="568" t="str">
        <f>D41</f>
        <v>Lắp đặt ống HDPE D112/90</v>
      </c>
      <c r="E42" s="568"/>
      <c r="F42" s="568"/>
      <c r="G42" s="568"/>
      <c r="H42" s="569">
        <f t="shared" si="5"/>
        <v>0</v>
      </c>
      <c r="I42" s="569"/>
      <c r="J42" s="567"/>
      <c r="K42" s="570"/>
      <c r="L42">
        <v>9</v>
      </c>
      <c r="M42" s="101">
        <v>2017</v>
      </c>
      <c r="N42"/>
      <c r="O42" s="103">
        <f t="shared" si="6"/>
        <v>42979</v>
      </c>
      <c r="P42" s="103">
        <f t="shared" si="7"/>
        <v>43008</v>
      </c>
    </row>
    <row r="43" spans="1:20" s="5" customFormat="1" ht="17.100000000000001" customHeight="1">
      <c r="A43" s="104">
        <f>A42+1</f>
        <v>3</v>
      </c>
      <c r="B43" s="567" t="str">
        <f t="shared" si="8"/>
        <v>Tháng 10/2017</v>
      </c>
      <c r="C43" s="567"/>
      <c r="D43" s="568" t="str">
        <f t="shared" ref="D43:D65" si="9">D42</f>
        <v>Lắp đặt ống HDPE D112/90</v>
      </c>
      <c r="E43" s="568"/>
      <c r="F43" s="568"/>
      <c r="G43" s="568"/>
      <c r="H43" s="569">
        <f t="shared" si="5"/>
        <v>0</v>
      </c>
      <c r="I43" s="569"/>
      <c r="J43" s="567"/>
      <c r="K43" s="570"/>
      <c r="L43">
        <v>10</v>
      </c>
      <c r="M43" s="101">
        <v>2017</v>
      </c>
      <c r="N43"/>
      <c r="O43" s="103">
        <f t="shared" si="6"/>
        <v>43009</v>
      </c>
      <c r="P43" s="103">
        <f t="shared" si="7"/>
        <v>43039</v>
      </c>
    </row>
    <row r="44" spans="1:20" s="5" customFormat="1" ht="17.100000000000001" customHeight="1">
      <c r="A44" s="104">
        <f t="shared" ref="A44:A66" si="10">A43+1</f>
        <v>4</v>
      </c>
      <c r="B44" s="567" t="str">
        <f t="shared" si="8"/>
        <v>Tháng 11/2017</v>
      </c>
      <c r="C44" s="567"/>
      <c r="D44" s="568" t="str">
        <f t="shared" si="9"/>
        <v>Lắp đặt ống HDPE D112/90</v>
      </c>
      <c r="E44" s="568"/>
      <c r="F44" s="568"/>
      <c r="G44" s="568"/>
      <c r="H44" s="569">
        <f t="shared" si="5"/>
        <v>0</v>
      </c>
      <c r="I44" s="569"/>
      <c r="J44" s="567"/>
      <c r="K44" s="570"/>
      <c r="L44">
        <v>11</v>
      </c>
      <c r="M44" s="101">
        <v>2017</v>
      </c>
      <c r="N44"/>
      <c r="O44" s="103">
        <f t="shared" si="6"/>
        <v>43040</v>
      </c>
      <c r="P44" s="103">
        <f t="shared" si="7"/>
        <v>43069</v>
      </c>
    </row>
    <row r="45" spans="1:20" s="5" customFormat="1" ht="17.100000000000001" customHeight="1">
      <c r="A45" s="104">
        <f t="shared" si="10"/>
        <v>5</v>
      </c>
      <c r="B45" s="567" t="str">
        <f t="shared" si="8"/>
        <v>Tháng 12/2017</v>
      </c>
      <c r="C45" s="567"/>
      <c r="D45" s="568" t="str">
        <f t="shared" si="9"/>
        <v>Lắp đặt ống HDPE D112/90</v>
      </c>
      <c r="E45" s="568"/>
      <c r="F45" s="568"/>
      <c r="G45" s="568"/>
      <c r="H45" s="569">
        <f t="shared" si="5"/>
        <v>0</v>
      </c>
      <c r="I45" s="569"/>
      <c r="J45" s="567"/>
      <c r="K45" s="570"/>
      <c r="L45">
        <v>12</v>
      </c>
      <c r="M45" s="101">
        <v>2017</v>
      </c>
      <c r="N45"/>
      <c r="O45" s="103">
        <f t="shared" si="6"/>
        <v>43070</v>
      </c>
      <c r="P45" s="103">
        <f t="shared" si="7"/>
        <v>43100</v>
      </c>
    </row>
    <row r="46" spans="1:20" s="5" customFormat="1" ht="17.100000000000001" customHeight="1">
      <c r="A46" s="104">
        <f t="shared" si="10"/>
        <v>6</v>
      </c>
      <c r="B46" s="567" t="str">
        <f t="shared" si="8"/>
        <v>Tháng 01/2018</v>
      </c>
      <c r="C46" s="567"/>
      <c r="D46" s="568" t="str">
        <f t="shared" si="9"/>
        <v>Lắp đặt ống HDPE D112/90</v>
      </c>
      <c r="E46" s="568"/>
      <c r="F46" s="568"/>
      <c r="G46" s="568"/>
      <c r="H46" s="569">
        <f t="shared" si="5"/>
        <v>0</v>
      </c>
      <c r="I46" s="569"/>
      <c r="J46" s="567"/>
      <c r="K46" s="570"/>
      <c r="L46">
        <v>1</v>
      </c>
      <c r="M46" s="101">
        <v>2018</v>
      </c>
      <c r="N46"/>
      <c r="O46" s="103">
        <f t="shared" si="6"/>
        <v>43101</v>
      </c>
      <c r="P46" s="103">
        <f t="shared" si="7"/>
        <v>43131</v>
      </c>
    </row>
    <row r="47" spans="1:20" s="5" customFormat="1" ht="17.100000000000001" customHeight="1">
      <c r="A47" s="104">
        <f t="shared" si="10"/>
        <v>7</v>
      </c>
      <c r="B47" s="567" t="str">
        <f t="shared" si="8"/>
        <v>Tháng 02/2018</v>
      </c>
      <c r="C47" s="567"/>
      <c r="D47" s="568" t="str">
        <f t="shared" si="9"/>
        <v>Lắp đặt ống HDPE D112/90</v>
      </c>
      <c r="E47" s="568"/>
      <c r="F47" s="568"/>
      <c r="G47" s="568"/>
      <c r="H47" s="569">
        <f t="shared" si="5"/>
        <v>0</v>
      </c>
      <c r="I47" s="569"/>
      <c r="J47" s="567"/>
      <c r="K47" s="570"/>
      <c r="L47">
        <v>2</v>
      </c>
      <c r="M47" s="101">
        <v>2018</v>
      </c>
      <c r="N47"/>
      <c r="O47" s="103">
        <f t="shared" si="6"/>
        <v>43132</v>
      </c>
      <c r="P47" s="103">
        <f t="shared" si="7"/>
        <v>43159</v>
      </c>
    </row>
    <row r="48" spans="1:20" s="5" customFormat="1" ht="17.100000000000001" customHeight="1">
      <c r="A48" s="104">
        <f t="shared" si="10"/>
        <v>8</v>
      </c>
      <c r="B48" s="567" t="str">
        <f t="shared" si="8"/>
        <v>Tháng 03/2018</v>
      </c>
      <c r="C48" s="567"/>
      <c r="D48" s="568" t="str">
        <f t="shared" si="9"/>
        <v>Lắp đặt ống HDPE D112/90</v>
      </c>
      <c r="E48" s="568"/>
      <c r="F48" s="568"/>
      <c r="G48" s="568"/>
      <c r="H48" s="569">
        <f t="shared" si="5"/>
        <v>0</v>
      </c>
      <c r="I48" s="569"/>
      <c r="J48" s="567"/>
      <c r="K48" s="570"/>
      <c r="L48">
        <v>3</v>
      </c>
      <c r="M48" s="101">
        <v>2018</v>
      </c>
      <c r="N48"/>
      <c r="O48" s="103">
        <f t="shared" si="6"/>
        <v>43160</v>
      </c>
      <c r="P48" s="103">
        <f t="shared" si="7"/>
        <v>43190</v>
      </c>
    </row>
    <row r="49" spans="1:16" s="5" customFormat="1" ht="17.100000000000001" customHeight="1">
      <c r="A49" s="104">
        <f t="shared" si="10"/>
        <v>9</v>
      </c>
      <c r="B49" s="567" t="str">
        <f t="shared" si="8"/>
        <v>Tháng 04/2018</v>
      </c>
      <c r="C49" s="567"/>
      <c r="D49" s="568" t="str">
        <f t="shared" si="9"/>
        <v>Lắp đặt ống HDPE D112/90</v>
      </c>
      <c r="E49" s="568"/>
      <c r="F49" s="568"/>
      <c r="G49" s="568"/>
      <c r="H49" s="569">
        <f t="shared" si="5"/>
        <v>0</v>
      </c>
      <c r="I49" s="569"/>
      <c r="J49" s="567"/>
      <c r="K49" s="570"/>
      <c r="L49">
        <v>4</v>
      </c>
      <c r="M49" s="101">
        <v>2018</v>
      </c>
      <c r="N49"/>
      <c r="O49" s="103">
        <f t="shared" si="6"/>
        <v>43191</v>
      </c>
      <c r="P49" s="103">
        <f t="shared" si="7"/>
        <v>43220</v>
      </c>
    </row>
    <row r="50" spans="1:16" s="5" customFormat="1" ht="17.100000000000001" customHeight="1">
      <c r="A50" s="104">
        <f t="shared" si="10"/>
        <v>10</v>
      </c>
      <c r="B50" s="567" t="str">
        <f t="shared" si="8"/>
        <v>Tháng 05/2018</v>
      </c>
      <c r="C50" s="567"/>
      <c r="D50" s="568" t="str">
        <f t="shared" si="9"/>
        <v>Lắp đặt ống HDPE D112/90</v>
      </c>
      <c r="E50" s="568"/>
      <c r="F50" s="568"/>
      <c r="G50" s="568"/>
      <c r="H50" s="569">
        <f t="shared" si="5"/>
        <v>0</v>
      </c>
      <c r="I50" s="569"/>
      <c r="J50" s="567"/>
      <c r="K50" s="570"/>
      <c r="L50">
        <v>5</v>
      </c>
      <c r="M50" s="101">
        <v>2018</v>
      </c>
      <c r="N50"/>
      <c r="O50" s="103">
        <f t="shared" si="6"/>
        <v>43221</v>
      </c>
      <c r="P50" s="103">
        <f t="shared" si="7"/>
        <v>43251</v>
      </c>
    </row>
    <row r="51" spans="1:16" s="5" customFormat="1" ht="17.100000000000001" customHeight="1">
      <c r="A51" s="104">
        <f t="shared" si="10"/>
        <v>11</v>
      </c>
      <c r="B51" s="567" t="str">
        <f t="shared" si="8"/>
        <v>Tháng 06/2018</v>
      </c>
      <c r="C51" s="567"/>
      <c r="D51" s="568" t="str">
        <f t="shared" si="9"/>
        <v>Lắp đặt ống HDPE D112/90</v>
      </c>
      <c r="E51" s="568"/>
      <c r="F51" s="568"/>
      <c r="G51" s="568"/>
      <c r="H51" s="569">
        <f t="shared" si="5"/>
        <v>0</v>
      </c>
      <c r="I51" s="569"/>
      <c r="J51" s="567"/>
      <c r="K51" s="570"/>
      <c r="L51">
        <v>6</v>
      </c>
      <c r="M51" s="101">
        <v>2018</v>
      </c>
      <c r="N51"/>
      <c r="O51" s="103">
        <f t="shared" si="6"/>
        <v>43252</v>
      </c>
      <c r="P51" s="103">
        <f t="shared" si="7"/>
        <v>43281</v>
      </c>
    </row>
    <row r="52" spans="1:16" s="5" customFormat="1" ht="17.100000000000001" customHeight="1">
      <c r="A52" s="104">
        <f t="shared" si="10"/>
        <v>12</v>
      </c>
      <c r="B52" s="567" t="str">
        <f t="shared" si="8"/>
        <v>Tháng 07/2018</v>
      </c>
      <c r="C52" s="567"/>
      <c r="D52" s="568" t="str">
        <f t="shared" si="9"/>
        <v>Lắp đặt ống HDPE D112/90</v>
      </c>
      <c r="E52" s="568"/>
      <c r="F52" s="568"/>
      <c r="G52" s="568"/>
      <c r="H52" s="569">
        <f t="shared" si="5"/>
        <v>0</v>
      </c>
      <c r="I52" s="569"/>
      <c r="J52" s="567"/>
      <c r="K52" s="570"/>
      <c r="L52">
        <v>7</v>
      </c>
      <c r="M52" s="101">
        <v>2018</v>
      </c>
      <c r="N52"/>
      <c r="O52" s="103">
        <f t="shared" si="6"/>
        <v>43282</v>
      </c>
      <c r="P52" s="103">
        <f t="shared" si="7"/>
        <v>43312</v>
      </c>
    </row>
    <row r="53" spans="1:16" s="5" customFormat="1" ht="17.100000000000001" customHeight="1">
      <c r="A53" s="104">
        <f t="shared" si="10"/>
        <v>13</v>
      </c>
      <c r="B53" s="567" t="str">
        <f t="shared" si="8"/>
        <v>Tháng 08/2018</v>
      </c>
      <c r="C53" s="567"/>
      <c r="D53" s="568" t="str">
        <f t="shared" si="9"/>
        <v>Lắp đặt ống HDPE D112/90</v>
      </c>
      <c r="E53" s="568"/>
      <c r="F53" s="568"/>
      <c r="G53" s="568"/>
      <c r="H53" s="569">
        <f t="shared" si="5"/>
        <v>0</v>
      </c>
      <c r="I53" s="569"/>
      <c r="J53" s="567"/>
      <c r="K53" s="570"/>
      <c r="L53">
        <v>8</v>
      </c>
      <c r="M53" s="101">
        <v>2018</v>
      </c>
      <c r="N53"/>
      <c r="O53" s="103">
        <f t="shared" si="6"/>
        <v>43313</v>
      </c>
      <c r="P53" s="103">
        <f t="shared" si="7"/>
        <v>43343</v>
      </c>
    </row>
    <row r="54" spans="1:16" s="5" customFormat="1" ht="17.100000000000001" customHeight="1">
      <c r="A54" s="104">
        <f t="shared" si="10"/>
        <v>14</v>
      </c>
      <c r="B54" s="567" t="str">
        <f t="shared" si="8"/>
        <v>Tháng 09/2018</v>
      </c>
      <c r="C54" s="567"/>
      <c r="D54" s="568" t="str">
        <f t="shared" si="9"/>
        <v>Lắp đặt ống HDPE D112/90</v>
      </c>
      <c r="E54" s="568"/>
      <c r="F54" s="568"/>
      <c r="G54" s="568"/>
      <c r="H54" s="569">
        <f t="shared" si="5"/>
        <v>0</v>
      </c>
      <c r="I54" s="569"/>
      <c r="J54" s="567"/>
      <c r="K54" s="570"/>
      <c r="L54">
        <v>9</v>
      </c>
      <c r="M54" s="101">
        <v>2018</v>
      </c>
      <c r="N54"/>
      <c r="O54" s="103">
        <f t="shared" si="6"/>
        <v>43344</v>
      </c>
      <c r="P54" s="103">
        <f t="shared" si="7"/>
        <v>43373</v>
      </c>
    </row>
    <row r="55" spans="1:16" s="5" customFormat="1" ht="17.100000000000001" customHeight="1">
      <c r="A55" s="104">
        <f t="shared" si="10"/>
        <v>15</v>
      </c>
      <c r="B55" s="567" t="str">
        <f t="shared" si="8"/>
        <v>Tháng 10/2018</v>
      </c>
      <c r="C55" s="567"/>
      <c r="D55" s="568" t="str">
        <f t="shared" si="9"/>
        <v>Lắp đặt ống HDPE D112/90</v>
      </c>
      <c r="E55" s="568"/>
      <c r="F55" s="568"/>
      <c r="G55" s="568"/>
      <c r="H55" s="569">
        <f t="shared" si="5"/>
        <v>0</v>
      </c>
      <c r="I55" s="569"/>
      <c r="J55" s="567"/>
      <c r="K55" s="570"/>
      <c r="L55">
        <v>10</v>
      </c>
      <c r="M55" s="101">
        <v>2018</v>
      </c>
      <c r="N55"/>
      <c r="O55" s="103">
        <f t="shared" si="6"/>
        <v>43374</v>
      </c>
      <c r="P55" s="103">
        <f t="shared" si="7"/>
        <v>43404</v>
      </c>
    </row>
    <row r="56" spans="1:16" s="5" customFormat="1" ht="17.100000000000001" customHeight="1">
      <c r="A56" s="104">
        <f t="shared" si="10"/>
        <v>16</v>
      </c>
      <c r="B56" s="567" t="str">
        <f t="shared" si="8"/>
        <v>Tháng 11/2018</v>
      </c>
      <c r="C56" s="567"/>
      <c r="D56" s="568" t="str">
        <f t="shared" si="9"/>
        <v>Lắp đặt ống HDPE D112/90</v>
      </c>
      <c r="E56" s="568"/>
      <c r="F56" s="568"/>
      <c r="G56" s="568"/>
      <c r="H56" s="569">
        <f t="shared" si="5"/>
        <v>0</v>
      </c>
      <c r="I56" s="569"/>
      <c r="J56" s="567"/>
      <c r="K56" s="570"/>
      <c r="L56">
        <v>11</v>
      </c>
      <c r="M56" s="101">
        <v>2018</v>
      </c>
      <c r="N56"/>
      <c r="O56" s="103">
        <f t="shared" si="6"/>
        <v>43405</v>
      </c>
      <c r="P56" s="103">
        <f t="shared" si="7"/>
        <v>43434</v>
      </c>
    </row>
    <row r="57" spans="1:16" s="5" customFormat="1" ht="17.100000000000001" customHeight="1">
      <c r="A57" s="104">
        <f t="shared" si="10"/>
        <v>17</v>
      </c>
      <c r="B57" s="567" t="str">
        <f t="shared" si="8"/>
        <v>Tháng 12/2018</v>
      </c>
      <c r="C57" s="567"/>
      <c r="D57" s="568" t="str">
        <f t="shared" si="9"/>
        <v>Lắp đặt ống HDPE D112/90</v>
      </c>
      <c r="E57" s="568"/>
      <c r="F57" s="568"/>
      <c r="G57" s="568"/>
      <c r="H57" s="569">
        <f t="shared" si="5"/>
        <v>0</v>
      </c>
      <c r="I57" s="569"/>
      <c r="J57" s="567"/>
      <c r="K57" s="570"/>
      <c r="L57">
        <v>12</v>
      </c>
      <c r="M57" s="101">
        <v>2018</v>
      </c>
      <c r="N57"/>
      <c r="O57" s="103">
        <f t="shared" si="6"/>
        <v>43435</v>
      </c>
      <c r="P57" s="103">
        <f t="shared" si="7"/>
        <v>43465</v>
      </c>
    </row>
    <row r="58" spans="1:16" s="5" customFormat="1" ht="17.100000000000001" customHeight="1">
      <c r="A58" s="104">
        <f t="shared" si="10"/>
        <v>18</v>
      </c>
      <c r="B58" s="567" t="str">
        <f t="shared" si="8"/>
        <v>Tháng 01/2019</v>
      </c>
      <c r="C58" s="567"/>
      <c r="D58" s="568" t="str">
        <f t="shared" si="9"/>
        <v>Lắp đặt ống HDPE D112/90</v>
      </c>
      <c r="E58" s="568"/>
      <c r="F58" s="568"/>
      <c r="G58" s="568"/>
      <c r="H58" s="569">
        <f t="shared" si="5"/>
        <v>0</v>
      </c>
      <c r="I58" s="569"/>
      <c r="J58" s="567"/>
      <c r="K58" s="570"/>
      <c r="L58">
        <v>1</v>
      </c>
      <c r="M58" s="101">
        <v>2019</v>
      </c>
      <c r="N58"/>
      <c r="O58" s="103">
        <f t="shared" si="6"/>
        <v>43466</v>
      </c>
      <c r="P58" s="103">
        <f t="shared" si="7"/>
        <v>43496</v>
      </c>
    </row>
    <row r="59" spans="1:16" s="5" customFormat="1" ht="17.100000000000001" customHeight="1">
      <c r="A59" s="104">
        <f t="shared" si="10"/>
        <v>19</v>
      </c>
      <c r="B59" s="567" t="str">
        <f t="shared" si="8"/>
        <v>Tháng 02/2019</v>
      </c>
      <c r="C59" s="567"/>
      <c r="D59" s="568" t="str">
        <f t="shared" si="9"/>
        <v>Lắp đặt ống HDPE D112/90</v>
      </c>
      <c r="E59" s="568"/>
      <c r="F59" s="568"/>
      <c r="G59" s="568"/>
      <c r="H59" s="569">
        <f t="shared" si="5"/>
        <v>0</v>
      </c>
      <c r="I59" s="569"/>
      <c r="J59" s="567"/>
      <c r="K59" s="570"/>
      <c r="L59">
        <v>2</v>
      </c>
      <c r="M59" s="101">
        <v>2019</v>
      </c>
      <c r="N59"/>
      <c r="O59" s="103">
        <f t="shared" si="6"/>
        <v>43497</v>
      </c>
      <c r="P59" s="103">
        <f t="shared" si="7"/>
        <v>43524</v>
      </c>
    </row>
    <row r="60" spans="1:16" s="5" customFormat="1" ht="17.100000000000001" customHeight="1">
      <c r="A60" s="104">
        <f t="shared" si="10"/>
        <v>20</v>
      </c>
      <c r="B60" s="567" t="str">
        <f t="shared" si="8"/>
        <v>Tháng 03/2019</v>
      </c>
      <c r="C60" s="567"/>
      <c r="D60" s="568" t="str">
        <f t="shared" si="9"/>
        <v>Lắp đặt ống HDPE D112/90</v>
      </c>
      <c r="E60" s="568"/>
      <c r="F60" s="568"/>
      <c r="G60" s="568"/>
      <c r="H60" s="569">
        <f t="shared" si="5"/>
        <v>35.909999999999997</v>
      </c>
      <c r="I60" s="569"/>
      <c r="J60" s="567"/>
      <c r="K60" s="570"/>
      <c r="L60">
        <v>3</v>
      </c>
      <c r="M60" s="101">
        <v>2019</v>
      </c>
      <c r="N60"/>
      <c r="O60" s="103">
        <f t="shared" si="6"/>
        <v>43525</v>
      </c>
      <c r="P60" s="103">
        <f t="shared" si="7"/>
        <v>43555</v>
      </c>
    </row>
    <row r="61" spans="1:16" s="5" customFormat="1" ht="17.100000000000001" customHeight="1">
      <c r="A61" s="104">
        <f t="shared" si="10"/>
        <v>21</v>
      </c>
      <c r="B61" s="567" t="str">
        <f t="shared" si="8"/>
        <v>Tháng 04/2019</v>
      </c>
      <c r="C61" s="567"/>
      <c r="D61" s="568" t="str">
        <f t="shared" si="9"/>
        <v>Lắp đặt ống HDPE D112/90</v>
      </c>
      <c r="E61" s="568"/>
      <c r="F61" s="568"/>
      <c r="G61" s="568"/>
      <c r="H61" s="569">
        <f t="shared" si="5"/>
        <v>0</v>
      </c>
      <c r="I61" s="569"/>
      <c r="J61" s="567"/>
      <c r="K61" s="570"/>
      <c r="L61">
        <v>4</v>
      </c>
      <c r="M61" s="101">
        <v>2019</v>
      </c>
      <c r="N61"/>
      <c r="O61" s="103">
        <f t="shared" si="6"/>
        <v>43556</v>
      </c>
      <c r="P61" s="103">
        <f t="shared" si="7"/>
        <v>43585</v>
      </c>
    </row>
    <row r="62" spans="1:16" s="5" customFormat="1" ht="17.100000000000001" customHeight="1">
      <c r="A62" s="104">
        <f t="shared" si="10"/>
        <v>22</v>
      </c>
      <c r="B62" s="567" t="str">
        <f t="shared" si="8"/>
        <v>Tháng 05/2019</v>
      </c>
      <c r="C62" s="567"/>
      <c r="D62" s="568" t="str">
        <f t="shared" si="9"/>
        <v>Lắp đặt ống HDPE D112/90</v>
      </c>
      <c r="E62" s="568"/>
      <c r="F62" s="568"/>
      <c r="G62" s="568"/>
      <c r="H62" s="569">
        <f t="shared" si="5"/>
        <v>0</v>
      </c>
      <c r="I62" s="569"/>
      <c r="J62" s="567"/>
      <c r="K62" s="570"/>
      <c r="L62">
        <v>5</v>
      </c>
      <c r="M62" s="101">
        <v>2019</v>
      </c>
      <c r="N62"/>
      <c r="O62" s="103">
        <f t="shared" si="6"/>
        <v>43586</v>
      </c>
      <c r="P62" s="103">
        <f t="shared" si="7"/>
        <v>43616</v>
      </c>
    </row>
    <row r="63" spans="1:16" s="5" customFormat="1" ht="17.100000000000001" customHeight="1">
      <c r="A63" s="104">
        <f t="shared" si="10"/>
        <v>23</v>
      </c>
      <c r="B63" s="567" t="str">
        <f t="shared" si="8"/>
        <v>Tháng 06/2019</v>
      </c>
      <c r="C63" s="567"/>
      <c r="D63" s="568" t="str">
        <f t="shared" si="9"/>
        <v>Lắp đặt ống HDPE D112/90</v>
      </c>
      <c r="E63" s="568"/>
      <c r="F63" s="568"/>
      <c r="G63" s="568"/>
      <c r="H63" s="569">
        <f t="shared" si="5"/>
        <v>0</v>
      </c>
      <c r="I63" s="569"/>
      <c r="J63" s="567"/>
      <c r="K63" s="570"/>
      <c r="L63">
        <v>6</v>
      </c>
      <c r="M63" s="101">
        <v>2019</v>
      </c>
      <c r="N63"/>
      <c r="O63" s="103">
        <f t="shared" si="6"/>
        <v>43617</v>
      </c>
      <c r="P63" s="103">
        <f t="shared" si="7"/>
        <v>43646</v>
      </c>
    </row>
    <row r="64" spans="1:16" s="5" customFormat="1" ht="17.100000000000001" customHeight="1">
      <c r="A64" s="104">
        <f t="shared" si="10"/>
        <v>24</v>
      </c>
      <c r="B64" s="567" t="str">
        <f t="shared" si="8"/>
        <v>Tháng 07/2019</v>
      </c>
      <c r="C64" s="567"/>
      <c r="D64" s="568" t="str">
        <f t="shared" si="9"/>
        <v>Lắp đặt ống HDPE D112/90</v>
      </c>
      <c r="E64" s="568"/>
      <c r="F64" s="568"/>
      <c r="G64" s="568"/>
      <c r="H64" s="569">
        <f t="shared" si="5"/>
        <v>0</v>
      </c>
      <c r="I64" s="569"/>
      <c r="J64" s="567"/>
      <c r="K64" s="570"/>
      <c r="L64">
        <v>7</v>
      </c>
      <c r="M64" s="101">
        <v>2019</v>
      </c>
      <c r="N64"/>
      <c r="O64" s="103">
        <f t="shared" si="6"/>
        <v>43647</v>
      </c>
      <c r="P64" s="103">
        <f t="shared" si="7"/>
        <v>43677</v>
      </c>
    </row>
    <row r="65" spans="1:20" s="5" customFormat="1" ht="17.100000000000001" customHeight="1">
      <c r="A65" s="104">
        <f t="shared" si="10"/>
        <v>25</v>
      </c>
      <c r="B65" s="567" t="str">
        <f t="shared" si="8"/>
        <v>Tháng 08/2019</v>
      </c>
      <c r="C65" s="567"/>
      <c r="D65" s="568" t="str">
        <f t="shared" si="9"/>
        <v>Lắp đặt ống HDPE D112/90</v>
      </c>
      <c r="E65" s="568"/>
      <c r="F65" s="568"/>
      <c r="G65" s="568"/>
      <c r="H65" s="569">
        <f t="shared" ref="H65:H66" si="11">+SUMIFS($I$12:$I$36,$B$12:$B$36,"&gt;="&amp;$O65,$B$12:$B$36,"&lt;="&amp;$P65)</f>
        <v>0</v>
      </c>
      <c r="I65" s="569"/>
      <c r="J65" s="567"/>
      <c r="K65" s="570"/>
      <c r="L65">
        <v>8</v>
      </c>
      <c r="M65" s="101">
        <v>2019</v>
      </c>
      <c r="N65"/>
      <c r="O65" s="103">
        <f t="shared" si="6"/>
        <v>43678</v>
      </c>
      <c r="P65" s="103">
        <f t="shared" si="7"/>
        <v>43708</v>
      </c>
    </row>
    <row r="66" spans="1:20" s="5" customFormat="1" ht="17.100000000000001" customHeight="1">
      <c r="A66" s="104">
        <f t="shared" si="10"/>
        <v>26</v>
      </c>
      <c r="B66" s="616" t="str">
        <f t="shared" si="8"/>
        <v>Tháng 09/2019</v>
      </c>
      <c r="C66" s="616"/>
      <c r="D66" s="652" t="str">
        <f>D64</f>
        <v>Lắp đặt ống HDPE D112/90</v>
      </c>
      <c r="E66" s="652"/>
      <c r="F66" s="652"/>
      <c r="G66" s="652"/>
      <c r="H66" s="615">
        <f t="shared" si="11"/>
        <v>0</v>
      </c>
      <c r="I66" s="615"/>
      <c r="J66" s="616"/>
      <c r="K66" s="617"/>
      <c r="L66">
        <v>9</v>
      </c>
      <c r="M66" s="101">
        <v>2019</v>
      </c>
      <c r="N66"/>
      <c r="O66" s="103">
        <f>DATE(M66,L66,1)</f>
        <v>43709</v>
      </c>
      <c r="P66" s="103">
        <f>DATE(M66,L66+1,0)</f>
        <v>43738</v>
      </c>
    </row>
    <row r="67" spans="1:20" s="5" customFormat="1" ht="21.6" customHeight="1" thickBot="1">
      <c r="A67" s="618" t="s">
        <v>86</v>
      </c>
      <c r="B67" s="619"/>
      <c r="C67" s="619"/>
      <c r="D67" s="619"/>
      <c r="E67" s="619"/>
      <c r="F67" s="619"/>
      <c r="G67" s="620"/>
      <c r="H67" s="621">
        <f t="shared" ref="H67" si="12">SUM(H41:I66)</f>
        <v>35.909999999999997</v>
      </c>
      <c r="I67" s="622"/>
      <c r="J67" s="621"/>
      <c r="K67" s="622"/>
      <c r="L67"/>
      <c r="M67"/>
      <c r="N67"/>
      <c r="O67"/>
      <c r="P67"/>
    </row>
    <row r="68" spans="1:20" s="5" customFormat="1" ht="18" customHeight="1" thickTop="1" thickBot="1">
      <c r="A68" s="105"/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4"/>
      <c r="M68" s="4"/>
      <c r="N68" s="4"/>
      <c r="O68" s="4"/>
      <c r="P68" s="20"/>
    </row>
    <row r="69" spans="1:20" s="5" customFormat="1" ht="13.9" customHeight="1" thickTop="1">
      <c r="A69" s="647" t="s">
        <v>68</v>
      </c>
      <c r="B69" s="648"/>
      <c r="C69" s="648"/>
      <c r="D69" s="648"/>
      <c r="E69" s="648"/>
      <c r="F69" s="649" t="s">
        <v>69</v>
      </c>
      <c r="G69" s="649"/>
      <c r="H69" s="649"/>
      <c r="I69" s="650"/>
      <c r="J69" s="650"/>
      <c r="K69" s="651"/>
      <c r="L69" s="4"/>
      <c r="M69" s="4"/>
      <c r="N69" s="4"/>
      <c r="O69" s="4"/>
      <c r="P69" s="4"/>
    </row>
    <row r="70" spans="1:20" s="5" customFormat="1" ht="13.9" customHeight="1">
      <c r="A70" s="583" t="s">
        <v>5</v>
      </c>
      <c r="B70" s="584"/>
      <c r="C70" s="584"/>
      <c r="D70" s="584"/>
      <c r="E70" s="584"/>
      <c r="F70" s="585" t="s">
        <v>6</v>
      </c>
      <c r="G70" s="585"/>
      <c r="H70" s="585"/>
      <c r="I70" s="586"/>
      <c r="J70" s="586"/>
      <c r="K70" s="587"/>
      <c r="L70" s="4"/>
      <c r="M70" s="4"/>
      <c r="N70" s="4"/>
      <c r="O70" s="4"/>
      <c r="P70" s="4"/>
    </row>
    <row r="71" spans="1:20" s="5" customFormat="1" ht="13.9" customHeight="1">
      <c r="A71" s="583" t="s">
        <v>836</v>
      </c>
      <c r="B71" s="584"/>
      <c r="C71" s="584"/>
      <c r="D71" s="584"/>
      <c r="E71" s="584"/>
      <c r="F71" s="590" t="s">
        <v>837</v>
      </c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>
      <c r="A76" s="583"/>
      <c r="B76" s="584"/>
      <c r="C76" s="584"/>
      <c r="D76" s="584"/>
      <c r="E76" s="584"/>
      <c r="F76" s="590"/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20" s="5" customFormat="1" ht="13.9" customHeight="1" thickBot="1">
      <c r="A77" s="588"/>
      <c r="B77" s="589"/>
      <c r="C77" s="589"/>
      <c r="D77" s="589"/>
      <c r="E77" s="589"/>
      <c r="F77" s="593"/>
      <c r="G77" s="593"/>
      <c r="H77" s="593"/>
      <c r="I77" s="594"/>
      <c r="J77" s="594"/>
      <c r="K77" s="595"/>
      <c r="L77" s="4"/>
      <c r="M77" s="4"/>
      <c r="N77" s="4"/>
      <c r="O77" s="4"/>
      <c r="P77" s="4"/>
    </row>
    <row r="78" spans="1:20" s="5" customFormat="1" ht="15.75" thickTop="1">
      <c r="A78" s="4"/>
      <c r="B78" s="12"/>
      <c r="C78" s="10"/>
      <c r="D78" s="10"/>
      <c r="E78" s="10"/>
      <c r="F78" s="13"/>
      <c r="G78" s="13"/>
      <c r="H78" s="13"/>
      <c r="I78" s="13"/>
      <c r="J78" s="13"/>
      <c r="K78" s="4"/>
      <c r="L78" s="4"/>
      <c r="M78" s="4"/>
      <c r="N78" s="4"/>
      <c r="O78" s="4"/>
      <c r="P78" s="4"/>
      <c r="R78" s="4"/>
      <c r="S78" s="4"/>
      <c r="T78" s="4"/>
    </row>
  </sheetData>
  <mergeCells count="151"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5:E15"/>
    <mergeCell ref="C17:E17"/>
    <mergeCell ref="A18:E18"/>
    <mergeCell ref="A20:E20"/>
    <mergeCell ref="F20:K20"/>
    <mergeCell ref="A21:E21"/>
    <mergeCell ref="F21:K21"/>
    <mergeCell ref="I9:I11"/>
    <mergeCell ref="J9:J11"/>
    <mergeCell ref="K9:K11"/>
    <mergeCell ref="C12:E12"/>
    <mergeCell ref="C13:E13"/>
    <mergeCell ref="C14:E14"/>
    <mergeCell ref="C16:E16"/>
    <mergeCell ref="K12:K16"/>
    <mergeCell ref="A34:K34"/>
    <mergeCell ref="A37:D37"/>
    <mergeCell ref="A39:A40"/>
    <mergeCell ref="B39:C40"/>
    <mergeCell ref="D39:G40"/>
    <mergeCell ref="H39:I40"/>
    <mergeCell ref="J39:K40"/>
    <mergeCell ref="A22:E28"/>
    <mergeCell ref="F22:K28"/>
    <mergeCell ref="A30:K30"/>
    <mergeCell ref="A31:K31"/>
    <mergeCell ref="A32:K32"/>
    <mergeCell ref="A33:K33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A69:E69"/>
    <mergeCell ref="F69:K69"/>
    <mergeCell ref="A70:E70"/>
    <mergeCell ref="F70:K70"/>
    <mergeCell ref="A71:E77"/>
    <mergeCell ref="F71:K77"/>
    <mergeCell ref="B65:C65"/>
    <mergeCell ref="D65:G65"/>
    <mergeCell ref="H65:I65"/>
    <mergeCell ref="J65:K65"/>
    <mergeCell ref="A67:G67"/>
    <mergeCell ref="H67:I67"/>
    <mergeCell ref="J67:K67"/>
    <mergeCell ref="B66:C66"/>
    <mergeCell ref="D66:G66"/>
    <mergeCell ref="H66:I66"/>
    <mergeCell ref="J66:K6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9" max="10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">
    <tabColor rgb="FF92D050"/>
  </sheetPr>
  <dimension ref="A1:T75"/>
  <sheetViews>
    <sheetView topLeftCell="A60" zoomScaleSheetLayoutView="100" workbookViewId="0">
      <selection activeCell="I15" sqref="I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C.I.2.2.2. Lắp đặt ống nhựa D150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2</v>
      </c>
      <c r="N6" s="245" t="str">
        <f>THKLQT!C38</f>
        <v>Lắp đặt ống nhựa D150</v>
      </c>
      <c r="Q6" s="17"/>
    </row>
    <row r="7" spans="1:20" s="178" customFormat="1" ht="18.75" customHeight="1">
      <c r="A7" s="634">
        <f>I15</f>
        <v>22.52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THKLQT!D37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9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43570</v>
      </c>
      <c r="C12" s="571" t="str">
        <f>T12</f>
        <v>Lắp đặt ống nhựa D150 Phải tuyến</v>
      </c>
      <c r="D12" s="572"/>
      <c r="E12" s="573"/>
      <c r="F12" s="2">
        <f>P12</f>
        <v>11.26</v>
      </c>
      <c r="G12" s="1">
        <f>P12</f>
        <v>11.26</v>
      </c>
      <c r="H12" s="381">
        <f>P12</f>
        <v>11.26</v>
      </c>
      <c r="I12" s="107">
        <f>P12</f>
        <v>11.26</v>
      </c>
      <c r="J12" s="107">
        <f>P12</f>
        <v>11.26</v>
      </c>
      <c r="K12" s="700" t="s">
        <v>677</v>
      </c>
      <c r="L12" s="4" t="s">
        <v>749</v>
      </c>
      <c r="N12" s="118"/>
      <c r="O12" s="118" t="s">
        <v>395</v>
      </c>
      <c r="P12" s="88">
        <v>11.26</v>
      </c>
      <c r="Q12" s="89">
        <v>43570</v>
      </c>
      <c r="R12" s="88"/>
      <c r="S12" s="88" t="e">
        <f>VLOOKUP($S$11,hamchuigoi3,M12,0)</f>
        <v>#VALUE!</v>
      </c>
      <c r="T12" s="3" t="str">
        <f t="shared" ref="T12:T13" si="0">$N$6&amp;" "&amp;O12</f>
        <v>Lắp đặt ống nhựa D150 Phải tuyến</v>
      </c>
    </row>
    <row r="13" spans="1:20" ht="14.25" outlineLevel="2">
      <c r="A13" s="81">
        <f>SUBTOTAL(103,$B$12:B13)</f>
        <v>2</v>
      </c>
      <c r="B13" s="78">
        <f>Q13</f>
        <v>43569</v>
      </c>
      <c r="C13" s="571" t="str">
        <f>T13</f>
        <v>Lắp đặt ống nhựa D150 Trái tuyến</v>
      </c>
      <c r="D13" s="572"/>
      <c r="E13" s="573"/>
      <c r="F13" s="2">
        <f>P13</f>
        <v>11.26</v>
      </c>
      <c r="G13" s="1">
        <f>P13</f>
        <v>11.26</v>
      </c>
      <c r="H13" s="381">
        <f>P13</f>
        <v>11.26</v>
      </c>
      <c r="I13" s="107">
        <f>P13</f>
        <v>11.26</v>
      </c>
      <c r="J13" s="107">
        <f>P13</f>
        <v>11.26</v>
      </c>
      <c r="K13" s="701"/>
      <c r="L13" s="4" t="s">
        <v>749</v>
      </c>
      <c r="N13" s="118"/>
      <c r="O13" s="118" t="s">
        <v>396</v>
      </c>
      <c r="P13" s="88">
        <v>11.26</v>
      </c>
      <c r="Q13" s="89">
        <v>43569</v>
      </c>
      <c r="R13" s="88"/>
      <c r="S13" s="88" t="e">
        <f>VLOOKUP($S$11,hamchuigoi3,M13,0)</f>
        <v>#VALUE!</v>
      </c>
      <c r="T13" s="3" t="str">
        <f t="shared" si="0"/>
        <v>Lắp đặt ống nhựa D150 Trái tuyến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'[1]Thoat nuoc'!$G$8</f>
        <v>22.52</v>
      </c>
      <c r="G15" s="79">
        <f>ROUND(SUM(G12:G14),2)</f>
        <v>22.52</v>
      </c>
      <c r="H15" s="79">
        <f>ROUND(SUM(H12:H14),2)</f>
        <v>22.52</v>
      </c>
      <c r="I15" s="79">
        <f>ROUND(SUM(I12:I14),2)</f>
        <v>22.52</v>
      </c>
      <c r="J15" s="79">
        <f>ROUND(SUM(J12:J14),2)</f>
        <v>22.52</v>
      </c>
      <c r="K15" s="80"/>
      <c r="N15" s="118"/>
      <c r="O15" s="118"/>
      <c r="P15" s="90">
        <f>SUM(P12:P12)</f>
        <v>11.26</v>
      </c>
    </row>
    <row r="16" spans="1:20" s="175" customFormat="1" ht="18" customHeight="1" thickTop="1" thickBot="1">
      <c r="A16" s="393"/>
      <c r="B16" s="393"/>
      <c r="C16" s="393"/>
      <c r="D16" s="393"/>
      <c r="E16" s="39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393"/>
      <c r="B26" s="393"/>
      <c r="C26" s="393"/>
      <c r="D26" s="393"/>
      <c r="E26" s="39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394" t="str">
        <f>A5</f>
        <v>Hạng mục C.I.2.2. Lan can, dải phân cách</v>
      </c>
      <c r="B32" s="39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394" t="str">
        <f>A6</f>
        <v>Mục C.I.2.2.2. Lắp đặt ống nhựa D150</v>
      </c>
      <c r="B33" s="39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22.52</v>
      </c>
      <c r="B34" s="640"/>
      <c r="C34" s="640"/>
      <c r="D34" s="640"/>
      <c r="E34" s="131" t="str">
        <f>E7</f>
        <v>(m)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Lắp đặt ống nhựa D150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Lắp đặt ống nhựa D150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Lắp đặt ống nhựa D150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Lắp đặt ống nhựa D150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Lắp đặt ống nhựa D150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Lắp đặt ống nhựa D150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Lắp đặt ống nhựa D150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Lắp đặt ống nhựa D150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Lắp đặt ống nhựa D150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Lắp đặt ống nhựa D150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Lắp đặt ống nhựa D150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Lắp đặt ống nhựa D150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Lắp đặt ống nhựa D150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Lắp đặt ống nhựa D150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Lắp đặt ống nhựa D150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Lắp đặt ống nhựa D150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Lắp đặt ống nhựa D150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Lắp đặt ống nhựa D150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Lắp đặt ống nhựa D150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Lắp đặt ống nhựa D150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Lắp đặt ống nhựa D150</v>
      </c>
      <c r="E58" s="568"/>
      <c r="F58" s="568"/>
      <c r="G58" s="568"/>
      <c r="H58" s="569">
        <f t="shared" si="1"/>
        <v>22.52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Lắp đặt ống nhựa D150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Lắp đặt ống nhựa D150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Lắp đặt ống nhựa D150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Lắp đặt ống nhựa D150</v>
      </c>
      <c r="E62" s="568"/>
      <c r="F62" s="568"/>
      <c r="G62" s="568"/>
      <c r="H62" s="569">
        <f>+SUMIFS($I$12:$I$33,$B$12:$B$33,"&gt;="&amp;$O62,$B$12:$B$33,"&lt;="&amp;$P62)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Lắp đặt ống nhựa D150</v>
      </c>
      <c r="E63" s="652"/>
      <c r="F63" s="652"/>
      <c r="G63" s="652"/>
      <c r="H63" s="615">
        <f>+SUMIFS($I$12:$I$33,$B$12:$B$33,"&gt;="&amp;$O63,$B$12:$B$33,"&lt;="&amp;$P63)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7">SUM(H38:I63)</f>
        <v>22.52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K12:K13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9:E25"/>
    <mergeCell ref="F19:K25"/>
    <mergeCell ref="A27:K27"/>
    <mergeCell ref="A28:K28"/>
    <mergeCell ref="A29:K29"/>
    <mergeCell ref="A30:K30"/>
    <mergeCell ref="C14:E14"/>
    <mergeCell ref="A15:E15"/>
    <mergeCell ref="A17:E17"/>
    <mergeCell ref="F17:K17"/>
    <mergeCell ref="A18:E18"/>
    <mergeCell ref="F18:K18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>
    <tabColor rgb="FF92D050"/>
  </sheetPr>
  <dimension ref="A1:T75"/>
  <sheetViews>
    <sheetView topLeftCell="A46" zoomScaleSheetLayoutView="100" workbookViewId="0">
      <selection activeCell="H58" sqref="H58:I58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C.I.2.2.3. Lắp đặt bộ phiễu thu nước bằng ống thép đúc D150 + nắp chắn rác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3</v>
      </c>
      <c r="N6" s="245" t="str">
        <f>THKLQT!C39</f>
        <v>Lắp đặt bộ phiễu thu nước bằng ống thép đúc D150 + nắp chắn rác</v>
      </c>
      <c r="Q6" s="17"/>
    </row>
    <row r="7" spans="1:20" s="178" customFormat="1" ht="18.75" customHeight="1">
      <c r="A7" s="634">
        <f>I15</f>
        <v>4</v>
      </c>
      <c r="B7" s="635"/>
      <c r="C7" s="635"/>
      <c r="D7" s="635"/>
      <c r="E7" s="106" t="str">
        <f>"("&amp;L7&amp;")"</f>
        <v>(bộ)</v>
      </c>
      <c r="F7" s="113"/>
      <c r="G7" s="113"/>
      <c r="H7" s="113"/>
      <c r="I7" s="113"/>
      <c r="J7" s="113"/>
      <c r="K7" s="114"/>
      <c r="L7" s="26" t="str">
        <f>THKLQT!D39</f>
        <v>bộ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9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>Q12</f>
        <v>43570</v>
      </c>
      <c r="C12" s="571" t="str">
        <f>T12</f>
        <v>Lắp đặt bộ phiễu thu nước bằng ống thép đúc D150 + nắp chắn rác Phải tuyến</v>
      </c>
      <c r="D12" s="572"/>
      <c r="E12" s="573"/>
      <c r="F12" s="2">
        <f>P12</f>
        <v>2</v>
      </c>
      <c r="G12" s="1">
        <f>P12</f>
        <v>2</v>
      </c>
      <c r="H12" s="381">
        <f>P12</f>
        <v>2</v>
      </c>
      <c r="I12" s="107">
        <f>P12</f>
        <v>2</v>
      </c>
      <c r="J12" s="107">
        <f>P12</f>
        <v>2</v>
      </c>
      <c r="K12" s="700" t="s">
        <v>677</v>
      </c>
      <c r="L12" s="4" t="s">
        <v>749</v>
      </c>
      <c r="N12" s="118"/>
      <c r="O12" s="118" t="s">
        <v>395</v>
      </c>
      <c r="P12" s="88">
        <v>2</v>
      </c>
      <c r="Q12" s="89">
        <v>43570</v>
      </c>
      <c r="R12" s="88"/>
      <c r="S12" s="88" t="e">
        <f>VLOOKUP($S$11,hamchuigoi3,M12,0)</f>
        <v>#VALUE!</v>
      </c>
      <c r="T12" s="3" t="str">
        <f t="shared" ref="T12:T13" si="0">$N$6&amp;" "&amp;O12</f>
        <v>Lắp đặt bộ phiễu thu nước bằng ống thép đúc D150 + nắp chắn rác Phải tuyến</v>
      </c>
    </row>
    <row r="13" spans="1:20" ht="25.5" customHeight="1" outlineLevel="2">
      <c r="A13" s="81">
        <f>SUBTOTAL(103,$B$12:B13)</f>
        <v>2</v>
      </c>
      <c r="B13" s="78">
        <f>Q13</f>
        <v>43569</v>
      </c>
      <c r="C13" s="571" t="str">
        <f>T13</f>
        <v>Lắp đặt bộ phiễu thu nước bằng ống thép đúc D150 + nắp chắn rác Trái tuyến</v>
      </c>
      <c r="D13" s="572"/>
      <c r="E13" s="573"/>
      <c r="F13" s="2">
        <f>P13</f>
        <v>2</v>
      </c>
      <c r="G13" s="1">
        <f>P13</f>
        <v>2</v>
      </c>
      <c r="H13" s="381">
        <f>P13</f>
        <v>2</v>
      </c>
      <c r="I13" s="107">
        <f>P13</f>
        <v>2</v>
      </c>
      <c r="J13" s="107">
        <f>P13</f>
        <v>2</v>
      </c>
      <c r="K13" s="701"/>
      <c r="L13" s="4" t="s">
        <v>749</v>
      </c>
      <c r="N13" s="118"/>
      <c r="O13" s="118" t="s">
        <v>396</v>
      </c>
      <c r="P13" s="88">
        <v>2</v>
      </c>
      <c r="Q13" s="89">
        <v>43569</v>
      </c>
      <c r="R13" s="88"/>
      <c r="S13" s="88" t="e">
        <f>VLOOKUP($S$11,hamchuigoi3,M13,0)</f>
        <v>#VALUE!</v>
      </c>
      <c r="T13" s="3" t="str">
        <f t="shared" si="0"/>
        <v>Lắp đặt bộ phiễu thu nước bằng ống thép đúc D150 + nắp chắn rác Trái tuyến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'[1]Thoat nuoc'!$E$4</f>
        <v>4</v>
      </c>
      <c r="G15" s="79">
        <f>ROUND(SUM(G12:G14),2)</f>
        <v>4</v>
      </c>
      <c r="H15" s="79">
        <f>ROUND(SUM(H12:H14),2)</f>
        <v>4</v>
      </c>
      <c r="I15" s="79">
        <f>ROUND(SUM(I12:I14),2)</f>
        <v>4</v>
      </c>
      <c r="J15" s="79">
        <f>ROUND(SUM(J12:J14),2)</f>
        <v>4</v>
      </c>
      <c r="K15" s="80"/>
      <c r="N15" s="118"/>
      <c r="O15" s="118"/>
      <c r="P15" s="90">
        <f>SUM(P12:P12)</f>
        <v>2</v>
      </c>
    </row>
    <row r="16" spans="1:20" s="175" customFormat="1" ht="18" customHeight="1" thickTop="1" thickBot="1">
      <c r="A16" s="393"/>
      <c r="B16" s="393"/>
      <c r="C16" s="393"/>
      <c r="D16" s="393"/>
      <c r="E16" s="39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393"/>
      <c r="B26" s="393"/>
      <c r="C26" s="393"/>
      <c r="D26" s="393"/>
      <c r="E26" s="39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394" t="str">
        <f>A5</f>
        <v>Hạng mục C.I.2.2. Lan can, dải phân cách</v>
      </c>
      <c r="B32" s="39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394" t="str">
        <f>A6</f>
        <v>Mục C.I.2.2.3. Lắp đặt bộ phiễu thu nước bằng ống thép đúc D150 + nắp chắn rác</v>
      </c>
      <c r="B33" s="39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4</v>
      </c>
      <c r="B34" s="640"/>
      <c r="C34" s="640"/>
      <c r="D34" s="640"/>
      <c r="E34" s="131" t="str">
        <f>E7</f>
        <v>(bộ)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Lắp đặt bộ phiễu thu nước bằng ống thép đúc D150 + nắp chắn rác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Lắp đặt bộ phiễu thu nước bằng ống thép đúc D150 + nắp chắn rác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Lắp đặt bộ phiễu thu nước bằng ống thép đúc D150 + nắp chắn rác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Lắp đặt bộ phiễu thu nước bằng ống thép đúc D150 + nắp chắn rác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Lắp đặt bộ phiễu thu nước bằng ống thép đúc D150 + nắp chắn rác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Lắp đặt bộ phiễu thu nước bằng ống thép đúc D150 + nắp chắn rác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Lắp đặt bộ phiễu thu nước bằng ống thép đúc D150 + nắp chắn rác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Lắp đặt bộ phiễu thu nước bằng ống thép đúc D150 + nắp chắn rác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Lắp đặt bộ phiễu thu nước bằng ống thép đúc D150 + nắp chắn rác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Lắp đặt bộ phiễu thu nước bằng ống thép đúc D150 + nắp chắn rác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Lắp đặt bộ phiễu thu nước bằng ống thép đúc D150 + nắp chắn rác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Lắp đặt bộ phiễu thu nước bằng ống thép đúc D150 + nắp chắn rác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Lắp đặt bộ phiễu thu nước bằng ống thép đúc D150 + nắp chắn rác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Lắp đặt bộ phiễu thu nước bằng ống thép đúc D150 + nắp chắn rác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Lắp đặt bộ phiễu thu nước bằng ống thép đúc D150 + nắp chắn rác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Lắp đặt bộ phiễu thu nước bằng ống thép đúc D150 + nắp chắn rác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Lắp đặt bộ phiễu thu nước bằng ống thép đúc D150 + nắp chắn rác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Lắp đặt bộ phiễu thu nước bằng ống thép đúc D150 + nắp chắn rác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Lắp đặt bộ phiễu thu nước bằng ống thép đúc D150 + nắp chắn rác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Lắp đặt bộ phiễu thu nước bằng ống thép đúc D150 + nắp chắn rác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Lắp đặt bộ phiễu thu nước bằng ống thép đúc D150 + nắp chắn rác</v>
      </c>
      <c r="E58" s="568"/>
      <c r="F58" s="568"/>
      <c r="G58" s="568"/>
      <c r="H58" s="569">
        <f t="shared" si="1"/>
        <v>4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Lắp đặt bộ phiễu thu nước bằng ống thép đúc D150 + nắp chắn rác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Lắp đặt bộ phiễu thu nước bằng ống thép đúc D150 + nắp chắn rác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Lắp đặt bộ phiễu thu nước bằng ống thép đúc D150 + nắp chắn rác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Lắp đặt bộ phiễu thu nước bằng ống thép đúc D150 + nắp chắn rác</v>
      </c>
      <c r="E62" s="568"/>
      <c r="F62" s="568"/>
      <c r="G62" s="568"/>
      <c r="H62" s="569">
        <f>+SUMIFS($I$12:$I$33,$B$12:$B$33,"&gt;="&amp;$O62,$B$12:$B$33,"&lt;="&amp;$P62)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Lắp đặt bộ phiễu thu nước bằng ống thép đúc D150 + nắp chắn rác</v>
      </c>
      <c r="E63" s="652"/>
      <c r="F63" s="652"/>
      <c r="G63" s="652"/>
      <c r="H63" s="615">
        <f>+SUMIFS($I$12:$I$33,$B$12:$B$33,"&gt;="&amp;$O63,$B$12:$B$33,"&lt;="&amp;$P63)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7">SUM(H38:I63)</f>
        <v>4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K12:K13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9:E25"/>
    <mergeCell ref="F19:K25"/>
    <mergeCell ref="A27:K27"/>
    <mergeCell ref="A28:K28"/>
    <mergeCell ref="A29:K29"/>
    <mergeCell ref="A30:K30"/>
    <mergeCell ref="C14:E14"/>
    <mergeCell ref="A15:E15"/>
    <mergeCell ref="A17:E17"/>
    <mergeCell ref="F17:K17"/>
    <mergeCell ref="A18:E18"/>
    <mergeCell ref="F18:K18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rgb="FF92D050"/>
  </sheetPr>
  <dimension ref="A1:T75"/>
  <sheetViews>
    <sheetView topLeftCell="A3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C.I.2.2.5. Sản xuất, lắp đặt thép treo hệ thoát nước mạ kẽm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5</v>
      </c>
      <c r="N6" s="245" t="str">
        <f>THKLQT!C41</f>
        <v>Sản xuất, lắp đặt thép treo hệ thoát nước mạ kẽm</v>
      </c>
      <c r="Q6" s="17"/>
    </row>
    <row r="7" spans="1:20" s="178" customFormat="1" ht="18.75" customHeight="1">
      <c r="A7" s="634">
        <f>I15</f>
        <v>0.02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THKLQT!D41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9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>Q12</f>
        <v>43570</v>
      </c>
      <c r="C12" s="571" t="str">
        <f>T12</f>
        <v>Sản xuất, lắp đặt thép treo hệ thoát nước mạ kẽm Phải tuyến</v>
      </c>
      <c r="D12" s="572"/>
      <c r="E12" s="573"/>
      <c r="F12" s="2">
        <f>P12</f>
        <v>8.0000000000000002E-3</v>
      </c>
      <c r="G12" s="1">
        <f>P12</f>
        <v>8.0000000000000002E-3</v>
      </c>
      <c r="H12" s="381">
        <f>P12</f>
        <v>8.0000000000000002E-3</v>
      </c>
      <c r="I12" s="107">
        <f>P12</f>
        <v>8.0000000000000002E-3</v>
      </c>
      <c r="J12" s="107">
        <f>P12</f>
        <v>8.0000000000000002E-3</v>
      </c>
      <c r="K12" s="700" t="s">
        <v>677</v>
      </c>
      <c r="L12" s="4" t="s">
        <v>749</v>
      </c>
      <c r="N12" s="118"/>
      <c r="O12" s="118" t="s">
        <v>395</v>
      </c>
      <c r="P12" s="88">
        <v>8.0000000000000002E-3</v>
      </c>
      <c r="Q12" s="89">
        <v>43570</v>
      </c>
      <c r="R12" s="88"/>
      <c r="S12" s="88" t="e">
        <f>VLOOKUP($S$11,hamchuigoi3,M12,0)</f>
        <v>#VALUE!</v>
      </c>
      <c r="T12" s="3" t="str">
        <f t="shared" ref="T12:T13" si="0">$N$6&amp;" "&amp;O12</f>
        <v>Sản xuất, lắp đặt thép treo hệ thoát nước mạ kẽm Phải tuyến</v>
      </c>
    </row>
    <row r="13" spans="1:20" ht="25.5" customHeight="1" outlineLevel="2">
      <c r="A13" s="81">
        <f>SUBTOTAL(103,$B$12:B13)</f>
        <v>2</v>
      </c>
      <c r="B13" s="78">
        <f>Q13</f>
        <v>43569</v>
      </c>
      <c r="C13" s="571" t="str">
        <f>T13</f>
        <v>Sản xuất, lắp đặt thép treo hệ thoát nước mạ kẽm Trái tuyến</v>
      </c>
      <c r="D13" s="572"/>
      <c r="E13" s="573"/>
      <c r="F13" s="2">
        <f>P13</f>
        <v>8.0000000000000002E-3</v>
      </c>
      <c r="G13" s="1">
        <f>P13</f>
        <v>8.0000000000000002E-3</v>
      </c>
      <c r="H13" s="381">
        <f>P13</f>
        <v>8.0000000000000002E-3</v>
      </c>
      <c r="I13" s="107">
        <f>P13</f>
        <v>8.0000000000000002E-3</v>
      </c>
      <c r="J13" s="107">
        <f>P13</f>
        <v>8.0000000000000002E-3</v>
      </c>
      <c r="K13" s="701"/>
      <c r="L13" s="4" t="s">
        <v>749</v>
      </c>
      <c r="N13" s="118"/>
      <c r="O13" s="118" t="s">
        <v>396</v>
      </c>
      <c r="P13" s="88">
        <v>8.0000000000000002E-3</v>
      </c>
      <c r="Q13" s="89">
        <v>43569</v>
      </c>
      <c r="R13" s="88"/>
      <c r="S13" s="88" t="e">
        <f>VLOOKUP($S$11,hamchuigoi3,M13,0)</f>
        <v>#VALUE!</v>
      </c>
      <c r="T13" s="3" t="str">
        <f t="shared" si="0"/>
        <v>Sản xuất, lắp đặt thép treo hệ thoát nước mạ kẽm Trái tuyến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'[1]Thoat nuoc'!$G$6/1000</f>
        <v>1.644E-2</v>
      </c>
      <c r="G15" s="79">
        <f>ROUND(SUM(G12:G14),2)</f>
        <v>0.02</v>
      </c>
      <c r="H15" s="79">
        <f>ROUND(SUM(H12:H14),2)</f>
        <v>0.02</v>
      </c>
      <c r="I15" s="79">
        <f>ROUND(SUM(I12:I14),2)</f>
        <v>0.02</v>
      </c>
      <c r="J15" s="79">
        <f>ROUND(SUM(J12:J14),2)</f>
        <v>0.02</v>
      </c>
      <c r="K15" s="80"/>
      <c r="N15" s="118"/>
      <c r="O15" s="118"/>
      <c r="P15" s="90">
        <f>SUM(P12:P12)</f>
        <v>8.0000000000000002E-3</v>
      </c>
    </row>
    <row r="16" spans="1:20" s="175" customFormat="1" ht="18" customHeight="1" thickTop="1" thickBot="1">
      <c r="A16" s="393"/>
      <c r="B16" s="393"/>
      <c r="C16" s="393"/>
      <c r="D16" s="393"/>
      <c r="E16" s="39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393"/>
      <c r="B26" s="393"/>
      <c r="C26" s="393"/>
      <c r="D26" s="393"/>
      <c r="E26" s="39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394" t="str">
        <f>A5</f>
        <v>Hạng mục C.I.2.2. Lan can, dải phân cách</v>
      </c>
      <c r="B32" s="39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394" t="str">
        <f>A6</f>
        <v>Mục C.I.2.2.5. Sản xuất, lắp đặt thép treo hệ thoát nước mạ kẽm</v>
      </c>
      <c r="B33" s="39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0.02</v>
      </c>
      <c r="B34" s="640"/>
      <c r="C34" s="640"/>
      <c r="D34" s="640"/>
      <c r="E34" s="131" t="str">
        <f>E7</f>
        <v>(tấn)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Sản xuất, lắp đặt thép treo hệ thoát nước mạ kẽm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Sản xuất, lắp đặt thép treo hệ thoát nước mạ kẽm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Sản xuất, lắp đặt thép treo hệ thoát nước mạ kẽm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Sản xuất, lắp đặt thép treo hệ thoát nước mạ kẽm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Sản xuất, lắp đặt thép treo hệ thoát nước mạ kẽm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Sản xuất, lắp đặt thép treo hệ thoát nước mạ kẽm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Sản xuất, lắp đặt thép treo hệ thoát nước mạ kẽm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Sản xuất, lắp đặt thép treo hệ thoát nước mạ kẽm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Sản xuất, lắp đặt thép treo hệ thoát nước mạ kẽm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Sản xuất, lắp đặt thép treo hệ thoát nước mạ kẽm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Sản xuất, lắp đặt thép treo hệ thoát nước mạ kẽm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Sản xuất, lắp đặt thép treo hệ thoát nước mạ kẽm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Sản xuất, lắp đặt thép treo hệ thoát nước mạ kẽm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Sản xuất, lắp đặt thép treo hệ thoát nước mạ kẽm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Sản xuất, lắp đặt thép treo hệ thoát nước mạ kẽm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Sản xuất, lắp đặt thép treo hệ thoát nước mạ kẽm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Sản xuất, lắp đặt thép treo hệ thoát nước mạ kẽm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Sản xuất, lắp đặt thép treo hệ thoát nước mạ kẽm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Sản xuất, lắp đặt thép treo hệ thoát nước mạ kẽm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Sản xuất, lắp đặt thép treo hệ thoát nước mạ kẽm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Sản xuất, lắp đặt thép treo hệ thoát nước mạ kẽm</v>
      </c>
      <c r="E58" s="568"/>
      <c r="F58" s="568"/>
      <c r="G58" s="568"/>
      <c r="H58" s="569">
        <f t="shared" si="1"/>
        <v>1.6E-2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Sản xuất, lắp đặt thép treo hệ thoát nước mạ kẽm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Sản xuất, lắp đặt thép treo hệ thoát nước mạ kẽm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Sản xuất, lắp đặt thép treo hệ thoát nước mạ kẽm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Sản xuất, lắp đặt thép treo hệ thoát nước mạ kẽm</v>
      </c>
      <c r="E62" s="568"/>
      <c r="F62" s="568"/>
      <c r="G62" s="568"/>
      <c r="H62" s="569">
        <f>+SUMIFS($I$12:$I$33,$B$12:$B$33,"&gt;="&amp;$O62,$B$12:$B$33,"&lt;="&amp;$P62)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Sản xuất, lắp đặt thép treo hệ thoát nước mạ kẽm</v>
      </c>
      <c r="E63" s="652"/>
      <c r="F63" s="652"/>
      <c r="G63" s="652"/>
      <c r="H63" s="615">
        <f>+SUMIFS($I$12:$I$33,$B$12:$B$33,"&gt;="&amp;$O63,$B$12:$B$33,"&lt;="&amp;$P63)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7">SUM(H38:I63)</f>
        <v>1.6E-2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K12:K13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9:E25"/>
    <mergeCell ref="F19:K25"/>
    <mergeCell ref="A27:K27"/>
    <mergeCell ref="A28:K28"/>
    <mergeCell ref="A29:K29"/>
    <mergeCell ref="A30:K30"/>
    <mergeCell ref="C14:E14"/>
    <mergeCell ref="A15:E15"/>
    <mergeCell ref="A17:E17"/>
    <mergeCell ref="F17:K17"/>
    <mergeCell ref="A18:E18"/>
    <mergeCell ref="F18:K18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79">
    <tabColor rgb="FF92D050"/>
  </sheetPr>
  <dimension ref="A1:T75"/>
  <sheetViews>
    <sheetView topLeftCell="A3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C.I.2.2.6. Bu lông M5/8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6</v>
      </c>
      <c r="N6" s="245" t="str">
        <f>THKLQT!C42</f>
        <v>Bu lông M5/8</v>
      </c>
      <c r="Q6" s="17"/>
    </row>
    <row r="7" spans="1:20" s="178" customFormat="1" ht="18.75" customHeight="1">
      <c r="A7" s="634">
        <f>I15</f>
        <v>24</v>
      </c>
      <c r="B7" s="635"/>
      <c r="C7" s="635"/>
      <c r="D7" s="635"/>
      <c r="E7" s="106" t="str">
        <f>"("&amp;L7&amp;")"</f>
        <v>(chiếc)</v>
      </c>
      <c r="F7" s="113"/>
      <c r="G7" s="113"/>
      <c r="H7" s="113"/>
      <c r="I7" s="113"/>
      <c r="J7" s="113"/>
      <c r="K7" s="114"/>
      <c r="L7" s="26" t="str">
        <f>THKLQT!D42</f>
        <v>chiếc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9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>Q12</f>
        <v>43570</v>
      </c>
      <c r="C12" s="571" t="str">
        <f>T12</f>
        <v>Bu lông M5/8 Phải tuyến</v>
      </c>
      <c r="D12" s="572"/>
      <c r="E12" s="573"/>
      <c r="F12" s="2">
        <f>P12</f>
        <v>12</v>
      </c>
      <c r="G12" s="1">
        <f>P12</f>
        <v>12</v>
      </c>
      <c r="H12" s="381">
        <f>P12</f>
        <v>12</v>
      </c>
      <c r="I12" s="107">
        <f>P12</f>
        <v>12</v>
      </c>
      <c r="J12" s="107">
        <f>P12</f>
        <v>12</v>
      </c>
      <c r="K12" s="700" t="s">
        <v>677</v>
      </c>
      <c r="L12" s="4" t="s">
        <v>749</v>
      </c>
      <c r="N12" s="118"/>
      <c r="O12" s="118" t="s">
        <v>395</v>
      </c>
      <c r="P12" s="88">
        <v>12</v>
      </c>
      <c r="Q12" s="89">
        <v>43570</v>
      </c>
      <c r="R12" s="88"/>
      <c r="S12" s="88" t="e">
        <f>VLOOKUP($S$11,hamchuigoi3,M12,0)</f>
        <v>#VALUE!</v>
      </c>
      <c r="T12" s="3" t="str">
        <f t="shared" ref="T12:T13" si="0">$N$6&amp;" "&amp;O12</f>
        <v>Bu lông M5/8 Phải tuyến</v>
      </c>
    </row>
    <row r="13" spans="1:20" ht="25.5" customHeight="1" outlineLevel="2">
      <c r="A13" s="81">
        <f>SUBTOTAL(103,$B$12:B13)</f>
        <v>2</v>
      </c>
      <c r="B13" s="78">
        <f>Q13</f>
        <v>43569</v>
      </c>
      <c r="C13" s="571" t="str">
        <f>T13</f>
        <v>Bu lông M5/8 Trái tuyến</v>
      </c>
      <c r="D13" s="572"/>
      <c r="E13" s="573"/>
      <c r="F13" s="2">
        <f>P13</f>
        <v>12</v>
      </c>
      <c r="G13" s="1">
        <f>P13</f>
        <v>12</v>
      </c>
      <c r="H13" s="381">
        <f>P13</f>
        <v>12</v>
      </c>
      <c r="I13" s="107">
        <f>P13</f>
        <v>12</v>
      </c>
      <c r="J13" s="107">
        <f>P13</f>
        <v>12</v>
      </c>
      <c r="K13" s="701"/>
      <c r="L13" s="4" t="s">
        <v>749</v>
      </c>
      <c r="N13" s="118"/>
      <c r="O13" s="118" t="s">
        <v>396</v>
      </c>
      <c r="P13" s="88">
        <v>12</v>
      </c>
      <c r="Q13" s="89">
        <v>43569</v>
      </c>
      <c r="R13" s="88"/>
      <c r="S13" s="88" t="e">
        <f>VLOOKUP($S$11,hamchuigoi3,M13,0)</f>
        <v>#VALUE!</v>
      </c>
      <c r="T13" s="3" t="str">
        <f t="shared" si="0"/>
        <v>Bu lông M5/8 Trái tuyến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'[1]Thoat nuoc'!$E$6*2</f>
        <v>24</v>
      </c>
      <c r="G15" s="79">
        <f>ROUND(SUM(G12:G14),2)</f>
        <v>24</v>
      </c>
      <c r="H15" s="79">
        <f>ROUND(SUM(H12:H14),2)</f>
        <v>24</v>
      </c>
      <c r="I15" s="79">
        <f>ROUND(SUM(I12:I14),2)</f>
        <v>24</v>
      </c>
      <c r="J15" s="79">
        <f>ROUND(SUM(J12:J14),2)</f>
        <v>24</v>
      </c>
      <c r="K15" s="80"/>
      <c r="N15" s="118"/>
      <c r="O15" s="118"/>
      <c r="P15" s="90">
        <f>SUM(P12:P12)</f>
        <v>12</v>
      </c>
    </row>
    <row r="16" spans="1:20" s="175" customFormat="1" ht="18" customHeight="1" thickTop="1" thickBot="1">
      <c r="A16" s="393"/>
      <c r="B16" s="393"/>
      <c r="C16" s="393"/>
      <c r="D16" s="393"/>
      <c r="E16" s="39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393"/>
      <c r="B26" s="393"/>
      <c r="C26" s="393"/>
      <c r="D26" s="393"/>
      <c r="E26" s="39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394" t="str">
        <f>A5</f>
        <v>Hạng mục C.I.2.2. Lan can, dải phân cách</v>
      </c>
      <c r="B32" s="39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394" t="str">
        <f>A6</f>
        <v>Mục C.I.2.2.6. Bu lông M5/8</v>
      </c>
      <c r="B33" s="39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24</v>
      </c>
      <c r="B34" s="640"/>
      <c r="C34" s="640"/>
      <c r="D34" s="640"/>
      <c r="E34" s="131" t="str">
        <f>E7</f>
        <v>(chiếc)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Bu lông M5/8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Bu lông M5/8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Bu lông M5/8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Bu lông M5/8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Bu lông M5/8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Bu lông M5/8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Bu lông M5/8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Bu lông M5/8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Bu lông M5/8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Bu lông M5/8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Bu lông M5/8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Bu lông M5/8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Bu lông M5/8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Bu lông M5/8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Bu lông M5/8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Bu lông M5/8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Bu lông M5/8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Bu lông M5/8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Bu lông M5/8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Bu lông M5/8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Bu lông M5/8</v>
      </c>
      <c r="E58" s="568"/>
      <c r="F58" s="568"/>
      <c r="G58" s="568"/>
      <c r="H58" s="569">
        <f t="shared" si="1"/>
        <v>24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Bu lông M5/8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Bu lông M5/8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Bu lông M5/8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Bu lông M5/8</v>
      </c>
      <c r="E62" s="568"/>
      <c r="F62" s="568"/>
      <c r="G62" s="568"/>
      <c r="H62" s="569">
        <f>+SUMIFS($I$12:$I$33,$B$12:$B$33,"&gt;="&amp;$O62,$B$12:$B$33,"&lt;="&amp;$P62)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Bu lông M5/8</v>
      </c>
      <c r="E63" s="652"/>
      <c r="F63" s="652"/>
      <c r="G63" s="652"/>
      <c r="H63" s="615">
        <f>+SUMIFS($I$12:$I$33,$B$12:$B$33,"&gt;="&amp;$O63,$B$12:$B$33,"&lt;="&amp;$P63)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7">SUM(H38:I63)</f>
        <v>24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K12:K13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9:E25"/>
    <mergeCell ref="F19:K25"/>
    <mergeCell ref="A27:K27"/>
    <mergeCell ref="A28:K28"/>
    <mergeCell ref="A29:K29"/>
    <mergeCell ref="A30:K30"/>
    <mergeCell ref="C14:E14"/>
    <mergeCell ref="A15:E15"/>
    <mergeCell ref="A17:E17"/>
    <mergeCell ref="F17:K17"/>
    <mergeCell ref="A18:E18"/>
    <mergeCell ref="F18:K18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rgb="FF92D050"/>
  </sheetPr>
  <dimension ref="A1:T77"/>
  <sheetViews>
    <sheetView view="pageBreakPreview" topLeftCell="A11" zoomScaleSheetLayoutView="100" workbookViewId="0">
      <selection activeCell="F17" sqref="F17"/>
    </sheetView>
  </sheetViews>
  <sheetFormatPr defaultRowHeight="15" outlineLevelRow="2"/>
  <cols>
    <col min="1" max="1" width="4.7109375" style="325" customWidth="1"/>
    <col min="2" max="2" width="10.7109375" style="372" customWidth="1"/>
    <col min="3" max="3" width="11.85546875" style="373" customWidth="1"/>
    <col min="4" max="4" width="8.7109375" style="373" customWidth="1"/>
    <col min="5" max="5" width="19.5703125" style="373" customWidth="1"/>
    <col min="6" max="9" width="9.7109375" style="374" customWidth="1"/>
    <col min="10" max="10" width="9.7109375" style="374" hidden="1" customWidth="1"/>
    <col min="11" max="11" width="10" style="325" customWidth="1"/>
    <col min="12" max="12" width="9.7109375" style="325" customWidth="1"/>
    <col min="13" max="13" width="12.85546875" style="325" customWidth="1"/>
    <col min="14" max="14" width="11.7109375" style="325" customWidth="1"/>
    <col min="15" max="15" width="10.5703125" style="325" bestFit="1" customWidth="1"/>
    <col min="16" max="16" width="10.28515625" style="325" customWidth="1"/>
    <col min="17" max="17" width="10.140625" style="326" customWidth="1"/>
    <col min="18" max="19" width="9.140625" style="325"/>
    <col min="20" max="20" width="18.42578125" style="325" customWidth="1"/>
    <col min="21" max="246" width="9.140625" style="325"/>
    <col min="247" max="247" width="6.7109375" style="325" customWidth="1"/>
    <col min="248" max="248" width="7.85546875" style="325" customWidth="1"/>
    <col min="249" max="249" width="12.140625" style="325" customWidth="1"/>
    <col min="250" max="250" width="10.28515625" style="325" customWidth="1"/>
    <col min="251" max="251" width="8.28515625" style="325" customWidth="1"/>
    <col min="252" max="252" width="8.7109375" style="325" customWidth="1"/>
    <col min="253" max="253" width="9.85546875" style="325" customWidth="1"/>
    <col min="254" max="254" width="8.85546875" style="325" customWidth="1"/>
    <col min="255" max="255" width="8.7109375" style="325" customWidth="1"/>
    <col min="256" max="256" width="9.28515625" style="325" customWidth="1"/>
    <col min="257" max="257" width="8.85546875" style="325" customWidth="1"/>
    <col min="258" max="258" width="8.7109375" style="325" customWidth="1"/>
    <col min="259" max="259" width="9.5703125" style="325" customWidth="1"/>
    <col min="260" max="260" width="8.85546875" style="325" customWidth="1"/>
    <col min="261" max="261" width="11.140625" style="325" customWidth="1"/>
    <col min="262" max="262" width="10.140625" style="325" customWidth="1"/>
    <col min="263" max="263" width="13.7109375" style="325" customWidth="1"/>
    <col min="264" max="264" width="10.140625" style="325" customWidth="1"/>
    <col min="265" max="265" width="11" style="325" customWidth="1"/>
    <col min="266" max="266" width="11.7109375" style="325" customWidth="1"/>
    <col min="267" max="267" width="12.28515625" style="325" customWidth="1"/>
    <col min="268" max="268" width="9.7109375" style="325" customWidth="1"/>
    <col min="269" max="269" width="12.85546875" style="325" customWidth="1"/>
    <col min="270" max="270" width="9.28515625" style="325" customWidth="1"/>
    <col min="271" max="502" width="9.140625" style="325"/>
    <col min="503" max="503" width="6.7109375" style="325" customWidth="1"/>
    <col min="504" max="504" width="7.85546875" style="325" customWidth="1"/>
    <col min="505" max="505" width="12.140625" style="325" customWidth="1"/>
    <col min="506" max="506" width="10.28515625" style="325" customWidth="1"/>
    <col min="507" max="507" width="8.28515625" style="325" customWidth="1"/>
    <col min="508" max="508" width="8.7109375" style="325" customWidth="1"/>
    <col min="509" max="509" width="9.85546875" style="325" customWidth="1"/>
    <col min="510" max="510" width="8.85546875" style="325" customWidth="1"/>
    <col min="511" max="511" width="8.7109375" style="325" customWidth="1"/>
    <col min="512" max="512" width="9.28515625" style="325" customWidth="1"/>
    <col min="513" max="513" width="8.85546875" style="325" customWidth="1"/>
    <col min="514" max="514" width="8.7109375" style="325" customWidth="1"/>
    <col min="515" max="515" width="9.5703125" style="325" customWidth="1"/>
    <col min="516" max="516" width="8.85546875" style="325" customWidth="1"/>
    <col min="517" max="517" width="11.140625" style="325" customWidth="1"/>
    <col min="518" max="518" width="10.140625" style="325" customWidth="1"/>
    <col min="519" max="519" width="13.7109375" style="325" customWidth="1"/>
    <col min="520" max="520" width="10.140625" style="325" customWidth="1"/>
    <col min="521" max="521" width="11" style="325" customWidth="1"/>
    <col min="522" max="522" width="11.7109375" style="325" customWidth="1"/>
    <col min="523" max="523" width="12.28515625" style="325" customWidth="1"/>
    <col min="524" max="524" width="9.7109375" style="325" customWidth="1"/>
    <col min="525" max="525" width="12.85546875" style="325" customWidth="1"/>
    <col min="526" max="526" width="9.28515625" style="325" customWidth="1"/>
    <col min="527" max="758" width="9.140625" style="325"/>
    <col min="759" max="759" width="6.7109375" style="325" customWidth="1"/>
    <col min="760" max="760" width="7.85546875" style="325" customWidth="1"/>
    <col min="761" max="761" width="12.140625" style="325" customWidth="1"/>
    <col min="762" max="762" width="10.28515625" style="325" customWidth="1"/>
    <col min="763" max="763" width="8.28515625" style="325" customWidth="1"/>
    <col min="764" max="764" width="8.7109375" style="325" customWidth="1"/>
    <col min="765" max="765" width="9.85546875" style="325" customWidth="1"/>
    <col min="766" max="766" width="8.85546875" style="325" customWidth="1"/>
    <col min="767" max="767" width="8.7109375" style="325" customWidth="1"/>
    <col min="768" max="768" width="9.28515625" style="325" customWidth="1"/>
    <col min="769" max="769" width="8.85546875" style="325" customWidth="1"/>
    <col min="770" max="770" width="8.7109375" style="325" customWidth="1"/>
    <col min="771" max="771" width="9.5703125" style="325" customWidth="1"/>
    <col min="772" max="772" width="8.85546875" style="325" customWidth="1"/>
    <col min="773" max="773" width="11.140625" style="325" customWidth="1"/>
    <col min="774" max="774" width="10.140625" style="325" customWidth="1"/>
    <col min="775" max="775" width="13.7109375" style="325" customWidth="1"/>
    <col min="776" max="776" width="10.140625" style="325" customWidth="1"/>
    <col min="777" max="777" width="11" style="325" customWidth="1"/>
    <col min="778" max="778" width="11.7109375" style="325" customWidth="1"/>
    <col min="779" max="779" width="12.28515625" style="325" customWidth="1"/>
    <col min="780" max="780" width="9.7109375" style="325" customWidth="1"/>
    <col min="781" max="781" width="12.85546875" style="325" customWidth="1"/>
    <col min="782" max="782" width="9.28515625" style="325" customWidth="1"/>
    <col min="783" max="1014" width="9.140625" style="325"/>
    <col min="1015" max="1015" width="6.7109375" style="325" customWidth="1"/>
    <col min="1016" max="1016" width="7.85546875" style="325" customWidth="1"/>
    <col min="1017" max="1017" width="12.140625" style="325" customWidth="1"/>
    <col min="1018" max="1018" width="10.28515625" style="325" customWidth="1"/>
    <col min="1019" max="1019" width="8.28515625" style="325" customWidth="1"/>
    <col min="1020" max="1020" width="8.7109375" style="325" customWidth="1"/>
    <col min="1021" max="1021" width="9.85546875" style="325" customWidth="1"/>
    <col min="1022" max="1022" width="8.85546875" style="325" customWidth="1"/>
    <col min="1023" max="1023" width="8.7109375" style="325" customWidth="1"/>
    <col min="1024" max="1024" width="9.28515625" style="325" customWidth="1"/>
    <col min="1025" max="1025" width="8.85546875" style="325" customWidth="1"/>
    <col min="1026" max="1026" width="8.7109375" style="325" customWidth="1"/>
    <col min="1027" max="1027" width="9.5703125" style="325" customWidth="1"/>
    <col min="1028" max="1028" width="8.85546875" style="325" customWidth="1"/>
    <col min="1029" max="1029" width="11.140625" style="325" customWidth="1"/>
    <col min="1030" max="1030" width="10.140625" style="325" customWidth="1"/>
    <col min="1031" max="1031" width="13.7109375" style="325" customWidth="1"/>
    <col min="1032" max="1032" width="10.140625" style="325" customWidth="1"/>
    <col min="1033" max="1033" width="11" style="325" customWidth="1"/>
    <col min="1034" max="1034" width="11.7109375" style="325" customWidth="1"/>
    <col min="1035" max="1035" width="12.28515625" style="325" customWidth="1"/>
    <col min="1036" max="1036" width="9.7109375" style="325" customWidth="1"/>
    <col min="1037" max="1037" width="12.85546875" style="325" customWidth="1"/>
    <col min="1038" max="1038" width="9.28515625" style="325" customWidth="1"/>
    <col min="1039" max="1270" width="9.140625" style="325"/>
    <col min="1271" max="1271" width="6.7109375" style="325" customWidth="1"/>
    <col min="1272" max="1272" width="7.85546875" style="325" customWidth="1"/>
    <col min="1273" max="1273" width="12.140625" style="325" customWidth="1"/>
    <col min="1274" max="1274" width="10.28515625" style="325" customWidth="1"/>
    <col min="1275" max="1275" width="8.28515625" style="325" customWidth="1"/>
    <col min="1276" max="1276" width="8.7109375" style="325" customWidth="1"/>
    <col min="1277" max="1277" width="9.85546875" style="325" customWidth="1"/>
    <col min="1278" max="1278" width="8.85546875" style="325" customWidth="1"/>
    <col min="1279" max="1279" width="8.7109375" style="325" customWidth="1"/>
    <col min="1280" max="1280" width="9.28515625" style="325" customWidth="1"/>
    <col min="1281" max="1281" width="8.85546875" style="325" customWidth="1"/>
    <col min="1282" max="1282" width="8.7109375" style="325" customWidth="1"/>
    <col min="1283" max="1283" width="9.5703125" style="325" customWidth="1"/>
    <col min="1284" max="1284" width="8.85546875" style="325" customWidth="1"/>
    <col min="1285" max="1285" width="11.140625" style="325" customWidth="1"/>
    <col min="1286" max="1286" width="10.140625" style="325" customWidth="1"/>
    <col min="1287" max="1287" width="13.7109375" style="325" customWidth="1"/>
    <col min="1288" max="1288" width="10.140625" style="325" customWidth="1"/>
    <col min="1289" max="1289" width="11" style="325" customWidth="1"/>
    <col min="1290" max="1290" width="11.7109375" style="325" customWidth="1"/>
    <col min="1291" max="1291" width="12.28515625" style="325" customWidth="1"/>
    <col min="1292" max="1292" width="9.7109375" style="325" customWidth="1"/>
    <col min="1293" max="1293" width="12.85546875" style="325" customWidth="1"/>
    <col min="1294" max="1294" width="9.28515625" style="325" customWidth="1"/>
    <col min="1295" max="1526" width="9.140625" style="325"/>
    <col min="1527" max="1527" width="6.7109375" style="325" customWidth="1"/>
    <col min="1528" max="1528" width="7.85546875" style="325" customWidth="1"/>
    <col min="1529" max="1529" width="12.140625" style="325" customWidth="1"/>
    <col min="1530" max="1530" width="10.28515625" style="325" customWidth="1"/>
    <col min="1531" max="1531" width="8.28515625" style="325" customWidth="1"/>
    <col min="1532" max="1532" width="8.7109375" style="325" customWidth="1"/>
    <col min="1533" max="1533" width="9.85546875" style="325" customWidth="1"/>
    <col min="1534" max="1534" width="8.85546875" style="325" customWidth="1"/>
    <col min="1535" max="1535" width="8.7109375" style="325" customWidth="1"/>
    <col min="1536" max="1536" width="9.28515625" style="325" customWidth="1"/>
    <col min="1537" max="1537" width="8.85546875" style="325" customWidth="1"/>
    <col min="1538" max="1538" width="8.7109375" style="325" customWidth="1"/>
    <col min="1539" max="1539" width="9.5703125" style="325" customWidth="1"/>
    <col min="1540" max="1540" width="8.85546875" style="325" customWidth="1"/>
    <col min="1541" max="1541" width="11.140625" style="325" customWidth="1"/>
    <col min="1542" max="1542" width="10.140625" style="325" customWidth="1"/>
    <col min="1543" max="1543" width="13.7109375" style="325" customWidth="1"/>
    <col min="1544" max="1544" width="10.140625" style="325" customWidth="1"/>
    <col min="1545" max="1545" width="11" style="325" customWidth="1"/>
    <col min="1546" max="1546" width="11.7109375" style="325" customWidth="1"/>
    <col min="1547" max="1547" width="12.28515625" style="325" customWidth="1"/>
    <col min="1548" max="1548" width="9.7109375" style="325" customWidth="1"/>
    <col min="1549" max="1549" width="12.85546875" style="325" customWidth="1"/>
    <col min="1550" max="1550" width="9.28515625" style="325" customWidth="1"/>
    <col min="1551" max="1782" width="9.140625" style="325"/>
    <col min="1783" max="1783" width="6.7109375" style="325" customWidth="1"/>
    <col min="1784" max="1784" width="7.85546875" style="325" customWidth="1"/>
    <col min="1785" max="1785" width="12.140625" style="325" customWidth="1"/>
    <col min="1786" max="1786" width="10.28515625" style="325" customWidth="1"/>
    <col min="1787" max="1787" width="8.28515625" style="325" customWidth="1"/>
    <col min="1788" max="1788" width="8.7109375" style="325" customWidth="1"/>
    <col min="1789" max="1789" width="9.85546875" style="325" customWidth="1"/>
    <col min="1790" max="1790" width="8.85546875" style="325" customWidth="1"/>
    <col min="1791" max="1791" width="8.7109375" style="325" customWidth="1"/>
    <col min="1792" max="1792" width="9.28515625" style="325" customWidth="1"/>
    <col min="1793" max="1793" width="8.85546875" style="325" customWidth="1"/>
    <col min="1794" max="1794" width="8.7109375" style="325" customWidth="1"/>
    <col min="1795" max="1795" width="9.5703125" style="325" customWidth="1"/>
    <col min="1796" max="1796" width="8.85546875" style="325" customWidth="1"/>
    <col min="1797" max="1797" width="11.140625" style="325" customWidth="1"/>
    <col min="1798" max="1798" width="10.140625" style="325" customWidth="1"/>
    <col min="1799" max="1799" width="13.7109375" style="325" customWidth="1"/>
    <col min="1800" max="1800" width="10.140625" style="325" customWidth="1"/>
    <col min="1801" max="1801" width="11" style="325" customWidth="1"/>
    <col min="1802" max="1802" width="11.7109375" style="325" customWidth="1"/>
    <col min="1803" max="1803" width="12.28515625" style="325" customWidth="1"/>
    <col min="1804" max="1804" width="9.7109375" style="325" customWidth="1"/>
    <col min="1805" max="1805" width="12.85546875" style="325" customWidth="1"/>
    <col min="1806" max="1806" width="9.28515625" style="325" customWidth="1"/>
    <col min="1807" max="2038" width="9.140625" style="325"/>
    <col min="2039" max="2039" width="6.7109375" style="325" customWidth="1"/>
    <col min="2040" max="2040" width="7.85546875" style="325" customWidth="1"/>
    <col min="2041" max="2041" width="12.140625" style="325" customWidth="1"/>
    <col min="2042" max="2042" width="10.28515625" style="325" customWidth="1"/>
    <col min="2043" max="2043" width="8.28515625" style="325" customWidth="1"/>
    <col min="2044" max="2044" width="8.7109375" style="325" customWidth="1"/>
    <col min="2045" max="2045" width="9.85546875" style="325" customWidth="1"/>
    <col min="2046" max="2046" width="8.85546875" style="325" customWidth="1"/>
    <col min="2047" max="2047" width="8.7109375" style="325" customWidth="1"/>
    <col min="2048" max="2048" width="9.28515625" style="325" customWidth="1"/>
    <col min="2049" max="2049" width="8.85546875" style="325" customWidth="1"/>
    <col min="2050" max="2050" width="8.7109375" style="325" customWidth="1"/>
    <col min="2051" max="2051" width="9.5703125" style="325" customWidth="1"/>
    <col min="2052" max="2052" width="8.85546875" style="325" customWidth="1"/>
    <col min="2053" max="2053" width="11.140625" style="325" customWidth="1"/>
    <col min="2054" max="2054" width="10.140625" style="325" customWidth="1"/>
    <col min="2055" max="2055" width="13.7109375" style="325" customWidth="1"/>
    <col min="2056" max="2056" width="10.140625" style="325" customWidth="1"/>
    <col min="2057" max="2057" width="11" style="325" customWidth="1"/>
    <col min="2058" max="2058" width="11.7109375" style="325" customWidth="1"/>
    <col min="2059" max="2059" width="12.28515625" style="325" customWidth="1"/>
    <col min="2060" max="2060" width="9.7109375" style="325" customWidth="1"/>
    <col min="2061" max="2061" width="12.85546875" style="325" customWidth="1"/>
    <col min="2062" max="2062" width="9.28515625" style="325" customWidth="1"/>
    <col min="2063" max="2294" width="9.140625" style="325"/>
    <col min="2295" max="2295" width="6.7109375" style="325" customWidth="1"/>
    <col min="2296" max="2296" width="7.85546875" style="325" customWidth="1"/>
    <col min="2297" max="2297" width="12.140625" style="325" customWidth="1"/>
    <col min="2298" max="2298" width="10.28515625" style="325" customWidth="1"/>
    <col min="2299" max="2299" width="8.28515625" style="325" customWidth="1"/>
    <col min="2300" max="2300" width="8.7109375" style="325" customWidth="1"/>
    <col min="2301" max="2301" width="9.85546875" style="325" customWidth="1"/>
    <col min="2302" max="2302" width="8.85546875" style="325" customWidth="1"/>
    <col min="2303" max="2303" width="8.7109375" style="325" customWidth="1"/>
    <col min="2304" max="2304" width="9.28515625" style="325" customWidth="1"/>
    <col min="2305" max="2305" width="8.85546875" style="325" customWidth="1"/>
    <col min="2306" max="2306" width="8.7109375" style="325" customWidth="1"/>
    <col min="2307" max="2307" width="9.5703125" style="325" customWidth="1"/>
    <col min="2308" max="2308" width="8.85546875" style="325" customWidth="1"/>
    <col min="2309" max="2309" width="11.140625" style="325" customWidth="1"/>
    <col min="2310" max="2310" width="10.140625" style="325" customWidth="1"/>
    <col min="2311" max="2311" width="13.7109375" style="325" customWidth="1"/>
    <col min="2312" max="2312" width="10.140625" style="325" customWidth="1"/>
    <col min="2313" max="2313" width="11" style="325" customWidth="1"/>
    <col min="2314" max="2314" width="11.7109375" style="325" customWidth="1"/>
    <col min="2315" max="2315" width="12.28515625" style="325" customWidth="1"/>
    <col min="2316" max="2316" width="9.7109375" style="325" customWidth="1"/>
    <col min="2317" max="2317" width="12.85546875" style="325" customWidth="1"/>
    <col min="2318" max="2318" width="9.28515625" style="325" customWidth="1"/>
    <col min="2319" max="2550" width="9.140625" style="325"/>
    <col min="2551" max="2551" width="6.7109375" style="325" customWidth="1"/>
    <col min="2552" max="2552" width="7.85546875" style="325" customWidth="1"/>
    <col min="2553" max="2553" width="12.140625" style="325" customWidth="1"/>
    <col min="2554" max="2554" width="10.28515625" style="325" customWidth="1"/>
    <col min="2555" max="2555" width="8.28515625" style="325" customWidth="1"/>
    <col min="2556" max="2556" width="8.7109375" style="325" customWidth="1"/>
    <col min="2557" max="2557" width="9.85546875" style="325" customWidth="1"/>
    <col min="2558" max="2558" width="8.85546875" style="325" customWidth="1"/>
    <col min="2559" max="2559" width="8.7109375" style="325" customWidth="1"/>
    <col min="2560" max="2560" width="9.28515625" style="325" customWidth="1"/>
    <col min="2561" max="2561" width="8.85546875" style="325" customWidth="1"/>
    <col min="2562" max="2562" width="8.7109375" style="325" customWidth="1"/>
    <col min="2563" max="2563" width="9.5703125" style="325" customWidth="1"/>
    <col min="2564" max="2564" width="8.85546875" style="325" customWidth="1"/>
    <col min="2565" max="2565" width="11.140625" style="325" customWidth="1"/>
    <col min="2566" max="2566" width="10.140625" style="325" customWidth="1"/>
    <col min="2567" max="2567" width="13.7109375" style="325" customWidth="1"/>
    <col min="2568" max="2568" width="10.140625" style="325" customWidth="1"/>
    <col min="2569" max="2569" width="11" style="325" customWidth="1"/>
    <col min="2570" max="2570" width="11.7109375" style="325" customWidth="1"/>
    <col min="2571" max="2571" width="12.28515625" style="325" customWidth="1"/>
    <col min="2572" max="2572" width="9.7109375" style="325" customWidth="1"/>
    <col min="2573" max="2573" width="12.85546875" style="325" customWidth="1"/>
    <col min="2574" max="2574" width="9.28515625" style="325" customWidth="1"/>
    <col min="2575" max="2806" width="9.140625" style="325"/>
    <col min="2807" max="2807" width="6.7109375" style="325" customWidth="1"/>
    <col min="2808" max="2808" width="7.85546875" style="325" customWidth="1"/>
    <col min="2809" max="2809" width="12.140625" style="325" customWidth="1"/>
    <col min="2810" max="2810" width="10.28515625" style="325" customWidth="1"/>
    <col min="2811" max="2811" width="8.28515625" style="325" customWidth="1"/>
    <col min="2812" max="2812" width="8.7109375" style="325" customWidth="1"/>
    <col min="2813" max="2813" width="9.85546875" style="325" customWidth="1"/>
    <col min="2814" max="2814" width="8.85546875" style="325" customWidth="1"/>
    <col min="2815" max="2815" width="8.7109375" style="325" customWidth="1"/>
    <col min="2816" max="2816" width="9.28515625" style="325" customWidth="1"/>
    <col min="2817" max="2817" width="8.85546875" style="325" customWidth="1"/>
    <col min="2818" max="2818" width="8.7109375" style="325" customWidth="1"/>
    <col min="2819" max="2819" width="9.5703125" style="325" customWidth="1"/>
    <col min="2820" max="2820" width="8.85546875" style="325" customWidth="1"/>
    <col min="2821" max="2821" width="11.140625" style="325" customWidth="1"/>
    <col min="2822" max="2822" width="10.140625" style="325" customWidth="1"/>
    <col min="2823" max="2823" width="13.7109375" style="325" customWidth="1"/>
    <col min="2824" max="2824" width="10.140625" style="325" customWidth="1"/>
    <col min="2825" max="2825" width="11" style="325" customWidth="1"/>
    <col min="2826" max="2826" width="11.7109375" style="325" customWidth="1"/>
    <col min="2827" max="2827" width="12.28515625" style="325" customWidth="1"/>
    <col min="2828" max="2828" width="9.7109375" style="325" customWidth="1"/>
    <col min="2829" max="2829" width="12.85546875" style="325" customWidth="1"/>
    <col min="2830" max="2830" width="9.28515625" style="325" customWidth="1"/>
    <col min="2831" max="3062" width="9.140625" style="325"/>
    <col min="3063" max="3063" width="6.7109375" style="325" customWidth="1"/>
    <col min="3064" max="3064" width="7.85546875" style="325" customWidth="1"/>
    <col min="3065" max="3065" width="12.140625" style="325" customWidth="1"/>
    <col min="3066" max="3066" width="10.28515625" style="325" customWidth="1"/>
    <col min="3067" max="3067" width="8.28515625" style="325" customWidth="1"/>
    <col min="3068" max="3068" width="8.7109375" style="325" customWidth="1"/>
    <col min="3069" max="3069" width="9.85546875" style="325" customWidth="1"/>
    <col min="3070" max="3070" width="8.85546875" style="325" customWidth="1"/>
    <col min="3071" max="3071" width="8.7109375" style="325" customWidth="1"/>
    <col min="3072" max="3072" width="9.28515625" style="325" customWidth="1"/>
    <col min="3073" max="3073" width="8.85546875" style="325" customWidth="1"/>
    <col min="3074" max="3074" width="8.7109375" style="325" customWidth="1"/>
    <col min="3075" max="3075" width="9.5703125" style="325" customWidth="1"/>
    <col min="3076" max="3076" width="8.85546875" style="325" customWidth="1"/>
    <col min="3077" max="3077" width="11.140625" style="325" customWidth="1"/>
    <col min="3078" max="3078" width="10.140625" style="325" customWidth="1"/>
    <col min="3079" max="3079" width="13.7109375" style="325" customWidth="1"/>
    <col min="3080" max="3080" width="10.140625" style="325" customWidth="1"/>
    <col min="3081" max="3081" width="11" style="325" customWidth="1"/>
    <col min="3082" max="3082" width="11.7109375" style="325" customWidth="1"/>
    <col min="3083" max="3083" width="12.28515625" style="325" customWidth="1"/>
    <col min="3084" max="3084" width="9.7109375" style="325" customWidth="1"/>
    <col min="3085" max="3085" width="12.85546875" style="325" customWidth="1"/>
    <col min="3086" max="3086" width="9.28515625" style="325" customWidth="1"/>
    <col min="3087" max="3318" width="9.140625" style="325"/>
    <col min="3319" max="3319" width="6.7109375" style="325" customWidth="1"/>
    <col min="3320" max="3320" width="7.85546875" style="325" customWidth="1"/>
    <col min="3321" max="3321" width="12.140625" style="325" customWidth="1"/>
    <col min="3322" max="3322" width="10.28515625" style="325" customWidth="1"/>
    <col min="3323" max="3323" width="8.28515625" style="325" customWidth="1"/>
    <col min="3324" max="3324" width="8.7109375" style="325" customWidth="1"/>
    <col min="3325" max="3325" width="9.85546875" style="325" customWidth="1"/>
    <col min="3326" max="3326" width="8.85546875" style="325" customWidth="1"/>
    <col min="3327" max="3327" width="8.7109375" style="325" customWidth="1"/>
    <col min="3328" max="3328" width="9.28515625" style="325" customWidth="1"/>
    <col min="3329" max="3329" width="8.85546875" style="325" customWidth="1"/>
    <col min="3330" max="3330" width="8.7109375" style="325" customWidth="1"/>
    <col min="3331" max="3331" width="9.5703125" style="325" customWidth="1"/>
    <col min="3332" max="3332" width="8.85546875" style="325" customWidth="1"/>
    <col min="3333" max="3333" width="11.140625" style="325" customWidth="1"/>
    <col min="3334" max="3334" width="10.140625" style="325" customWidth="1"/>
    <col min="3335" max="3335" width="13.7109375" style="325" customWidth="1"/>
    <col min="3336" max="3336" width="10.140625" style="325" customWidth="1"/>
    <col min="3337" max="3337" width="11" style="325" customWidth="1"/>
    <col min="3338" max="3338" width="11.7109375" style="325" customWidth="1"/>
    <col min="3339" max="3339" width="12.28515625" style="325" customWidth="1"/>
    <col min="3340" max="3340" width="9.7109375" style="325" customWidth="1"/>
    <col min="3341" max="3341" width="12.85546875" style="325" customWidth="1"/>
    <col min="3342" max="3342" width="9.28515625" style="325" customWidth="1"/>
    <col min="3343" max="3574" width="9.140625" style="325"/>
    <col min="3575" max="3575" width="6.7109375" style="325" customWidth="1"/>
    <col min="3576" max="3576" width="7.85546875" style="325" customWidth="1"/>
    <col min="3577" max="3577" width="12.140625" style="325" customWidth="1"/>
    <col min="3578" max="3578" width="10.28515625" style="325" customWidth="1"/>
    <col min="3579" max="3579" width="8.28515625" style="325" customWidth="1"/>
    <col min="3580" max="3580" width="8.7109375" style="325" customWidth="1"/>
    <col min="3581" max="3581" width="9.85546875" style="325" customWidth="1"/>
    <col min="3582" max="3582" width="8.85546875" style="325" customWidth="1"/>
    <col min="3583" max="3583" width="8.7109375" style="325" customWidth="1"/>
    <col min="3584" max="3584" width="9.28515625" style="325" customWidth="1"/>
    <col min="3585" max="3585" width="8.85546875" style="325" customWidth="1"/>
    <col min="3586" max="3586" width="8.7109375" style="325" customWidth="1"/>
    <col min="3587" max="3587" width="9.5703125" style="325" customWidth="1"/>
    <col min="3588" max="3588" width="8.85546875" style="325" customWidth="1"/>
    <col min="3589" max="3589" width="11.140625" style="325" customWidth="1"/>
    <col min="3590" max="3590" width="10.140625" style="325" customWidth="1"/>
    <col min="3591" max="3591" width="13.7109375" style="325" customWidth="1"/>
    <col min="3592" max="3592" width="10.140625" style="325" customWidth="1"/>
    <col min="3593" max="3593" width="11" style="325" customWidth="1"/>
    <col min="3594" max="3594" width="11.7109375" style="325" customWidth="1"/>
    <col min="3595" max="3595" width="12.28515625" style="325" customWidth="1"/>
    <col min="3596" max="3596" width="9.7109375" style="325" customWidth="1"/>
    <col min="3597" max="3597" width="12.85546875" style="325" customWidth="1"/>
    <col min="3598" max="3598" width="9.28515625" style="325" customWidth="1"/>
    <col min="3599" max="3830" width="9.140625" style="325"/>
    <col min="3831" max="3831" width="6.7109375" style="325" customWidth="1"/>
    <col min="3832" max="3832" width="7.85546875" style="325" customWidth="1"/>
    <col min="3833" max="3833" width="12.140625" style="325" customWidth="1"/>
    <col min="3834" max="3834" width="10.28515625" style="325" customWidth="1"/>
    <col min="3835" max="3835" width="8.28515625" style="325" customWidth="1"/>
    <col min="3836" max="3836" width="8.7109375" style="325" customWidth="1"/>
    <col min="3837" max="3837" width="9.85546875" style="325" customWidth="1"/>
    <col min="3838" max="3838" width="8.85546875" style="325" customWidth="1"/>
    <col min="3839" max="3839" width="8.7109375" style="325" customWidth="1"/>
    <col min="3840" max="3840" width="9.28515625" style="325" customWidth="1"/>
    <col min="3841" max="3841" width="8.85546875" style="325" customWidth="1"/>
    <col min="3842" max="3842" width="8.7109375" style="325" customWidth="1"/>
    <col min="3843" max="3843" width="9.5703125" style="325" customWidth="1"/>
    <col min="3844" max="3844" width="8.85546875" style="325" customWidth="1"/>
    <col min="3845" max="3845" width="11.140625" style="325" customWidth="1"/>
    <col min="3846" max="3846" width="10.140625" style="325" customWidth="1"/>
    <col min="3847" max="3847" width="13.7109375" style="325" customWidth="1"/>
    <col min="3848" max="3848" width="10.140625" style="325" customWidth="1"/>
    <col min="3849" max="3849" width="11" style="325" customWidth="1"/>
    <col min="3850" max="3850" width="11.7109375" style="325" customWidth="1"/>
    <col min="3851" max="3851" width="12.28515625" style="325" customWidth="1"/>
    <col min="3852" max="3852" width="9.7109375" style="325" customWidth="1"/>
    <col min="3853" max="3853" width="12.85546875" style="325" customWidth="1"/>
    <col min="3854" max="3854" width="9.28515625" style="325" customWidth="1"/>
    <col min="3855" max="4086" width="9.140625" style="325"/>
    <col min="4087" max="4087" width="6.7109375" style="325" customWidth="1"/>
    <col min="4088" max="4088" width="7.85546875" style="325" customWidth="1"/>
    <col min="4089" max="4089" width="12.140625" style="325" customWidth="1"/>
    <col min="4090" max="4090" width="10.28515625" style="325" customWidth="1"/>
    <col min="4091" max="4091" width="8.28515625" style="325" customWidth="1"/>
    <col min="4092" max="4092" width="8.7109375" style="325" customWidth="1"/>
    <col min="4093" max="4093" width="9.85546875" style="325" customWidth="1"/>
    <col min="4094" max="4094" width="8.85546875" style="325" customWidth="1"/>
    <col min="4095" max="4095" width="8.7109375" style="325" customWidth="1"/>
    <col min="4096" max="4096" width="9.28515625" style="325" customWidth="1"/>
    <col min="4097" max="4097" width="8.85546875" style="325" customWidth="1"/>
    <col min="4098" max="4098" width="8.7109375" style="325" customWidth="1"/>
    <col min="4099" max="4099" width="9.5703125" style="325" customWidth="1"/>
    <col min="4100" max="4100" width="8.85546875" style="325" customWidth="1"/>
    <col min="4101" max="4101" width="11.140625" style="325" customWidth="1"/>
    <col min="4102" max="4102" width="10.140625" style="325" customWidth="1"/>
    <col min="4103" max="4103" width="13.7109375" style="325" customWidth="1"/>
    <col min="4104" max="4104" width="10.140625" style="325" customWidth="1"/>
    <col min="4105" max="4105" width="11" style="325" customWidth="1"/>
    <col min="4106" max="4106" width="11.7109375" style="325" customWidth="1"/>
    <col min="4107" max="4107" width="12.28515625" style="325" customWidth="1"/>
    <col min="4108" max="4108" width="9.7109375" style="325" customWidth="1"/>
    <col min="4109" max="4109" width="12.85546875" style="325" customWidth="1"/>
    <col min="4110" max="4110" width="9.28515625" style="325" customWidth="1"/>
    <col min="4111" max="4342" width="9.140625" style="325"/>
    <col min="4343" max="4343" width="6.7109375" style="325" customWidth="1"/>
    <col min="4344" max="4344" width="7.85546875" style="325" customWidth="1"/>
    <col min="4345" max="4345" width="12.140625" style="325" customWidth="1"/>
    <col min="4346" max="4346" width="10.28515625" style="325" customWidth="1"/>
    <col min="4347" max="4347" width="8.28515625" style="325" customWidth="1"/>
    <col min="4348" max="4348" width="8.7109375" style="325" customWidth="1"/>
    <col min="4349" max="4349" width="9.85546875" style="325" customWidth="1"/>
    <col min="4350" max="4350" width="8.85546875" style="325" customWidth="1"/>
    <col min="4351" max="4351" width="8.7109375" style="325" customWidth="1"/>
    <col min="4352" max="4352" width="9.28515625" style="325" customWidth="1"/>
    <col min="4353" max="4353" width="8.85546875" style="325" customWidth="1"/>
    <col min="4354" max="4354" width="8.7109375" style="325" customWidth="1"/>
    <col min="4355" max="4355" width="9.5703125" style="325" customWidth="1"/>
    <col min="4356" max="4356" width="8.85546875" style="325" customWidth="1"/>
    <col min="4357" max="4357" width="11.140625" style="325" customWidth="1"/>
    <col min="4358" max="4358" width="10.140625" style="325" customWidth="1"/>
    <col min="4359" max="4359" width="13.7109375" style="325" customWidth="1"/>
    <col min="4360" max="4360" width="10.140625" style="325" customWidth="1"/>
    <col min="4361" max="4361" width="11" style="325" customWidth="1"/>
    <col min="4362" max="4362" width="11.7109375" style="325" customWidth="1"/>
    <col min="4363" max="4363" width="12.28515625" style="325" customWidth="1"/>
    <col min="4364" max="4364" width="9.7109375" style="325" customWidth="1"/>
    <col min="4365" max="4365" width="12.85546875" style="325" customWidth="1"/>
    <col min="4366" max="4366" width="9.28515625" style="325" customWidth="1"/>
    <col min="4367" max="4598" width="9.140625" style="325"/>
    <col min="4599" max="4599" width="6.7109375" style="325" customWidth="1"/>
    <col min="4600" max="4600" width="7.85546875" style="325" customWidth="1"/>
    <col min="4601" max="4601" width="12.140625" style="325" customWidth="1"/>
    <col min="4602" max="4602" width="10.28515625" style="325" customWidth="1"/>
    <col min="4603" max="4603" width="8.28515625" style="325" customWidth="1"/>
    <col min="4604" max="4604" width="8.7109375" style="325" customWidth="1"/>
    <col min="4605" max="4605" width="9.85546875" style="325" customWidth="1"/>
    <col min="4606" max="4606" width="8.85546875" style="325" customWidth="1"/>
    <col min="4607" max="4607" width="8.7109375" style="325" customWidth="1"/>
    <col min="4608" max="4608" width="9.28515625" style="325" customWidth="1"/>
    <col min="4609" max="4609" width="8.85546875" style="325" customWidth="1"/>
    <col min="4610" max="4610" width="8.7109375" style="325" customWidth="1"/>
    <col min="4611" max="4611" width="9.5703125" style="325" customWidth="1"/>
    <col min="4612" max="4612" width="8.85546875" style="325" customWidth="1"/>
    <col min="4613" max="4613" width="11.140625" style="325" customWidth="1"/>
    <col min="4614" max="4614" width="10.140625" style="325" customWidth="1"/>
    <col min="4615" max="4615" width="13.7109375" style="325" customWidth="1"/>
    <col min="4616" max="4616" width="10.140625" style="325" customWidth="1"/>
    <col min="4617" max="4617" width="11" style="325" customWidth="1"/>
    <col min="4618" max="4618" width="11.7109375" style="325" customWidth="1"/>
    <col min="4619" max="4619" width="12.28515625" style="325" customWidth="1"/>
    <col min="4620" max="4620" width="9.7109375" style="325" customWidth="1"/>
    <col min="4621" max="4621" width="12.85546875" style="325" customWidth="1"/>
    <col min="4622" max="4622" width="9.28515625" style="325" customWidth="1"/>
    <col min="4623" max="4854" width="9.140625" style="325"/>
    <col min="4855" max="4855" width="6.7109375" style="325" customWidth="1"/>
    <col min="4856" max="4856" width="7.85546875" style="325" customWidth="1"/>
    <col min="4857" max="4857" width="12.140625" style="325" customWidth="1"/>
    <col min="4858" max="4858" width="10.28515625" style="325" customWidth="1"/>
    <col min="4859" max="4859" width="8.28515625" style="325" customWidth="1"/>
    <col min="4860" max="4860" width="8.7109375" style="325" customWidth="1"/>
    <col min="4861" max="4861" width="9.85546875" style="325" customWidth="1"/>
    <col min="4862" max="4862" width="8.85546875" style="325" customWidth="1"/>
    <col min="4863" max="4863" width="8.7109375" style="325" customWidth="1"/>
    <col min="4864" max="4864" width="9.28515625" style="325" customWidth="1"/>
    <col min="4865" max="4865" width="8.85546875" style="325" customWidth="1"/>
    <col min="4866" max="4866" width="8.7109375" style="325" customWidth="1"/>
    <col min="4867" max="4867" width="9.5703125" style="325" customWidth="1"/>
    <col min="4868" max="4868" width="8.85546875" style="325" customWidth="1"/>
    <col min="4869" max="4869" width="11.140625" style="325" customWidth="1"/>
    <col min="4870" max="4870" width="10.140625" style="325" customWidth="1"/>
    <col min="4871" max="4871" width="13.7109375" style="325" customWidth="1"/>
    <col min="4872" max="4872" width="10.140625" style="325" customWidth="1"/>
    <col min="4873" max="4873" width="11" style="325" customWidth="1"/>
    <col min="4874" max="4874" width="11.7109375" style="325" customWidth="1"/>
    <col min="4875" max="4875" width="12.28515625" style="325" customWidth="1"/>
    <col min="4876" max="4876" width="9.7109375" style="325" customWidth="1"/>
    <col min="4877" max="4877" width="12.85546875" style="325" customWidth="1"/>
    <col min="4878" max="4878" width="9.28515625" style="325" customWidth="1"/>
    <col min="4879" max="5110" width="9.140625" style="325"/>
    <col min="5111" max="5111" width="6.7109375" style="325" customWidth="1"/>
    <col min="5112" max="5112" width="7.85546875" style="325" customWidth="1"/>
    <col min="5113" max="5113" width="12.140625" style="325" customWidth="1"/>
    <col min="5114" max="5114" width="10.28515625" style="325" customWidth="1"/>
    <col min="5115" max="5115" width="8.28515625" style="325" customWidth="1"/>
    <col min="5116" max="5116" width="8.7109375" style="325" customWidth="1"/>
    <col min="5117" max="5117" width="9.85546875" style="325" customWidth="1"/>
    <col min="5118" max="5118" width="8.85546875" style="325" customWidth="1"/>
    <col min="5119" max="5119" width="8.7109375" style="325" customWidth="1"/>
    <col min="5120" max="5120" width="9.28515625" style="325" customWidth="1"/>
    <col min="5121" max="5121" width="8.85546875" style="325" customWidth="1"/>
    <col min="5122" max="5122" width="8.7109375" style="325" customWidth="1"/>
    <col min="5123" max="5123" width="9.5703125" style="325" customWidth="1"/>
    <col min="5124" max="5124" width="8.85546875" style="325" customWidth="1"/>
    <col min="5125" max="5125" width="11.140625" style="325" customWidth="1"/>
    <col min="5126" max="5126" width="10.140625" style="325" customWidth="1"/>
    <col min="5127" max="5127" width="13.7109375" style="325" customWidth="1"/>
    <col min="5128" max="5128" width="10.140625" style="325" customWidth="1"/>
    <col min="5129" max="5129" width="11" style="325" customWidth="1"/>
    <col min="5130" max="5130" width="11.7109375" style="325" customWidth="1"/>
    <col min="5131" max="5131" width="12.28515625" style="325" customWidth="1"/>
    <col min="5132" max="5132" width="9.7109375" style="325" customWidth="1"/>
    <col min="5133" max="5133" width="12.85546875" style="325" customWidth="1"/>
    <col min="5134" max="5134" width="9.28515625" style="325" customWidth="1"/>
    <col min="5135" max="5366" width="9.140625" style="325"/>
    <col min="5367" max="5367" width="6.7109375" style="325" customWidth="1"/>
    <col min="5368" max="5368" width="7.85546875" style="325" customWidth="1"/>
    <col min="5369" max="5369" width="12.140625" style="325" customWidth="1"/>
    <col min="5370" max="5370" width="10.28515625" style="325" customWidth="1"/>
    <col min="5371" max="5371" width="8.28515625" style="325" customWidth="1"/>
    <col min="5372" max="5372" width="8.7109375" style="325" customWidth="1"/>
    <col min="5373" max="5373" width="9.85546875" style="325" customWidth="1"/>
    <col min="5374" max="5374" width="8.85546875" style="325" customWidth="1"/>
    <col min="5375" max="5375" width="8.7109375" style="325" customWidth="1"/>
    <col min="5376" max="5376" width="9.28515625" style="325" customWidth="1"/>
    <col min="5377" max="5377" width="8.85546875" style="325" customWidth="1"/>
    <col min="5378" max="5378" width="8.7109375" style="325" customWidth="1"/>
    <col min="5379" max="5379" width="9.5703125" style="325" customWidth="1"/>
    <col min="5380" max="5380" width="8.85546875" style="325" customWidth="1"/>
    <col min="5381" max="5381" width="11.140625" style="325" customWidth="1"/>
    <col min="5382" max="5382" width="10.140625" style="325" customWidth="1"/>
    <col min="5383" max="5383" width="13.7109375" style="325" customWidth="1"/>
    <col min="5384" max="5384" width="10.140625" style="325" customWidth="1"/>
    <col min="5385" max="5385" width="11" style="325" customWidth="1"/>
    <col min="5386" max="5386" width="11.7109375" style="325" customWidth="1"/>
    <col min="5387" max="5387" width="12.28515625" style="325" customWidth="1"/>
    <col min="5388" max="5388" width="9.7109375" style="325" customWidth="1"/>
    <col min="5389" max="5389" width="12.85546875" style="325" customWidth="1"/>
    <col min="5390" max="5390" width="9.28515625" style="325" customWidth="1"/>
    <col min="5391" max="5622" width="9.140625" style="325"/>
    <col min="5623" max="5623" width="6.7109375" style="325" customWidth="1"/>
    <col min="5624" max="5624" width="7.85546875" style="325" customWidth="1"/>
    <col min="5625" max="5625" width="12.140625" style="325" customWidth="1"/>
    <col min="5626" max="5626" width="10.28515625" style="325" customWidth="1"/>
    <col min="5627" max="5627" width="8.28515625" style="325" customWidth="1"/>
    <col min="5628" max="5628" width="8.7109375" style="325" customWidth="1"/>
    <col min="5629" max="5629" width="9.85546875" style="325" customWidth="1"/>
    <col min="5630" max="5630" width="8.85546875" style="325" customWidth="1"/>
    <col min="5631" max="5631" width="8.7109375" style="325" customWidth="1"/>
    <col min="5632" max="5632" width="9.28515625" style="325" customWidth="1"/>
    <col min="5633" max="5633" width="8.85546875" style="325" customWidth="1"/>
    <col min="5634" max="5634" width="8.7109375" style="325" customWidth="1"/>
    <col min="5635" max="5635" width="9.5703125" style="325" customWidth="1"/>
    <col min="5636" max="5636" width="8.85546875" style="325" customWidth="1"/>
    <col min="5637" max="5637" width="11.140625" style="325" customWidth="1"/>
    <col min="5638" max="5638" width="10.140625" style="325" customWidth="1"/>
    <col min="5639" max="5639" width="13.7109375" style="325" customWidth="1"/>
    <col min="5640" max="5640" width="10.140625" style="325" customWidth="1"/>
    <col min="5641" max="5641" width="11" style="325" customWidth="1"/>
    <col min="5642" max="5642" width="11.7109375" style="325" customWidth="1"/>
    <col min="5643" max="5643" width="12.28515625" style="325" customWidth="1"/>
    <col min="5644" max="5644" width="9.7109375" style="325" customWidth="1"/>
    <col min="5645" max="5645" width="12.85546875" style="325" customWidth="1"/>
    <col min="5646" max="5646" width="9.28515625" style="325" customWidth="1"/>
    <col min="5647" max="5878" width="9.140625" style="325"/>
    <col min="5879" max="5879" width="6.7109375" style="325" customWidth="1"/>
    <col min="5880" max="5880" width="7.85546875" style="325" customWidth="1"/>
    <col min="5881" max="5881" width="12.140625" style="325" customWidth="1"/>
    <col min="5882" max="5882" width="10.28515625" style="325" customWidth="1"/>
    <col min="5883" max="5883" width="8.28515625" style="325" customWidth="1"/>
    <col min="5884" max="5884" width="8.7109375" style="325" customWidth="1"/>
    <col min="5885" max="5885" width="9.85546875" style="325" customWidth="1"/>
    <col min="5886" max="5886" width="8.85546875" style="325" customWidth="1"/>
    <col min="5887" max="5887" width="8.7109375" style="325" customWidth="1"/>
    <col min="5888" max="5888" width="9.28515625" style="325" customWidth="1"/>
    <col min="5889" max="5889" width="8.85546875" style="325" customWidth="1"/>
    <col min="5890" max="5890" width="8.7109375" style="325" customWidth="1"/>
    <col min="5891" max="5891" width="9.5703125" style="325" customWidth="1"/>
    <col min="5892" max="5892" width="8.85546875" style="325" customWidth="1"/>
    <col min="5893" max="5893" width="11.140625" style="325" customWidth="1"/>
    <col min="5894" max="5894" width="10.140625" style="325" customWidth="1"/>
    <col min="5895" max="5895" width="13.7109375" style="325" customWidth="1"/>
    <col min="5896" max="5896" width="10.140625" style="325" customWidth="1"/>
    <col min="5897" max="5897" width="11" style="325" customWidth="1"/>
    <col min="5898" max="5898" width="11.7109375" style="325" customWidth="1"/>
    <col min="5899" max="5899" width="12.28515625" style="325" customWidth="1"/>
    <col min="5900" max="5900" width="9.7109375" style="325" customWidth="1"/>
    <col min="5901" max="5901" width="12.85546875" style="325" customWidth="1"/>
    <col min="5902" max="5902" width="9.28515625" style="325" customWidth="1"/>
    <col min="5903" max="6134" width="9.140625" style="325"/>
    <col min="6135" max="6135" width="6.7109375" style="325" customWidth="1"/>
    <col min="6136" max="6136" width="7.85546875" style="325" customWidth="1"/>
    <col min="6137" max="6137" width="12.140625" style="325" customWidth="1"/>
    <col min="6138" max="6138" width="10.28515625" style="325" customWidth="1"/>
    <col min="6139" max="6139" width="8.28515625" style="325" customWidth="1"/>
    <col min="6140" max="6140" width="8.7109375" style="325" customWidth="1"/>
    <col min="6141" max="6141" width="9.85546875" style="325" customWidth="1"/>
    <col min="6142" max="6142" width="8.85546875" style="325" customWidth="1"/>
    <col min="6143" max="6143" width="8.7109375" style="325" customWidth="1"/>
    <col min="6144" max="6144" width="9.28515625" style="325" customWidth="1"/>
    <col min="6145" max="6145" width="8.85546875" style="325" customWidth="1"/>
    <col min="6146" max="6146" width="8.7109375" style="325" customWidth="1"/>
    <col min="6147" max="6147" width="9.5703125" style="325" customWidth="1"/>
    <col min="6148" max="6148" width="8.85546875" style="325" customWidth="1"/>
    <col min="6149" max="6149" width="11.140625" style="325" customWidth="1"/>
    <col min="6150" max="6150" width="10.140625" style="325" customWidth="1"/>
    <col min="6151" max="6151" width="13.7109375" style="325" customWidth="1"/>
    <col min="6152" max="6152" width="10.140625" style="325" customWidth="1"/>
    <col min="6153" max="6153" width="11" style="325" customWidth="1"/>
    <col min="6154" max="6154" width="11.7109375" style="325" customWidth="1"/>
    <col min="6155" max="6155" width="12.28515625" style="325" customWidth="1"/>
    <col min="6156" max="6156" width="9.7109375" style="325" customWidth="1"/>
    <col min="6157" max="6157" width="12.85546875" style="325" customWidth="1"/>
    <col min="6158" max="6158" width="9.28515625" style="325" customWidth="1"/>
    <col min="6159" max="6390" width="9.140625" style="325"/>
    <col min="6391" max="6391" width="6.7109375" style="325" customWidth="1"/>
    <col min="6392" max="6392" width="7.85546875" style="325" customWidth="1"/>
    <col min="6393" max="6393" width="12.140625" style="325" customWidth="1"/>
    <col min="6394" max="6394" width="10.28515625" style="325" customWidth="1"/>
    <col min="6395" max="6395" width="8.28515625" style="325" customWidth="1"/>
    <col min="6396" max="6396" width="8.7109375" style="325" customWidth="1"/>
    <col min="6397" max="6397" width="9.85546875" style="325" customWidth="1"/>
    <col min="6398" max="6398" width="8.85546875" style="325" customWidth="1"/>
    <col min="6399" max="6399" width="8.7109375" style="325" customWidth="1"/>
    <col min="6400" max="6400" width="9.28515625" style="325" customWidth="1"/>
    <col min="6401" max="6401" width="8.85546875" style="325" customWidth="1"/>
    <col min="6402" max="6402" width="8.7109375" style="325" customWidth="1"/>
    <col min="6403" max="6403" width="9.5703125" style="325" customWidth="1"/>
    <col min="6404" max="6404" width="8.85546875" style="325" customWidth="1"/>
    <col min="6405" max="6405" width="11.140625" style="325" customWidth="1"/>
    <col min="6406" max="6406" width="10.140625" style="325" customWidth="1"/>
    <col min="6407" max="6407" width="13.7109375" style="325" customWidth="1"/>
    <col min="6408" max="6408" width="10.140625" style="325" customWidth="1"/>
    <col min="6409" max="6409" width="11" style="325" customWidth="1"/>
    <col min="6410" max="6410" width="11.7109375" style="325" customWidth="1"/>
    <col min="6411" max="6411" width="12.28515625" style="325" customWidth="1"/>
    <col min="6412" max="6412" width="9.7109375" style="325" customWidth="1"/>
    <col min="6413" max="6413" width="12.85546875" style="325" customWidth="1"/>
    <col min="6414" max="6414" width="9.28515625" style="325" customWidth="1"/>
    <col min="6415" max="6646" width="9.140625" style="325"/>
    <col min="6647" max="6647" width="6.7109375" style="325" customWidth="1"/>
    <col min="6648" max="6648" width="7.85546875" style="325" customWidth="1"/>
    <col min="6649" max="6649" width="12.140625" style="325" customWidth="1"/>
    <col min="6650" max="6650" width="10.28515625" style="325" customWidth="1"/>
    <col min="6651" max="6651" width="8.28515625" style="325" customWidth="1"/>
    <col min="6652" max="6652" width="8.7109375" style="325" customWidth="1"/>
    <col min="6653" max="6653" width="9.85546875" style="325" customWidth="1"/>
    <col min="6654" max="6654" width="8.85546875" style="325" customWidth="1"/>
    <col min="6655" max="6655" width="8.7109375" style="325" customWidth="1"/>
    <col min="6656" max="6656" width="9.28515625" style="325" customWidth="1"/>
    <col min="6657" max="6657" width="8.85546875" style="325" customWidth="1"/>
    <col min="6658" max="6658" width="8.7109375" style="325" customWidth="1"/>
    <col min="6659" max="6659" width="9.5703125" style="325" customWidth="1"/>
    <col min="6660" max="6660" width="8.85546875" style="325" customWidth="1"/>
    <col min="6661" max="6661" width="11.140625" style="325" customWidth="1"/>
    <col min="6662" max="6662" width="10.140625" style="325" customWidth="1"/>
    <col min="6663" max="6663" width="13.7109375" style="325" customWidth="1"/>
    <col min="6664" max="6664" width="10.140625" style="325" customWidth="1"/>
    <col min="6665" max="6665" width="11" style="325" customWidth="1"/>
    <col min="6666" max="6666" width="11.7109375" style="325" customWidth="1"/>
    <col min="6667" max="6667" width="12.28515625" style="325" customWidth="1"/>
    <col min="6668" max="6668" width="9.7109375" style="325" customWidth="1"/>
    <col min="6669" max="6669" width="12.85546875" style="325" customWidth="1"/>
    <col min="6670" max="6670" width="9.28515625" style="325" customWidth="1"/>
    <col min="6671" max="6902" width="9.140625" style="325"/>
    <col min="6903" max="6903" width="6.7109375" style="325" customWidth="1"/>
    <col min="6904" max="6904" width="7.85546875" style="325" customWidth="1"/>
    <col min="6905" max="6905" width="12.140625" style="325" customWidth="1"/>
    <col min="6906" max="6906" width="10.28515625" style="325" customWidth="1"/>
    <col min="6907" max="6907" width="8.28515625" style="325" customWidth="1"/>
    <col min="6908" max="6908" width="8.7109375" style="325" customWidth="1"/>
    <col min="6909" max="6909" width="9.85546875" style="325" customWidth="1"/>
    <col min="6910" max="6910" width="8.85546875" style="325" customWidth="1"/>
    <col min="6911" max="6911" width="8.7109375" style="325" customWidth="1"/>
    <col min="6912" max="6912" width="9.28515625" style="325" customWidth="1"/>
    <col min="6913" max="6913" width="8.85546875" style="325" customWidth="1"/>
    <col min="6914" max="6914" width="8.7109375" style="325" customWidth="1"/>
    <col min="6915" max="6915" width="9.5703125" style="325" customWidth="1"/>
    <col min="6916" max="6916" width="8.85546875" style="325" customWidth="1"/>
    <col min="6917" max="6917" width="11.140625" style="325" customWidth="1"/>
    <col min="6918" max="6918" width="10.140625" style="325" customWidth="1"/>
    <col min="6919" max="6919" width="13.7109375" style="325" customWidth="1"/>
    <col min="6920" max="6920" width="10.140625" style="325" customWidth="1"/>
    <col min="6921" max="6921" width="11" style="325" customWidth="1"/>
    <col min="6922" max="6922" width="11.7109375" style="325" customWidth="1"/>
    <col min="6923" max="6923" width="12.28515625" style="325" customWidth="1"/>
    <col min="6924" max="6924" width="9.7109375" style="325" customWidth="1"/>
    <col min="6925" max="6925" width="12.85546875" style="325" customWidth="1"/>
    <col min="6926" max="6926" width="9.28515625" style="325" customWidth="1"/>
    <col min="6927" max="7158" width="9.140625" style="325"/>
    <col min="7159" max="7159" width="6.7109375" style="325" customWidth="1"/>
    <col min="7160" max="7160" width="7.85546875" style="325" customWidth="1"/>
    <col min="7161" max="7161" width="12.140625" style="325" customWidth="1"/>
    <col min="7162" max="7162" width="10.28515625" style="325" customWidth="1"/>
    <col min="7163" max="7163" width="8.28515625" style="325" customWidth="1"/>
    <col min="7164" max="7164" width="8.7109375" style="325" customWidth="1"/>
    <col min="7165" max="7165" width="9.85546875" style="325" customWidth="1"/>
    <col min="7166" max="7166" width="8.85546875" style="325" customWidth="1"/>
    <col min="7167" max="7167" width="8.7109375" style="325" customWidth="1"/>
    <col min="7168" max="7168" width="9.28515625" style="325" customWidth="1"/>
    <col min="7169" max="7169" width="8.85546875" style="325" customWidth="1"/>
    <col min="7170" max="7170" width="8.7109375" style="325" customWidth="1"/>
    <col min="7171" max="7171" width="9.5703125" style="325" customWidth="1"/>
    <col min="7172" max="7172" width="8.85546875" style="325" customWidth="1"/>
    <col min="7173" max="7173" width="11.140625" style="325" customWidth="1"/>
    <col min="7174" max="7174" width="10.140625" style="325" customWidth="1"/>
    <col min="7175" max="7175" width="13.7109375" style="325" customWidth="1"/>
    <col min="7176" max="7176" width="10.140625" style="325" customWidth="1"/>
    <col min="7177" max="7177" width="11" style="325" customWidth="1"/>
    <col min="7178" max="7178" width="11.7109375" style="325" customWidth="1"/>
    <col min="7179" max="7179" width="12.28515625" style="325" customWidth="1"/>
    <col min="7180" max="7180" width="9.7109375" style="325" customWidth="1"/>
    <col min="7181" max="7181" width="12.85546875" style="325" customWidth="1"/>
    <col min="7182" max="7182" width="9.28515625" style="325" customWidth="1"/>
    <col min="7183" max="7414" width="9.140625" style="325"/>
    <col min="7415" max="7415" width="6.7109375" style="325" customWidth="1"/>
    <col min="7416" max="7416" width="7.85546875" style="325" customWidth="1"/>
    <col min="7417" max="7417" width="12.140625" style="325" customWidth="1"/>
    <col min="7418" max="7418" width="10.28515625" style="325" customWidth="1"/>
    <col min="7419" max="7419" width="8.28515625" style="325" customWidth="1"/>
    <col min="7420" max="7420" width="8.7109375" style="325" customWidth="1"/>
    <col min="7421" max="7421" width="9.85546875" style="325" customWidth="1"/>
    <col min="7422" max="7422" width="8.85546875" style="325" customWidth="1"/>
    <col min="7423" max="7423" width="8.7109375" style="325" customWidth="1"/>
    <col min="7424" max="7424" width="9.28515625" style="325" customWidth="1"/>
    <col min="7425" max="7425" width="8.85546875" style="325" customWidth="1"/>
    <col min="7426" max="7426" width="8.7109375" style="325" customWidth="1"/>
    <col min="7427" max="7427" width="9.5703125" style="325" customWidth="1"/>
    <col min="7428" max="7428" width="8.85546875" style="325" customWidth="1"/>
    <col min="7429" max="7429" width="11.140625" style="325" customWidth="1"/>
    <col min="7430" max="7430" width="10.140625" style="325" customWidth="1"/>
    <col min="7431" max="7431" width="13.7109375" style="325" customWidth="1"/>
    <col min="7432" max="7432" width="10.140625" style="325" customWidth="1"/>
    <col min="7433" max="7433" width="11" style="325" customWidth="1"/>
    <col min="7434" max="7434" width="11.7109375" style="325" customWidth="1"/>
    <col min="7435" max="7435" width="12.28515625" style="325" customWidth="1"/>
    <col min="7436" max="7436" width="9.7109375" style="325" customWidth="1"/>
    <col min="7437" max="7437" width="12.85546875" style="325" customWidth="1"/>
    <col min="7438" max="7438" width="9.28515625" style="325" customWidth="1"/>
    <col min="7439" max="7670" width="9.140625" style="325"/>
    <col min="7671" max="7671" width="6.7109375" style="325" customWidth="1"/>
    <col min="7672" max="7672" width="7.85546875" style="325" customWidth="1"/>
    <col min="7673" max="7673" width="12.140625" style="325" customWidth="1"/>
    <col min="7674" max="7674" width="10.28515625" style="325" customWidth="1"/>
    <col min="7675" max="7675" width="8.28515625" style="325" customWidth="1"/>
    <col min="7676" max="7676" width="8.7109375" style="325" customWidth="1"/>
    <col min="7677" max="7677" width="9.85546875" style="325" customWidth="1"/>
    <col min="7678" max="7678" width="8.85546875" style="325" customWidth="1"/>
    <col min="7679" max="7679" width="8.7109375" style="325" customWidth="1"/>
    <col min="7680" max="7680" width="9.28515625" style="325" customWidth="1"/>
    <col min="7681" max="7681" width="8.85546875" style="325" customWidth="1"/>
    <col min="7682" max="7682" width="8.7109375" style="325" customWidth="1"/>
    <col min="7683" max="7683" width="9.5703125" style="325" customWidth="1"/>
    <col min="7684" max="7684" width="8.85546875" style="325" customWidth="1"/>
    <col min="7685" max="7685" width="11.140625" style="325" customWidth="1"/>
    <col min="7686" max="7686" width="10.140625" style="325" customWidth="1"/>
    <col min="7687" max="7687" width="13.7109375" style="325" customWidth="1"/>
    <col min="7688" max="7688" width="10.140625" style="325" customWidth="1"/>
    <col min="7689" max="7689" width="11" style="325" customWidth="1"/>
    <col min="7690" max="7690" width="11.7109375" style="325" customWidth="1"/>
    <col min="7691" max="7691" width="12.28515625" style="325" customWidth="1"/>
    <col min="7692" max="7692" width="9.7109375" style="325" customWidth="1"/>
    <col min="7693" max="7693" width="12.85546875" style="325" customWidth="1"/>
    <col min="7694" max="7694" width="9.28515625" style="325" customWidth="1"/>
    <col min="7695" max="7926" width="9.140625" style="325"/>
    <col min="7927" max="7927" width="6.7109375" style="325" customWidth="1"/>
    <col min="7928" max="7928" width="7.85546875" style="325" customWidth="1"/>
    <col min="7929" max="7929" width="12.140625" style="325" customWidth="1"/>
    <col min="7930" max="7930" width="10.28515625" style="325" customWidth="1"/>
    <col min="7931" max="7931" width="8.28515625" style="325" customWidth="1"/>
    <col min="7932" max="7932" width="8.7109375" style="325" customWidth="1"/>
    <col min="7933" max="7933" width="9.85546875" style="325" customWidth="1"/>
    <col min="7934" max="7934" width="8.85546875" style="325" customWidth="1"/>
    <col min="7935" max="7935" width="8.7109375" style="325" customWidth="1"/>
    <col min="7936" max="7936" width="9.28515625" style="325" customWidth="1"/>
    <col min="7937" max="7937" width="8.85546875" style="325" customWidth="1"/>
    <col min="7938" max="7938" width="8.7109375" style="325" customWidth="1"/>
    <col min="7939" max="7939" width="9.5703125" style="325" customWidth="1"/>
    <col min="7940" max="7940" width="8.85546875" style="325" customWidth="1"/>
    <col min="7941" max="7941" width="11.140625" style="325" customWidth="1"/>
    <col min="7942" max="7942" width="10.140625" style="325" customWidth="1"/>
    <col min="7943" max="7943" width="13.7109375" style="325" customWidth="1"/>
    <col min="7944" max="7944" width="10.140625" style="325" customWidth="1"/>
    <col min="7945" max="7945" width="11" style="325" customWidth="1"/>
    <col min="7946" max="7946" width="11.7109375" style="325" customWidth="1"/>
    <col min="7947" max="7947" width="12.28515625" style="325" customWidth="1"/>
    <col min="7948" max="7948" width="9.7109375" style="325" customWidth="1"/>
    <col min="7949" max="7949" width="12.85546875" style="325" customWidth="1"/>
    <col min="7950" max="7950" width="9.28515625" style="325" customWidth="1"/>
    <col min="7951" max="8182" width="9.140625" style="325"/>
    <col min="8183" max="8183" width="6.7109375" style="325" customWidth="1"/>
    <col min="8184" max="8184" width="7.85546875" style="325" customWidth="1"/>
    <col min="8185" max="8185" width="12.140625" style="325" customWidth="1"/>
    <col min="8186" max="8186" width="10.28515625" style="325" customWidth="1"/>
    <col min="8187" max="8187" width="8.28515625" style="325" customWidth="1"/>
    <col min="8188" max="8188" width="8.7109375" style="325" customWidth="1"/>
    <col min="8189" max="8189" width="9.85546875" style="325" customWidth="1"/>
    <col min="8190" max="8190" width="8.85546875" style="325" customWidth="1"/>
    <col min="8191" max="8191" width="8.7109375" style="325" customWidth="1"/>
    <col min="8192" max="8192" width="9.28515625" style="325" customWidth="1"/>
    <col min="8193" max="8193" width="8.85546875" style="325" customWidth="1"/>
    <col min="8194" max="8194" width="8.7109375" style="325" customWidth="1"/>
    <col min="8195" max="8195" width="9.5703125" style="325" customWidth="1"/>
    <col min="8196" max="8196" width="8.85546875" style="325" customWidth="1"/>
    <col min="8197" max="8197" width="11.140625" style="325" customWidth="1"/>
    <col min="8198" max="8198" width="10.140625" style="325" customWidth="1"/>
    <col min="8199" max="8199" width="13.7109375" style="325" customWidth="1"/>
    <col min="8200" max="8200" width="10.140625" style="325" customWidth="1"/>
    <col min="8201" max="8201" width="11" style="325" customWidth="1"/>
    <col min="8202" max="8202" width="11.7109375" style="325" customWidth="1"/>
    <col min="8203" max="8203" width="12.28515625" style="325" customWidth="1"/>
    <col min="8204" max="8204" width="9.7109375" style="325" customWidth="1"/>
    <col min="8205" max="8205" width="12.85546875" style="325" customWidth="1"/>
    <col min="8206" max="8206" width="9.28515625" style="325" customWidth="1"/>
    <col min="8207" max="8438" width="9.140625" style="325"/>
    <col min="8439" max="8439" width="6.7109375" style="325" customWidth="1"/>
    <col min="8440" max="8440" width="7.85546875" style="325" customWidth="1"/>
    <col min="8441" max="8441" width="12.140625" style="325" customWidth="1"/>
    <col min="8442" max="8442" width="10.28515625" style="325" customWidth="1"/>
    <col min="8443" max="8443" width="8.28515625" style="325" customWidth="1"/>
    <col min="8444" max="8444" width="8.7109375" style="325" customWidth="1"/>
    <col min="8445" max="8445" width="9.85546875" style="325" customWidth="1"/>
    <col min="8446" max="8446" width="8.85546875" style="325" customWidth="1"/>
    <col min="8447" max="8447" width="8.7109375" style="325" customWidth="1"/>
    <col min="8448" max="8448" width="9.28515625" style="325" customWidth="1"/>
    <col min="8449" max="8449" width="8.85546875" style="325" customWidth="1"/>
    <col min="8450" max="8450" width="8.7109375" style="325" customWidth="1"/>
    <col min="8451" max="8451" width="9.5703125" style="325" customWidth="1"/>
    <col min="8452" max="8452" width="8.85546875" style="325" customWidth="1"/>
    <col min="8453" max="8453" width="11.140625" style="325" customWidth="1"/>
    <col min="8454" max="8454" width="10.140625" style="325" customWidth="1"/>
    <col min="8455" max="8455" width="13.7109375" style="325" customWidth="1"/>
    <col min="8456" max="8456" width="10.140625" style="325" customWidth="1"/>
    <col min="8457" max="8457" width="11" style="325" customWidth="1"/>
    <col min="8458" max="8458" width="11.7109375" style="325" customWidth="1"/>
    <col min="8459" max="8459" width="12.28515625" style="325" customWidth="1"/>
    <col min="8460" max="8460" width="9.7109375" style="325" customWidth="1"/>
    <col min="8461" max="8461" width="12.85546875" style="325" customWidth="1"/>
    <col min="8462" max="8462" width="9.28515625" style="325" customWidth="1"/>
    <col min="8463" max="8694" width="9.140625" style="325"/>
    <col min="8695" max="8695" width="6.7109375" style="325" customWidth="1"/>
    <col min="8696" max="8696" width="7.85546875" style="325" customWidth="1"/>
    <col min="8697" max="8697" width="12.140625" style="325" customWidth="1"/>
    <col min="8698" max="8698" width="10.28515625" style="325" customWidth="1"/>
    <col min="8699" max="8699" width="8.28515625" style="325" customWidth="1"/>
    <col min="8700" max="8700" width="8.7109375" style="325" customWidth="1"/>
    <col min="8701" max="8701" width="9.85546875" style="325" customWidth="1"/>
    <col min="8702" max="8702" width="8.85546875" style="325" customWidth="1"/>
    <col min="8703" max="8703" width="8.7109375" style="325" customWidth="1"/>
    <col min="8704" max="8704" width="9.28515625" style="325" customWidth="1"/>
    <col min="8705" max="8705" width="8.85546875" style="325" customWidth="1"/>
    <col min="8706" max="8706" width="8.7109375" style="325" customWidth="1"/>
    <col min="8707" max="8707" width="9.5703125" style="325" customWidth="1"/>
    <col min="8708" max="8708" width="8.85546875" style="325" customWidth="1"/>
    <col min="8709" max="8709" width="11.140625" style="325" customWidth="1"/>
    <col min="8710" max="8710" width="10.140625" style="325" customWidth="1"/>
    <col min="8711" max="8711" width="13.7109375" style="325" customWidth="1"/>
    <col min="8712" max="8712" width="10.140625" style="325" customWidth="1"/>
    <col min="8713" max="8713" width="11" style="325" customWidth="1"/>
    <col min="8714" max="8714" width="11.7109375" style="325" customWidth="1"/>
    <col min="8715" max="8715" width="12.28515625" style="325" customWidth="1"/>
    <col min="8716" max="8716" width="9.7109375" style="325" customWidth="1"/>
    <col min="8717" max="8717" width="12.85546875" style="325" customWidth="1"/>
    <col min="8718" max="8718" width="9.28515625" style="325" customWidth="1"/>
    <col min="8719" max="8950" width="9.140625" style="325"/>
    <col min="8951" max="8951" width="6.7109375" style="325" customWidth="1"/>
    <col min="8952" max="8952" width="7.85546875" style="325" customWidth="1"/>
    <col min="8953" max="8953" width="12.140625" style="325" customWidth="1"/>
    <col min="8954" max="8954" width="10.28515625" style="325" customWidth="1"/>
    <col min="8955" max="8955" width="8.28515625" style="325" customWidth="1"/>
    <col min="8956" max="8956" width="8.7109375" style="325" customWidth="1"/>
    <col min="8957" max="8957" width="9.85546875" style="325" customWidth="1"/>
    <col min="8958" max="8958" width="8.85546875" style="325" customWidth="1"/>
    <col min="8959" max="8959" width="8.7109375" style="325" customWidth="1"/>
    <col min="8960" max="8960" width="9.28515625" style="325" customWidth="1"/>
    <col min="8961" max="8961" width="8.85546875" style="325" customWidth="1"/>
    <col min="8962" max="8962" width="8.7109375" style="325" customWidth="1"/>
    <col min="8963" max="8963" width="9.5703125" style="325" customWidth="1"/>
    <col min="8964" max="8964" width="8.85546875" style="325" customWidth="1"/>
    <col min="8965" max="8965" width="11.140625" style="325" customWidth="1"/>
    <col min="8966" max="8966" width="10.140625" style="325" customWidth="1"/>
    <col min="8967" max="8967" width="13.7109375" style="325" customWidth="1"/>
    <col min="8968" max="8968" width="10.140625" style="325" customWidth="1"/>
    <col min="8969" max="8969" width="11" style="325" customWidth="1"/>
    <col min="8970" max="8970" width="11.7109375" style="325" customWidth="1"/>
    <col min="8971" max="8971" width="12.28515625" style="325" customWidth="1"/>
    <col min="8972" max="8972" width="9.7109375" style="325" customWidth="1"/>
    <col min="8973" max="8973" width="12.85546875" style="325" customWidth="1"/>
    <col min="8974" max="8974" width="9.28515625" style="325" customWidth="1"/>
    <col min="8975" max="9206" width="9.140625" style="325"/>
    <col min="9207" max="9207" width="6.7109375" style="325" customWidth="1"/>
    <col min="9208" max="9208" width="7.85546875" style="325" customWidth="1"/>
    <col min="9209" max="9209" width="12.140625" style="325" customWidth="1"/>
    <col min="9210" max="9210" width="10.28515625" style="325" customWidth="1"/>
    <col min="9211" max="9211" width="8.28515625" style="325" customWidth="1"/>
    <col min="9212" max="9212" width="8.7109375" style="325" customWidth="1"/>
    <col min="9213" max="9213" width="9.85546875" style="325" customWidth="1"/>
    <col min="9214" max="9214" width="8.85546875" style="325" customWidth="1"/>
    <col min="9215" max="9215" width="8.7109375" style="325" customWidth="1"/>
    <col min="9216" max="9216" width="9.28515625" style="325" customWidth="1"/>
    <col min="9217" max="9217" width="8.85546875" style="325" customWidth="1"/>
    <col min="9218" max="9218" width="8.7109375" style="325" customWidth="1"/>
    <col min="9219" max="9219" width="9.5703125" style="325" customWidth="1"/>
    <col min="9220" max="9220" width="8.85546875" style="325" customWidth="1"/>
    <col min="9221" max="9221" width="11.140625" style="325" customWidth="1"/>
    <col min="9222" max="9222" width="10.140625" style="325" customWidth="1"/>
    <col min="9223" max="9223" width="13.7109375" style="325" customWidth="1"/>
    <col min="9224" max="9224" width="10.140625" style="325" customWidth="1"/>
    <col min="9225" max="9225" width="11" style="325" customWidth="1"/>
    <col min="9226" max="9226" width="11.7109375" style="325" customWidth="1"/>
    <col min="9227" max="9227" width="12.28515625" style="325" customWidth="1"/>
    <col min="9228" max="9228" width="9.7109375" style="325" customWidth="1"/>
    <col min="9229" max="9229" width="12.85546875" style="325" customWidth="1"/>
    <col min="9230" max="9230" width="9.28515625" style="325" customWidth="1"/>
    <col min="9231" max="9462" width="9.140625" style="325"/>
    <col min="9463" max="9463" width="6.7109375" style="325" customWidth="1"/>
    <col min="9464" max="9464" width="7.85546875" style="325" customWidth="1"/>
    <col min="9465" max="9465" width="12.140625" style="325" customWidth="1"/>
    <col min="9466" max="9466" width="10.28515625" style="325" customWidth="1"/>
    <col min="9467" max="9467" width="8.28515625" style="325" customWidth="1"/>
    <col min="9468" max="9468" width="8.7109375" style="325" customWidth="1"/>
    <col min="9469" max="9469" width="9.85546875" style="325" customWidth="1"/>
    <col min="9470" max="9470" width="8.85546875" style="325" customWidth="1"/>
    <col min="9471" max="9471" width="8.7109375" style="325" customWidth="1"/>
    <col min="9472" max="9472" width="9.28515625" style="325" customWidth="1"/>
    <col min="9473" max="9473" width="8.85546875" style="325" customWidth="1"/>
    <col min="9474" max="9474" width="8.7109375" style="325" customWidth="1"/>
    <col min="9475" max="9475" width="9.5703125" style="325" customWidth="1"/>
    <col min="9476" max="9476" width="8.85546875" style="325" customWidth="1"/>
    <col min="9477" max="9477" width="11.140625" style="325" customWidth="1"/>
    <col min="9478" max="9478" width="10.140625" style="325" customWidth="1"/>
    <col min="9479" max="9479" width="13.7109375" style="325" customWidth="1"/>
    <col min="9480" max="9480" width="10.140625" style="325" customWidth="1"/>
    <col min="9481" max="9481" width="11" style="325" customWidth="1"/>
    <col min="9482" max="9482" width="11.7109375" style="325" customWidth="1"/>
    <col min="9483" max="9483" width="12.28515625" style="325" customWidth="1"/>
    <col min="9484" max="9484" width="9.7109375" style="325" customWidth="1"/>
    <col min="9485" max="9485" width="12.85546875" style="325" customWidth="1"/>
    <col min="9486" max="9486" width="9.28515625" style="325" customWidth="1"/>
    <col min="9487" max="9718" width="9.140625" style="325"/>
    <col min="9719" max="9719" width="6.7109375" style="325" customWidth="1"/>
    <col min="9720" max="9720" width="7.85546875" style="325" customWidth="1"/>
    <col min="9721" max="9721" width="12.140625" style="325" customWidth="1"/>
    <col min="9722" max="9722" width="10.28515625" style="325" customWidth="1"/>
    <col min="9723" max="9723" width="8.28515625" style="325" customWidth="1"/>
    <col min="9724" max="9724" width="8.7109375" style="325" customWidth="1"/>
    <col min="9725" max="9725" width="9.85546875" style="325" customWidth="1"/>
    <col min="9726" max="9726" width="8.85546875" style="325" customWidth="1"/>
    <col min="9727" max="9727" width="8.7109375" style="325" customWidth="1"/>
    <col min="9728" max="9728" width="9.28515625" style="325" customWidth="1"/>
    <col min="9729" max="9729" width="8.85546875" style="325" customWidth="1"/>
    <col min="9730" max="9730" width="8.7109375" style="325" customWidth="1"/>
    <col min="9731" max="9731" width="9.5703125" style="325" customWidth="1"/>
    <col min="9732" max="9732" width="8.85546875" style="325" customWidth="1"/>
    <col min="9733" max="9733" width="11.140625" style="325" customWidth="1"/>
    <col min="9734" max="9734" width="10.140625" style="325" customWidth="1"/>
    <col min="9735" max="9735" width="13.7109375" style="325" customWidth="1"/>
    <col min="9736" max="9736" width="10.140625" style="325" customWidth="1"/>
    <col min="9737" max="9737" width="11" style="325" customWidth="1"/>
    <col min="9738" max="9738" width="11.7109375" style="325" customWidth="1"/>
    <col min="9739" max="9739" width="12.28515625" style="325" customWidth="1"/>
    <col min="9740" max="9740" width="9.7109375" style="325" customWidth="1"/>
    <col min="9741" max="9741" width="12.85546875" style="325" customWidth="1"/>
    <col min="9742" max="9742" width="9.28515625" style="325" customWidth="1"/>
    <col min="9743" max="9974" width="9.140625" style="325"/>
    <col min="9975" max="9975" width="6.7109375" style="325" customWidth="1"/>
    <col min="9976" max="9976" width="7.85546875" style="325" customWidth="1"/>
    <col min="9977" max="9977" width="12.140625" style="325" customWidth="1"/>
    <col min="9978" max="9978" width="10.28515625" style="325" customWidth="1"/>
    <col min="9979" max="9979" width="8.28515625" style="325" customWidth="1"/>
    <col min="9980" max="9980" width="8.7109375" style="325" customWidth="1"/>
    <col min="9981" max="9981" width="9.85546875" style="325" customWidth="1"/>
    <col min="9982" max="9982" width="8.85546875" style="325" customWidth="1"/>
    <col min="9983" max="9983" width="8.7109375" style="325" customWidth="1"/>
    <col min="9984" max="9984" width="9.28515625" style="325" customWidth="1"/>
    <col min="9985" max="9985" width="8.85546875" style="325" customWidth="1"/>
    <col min="9986" max="9986" width="8.7109375" style="325" customWidth="1"/>
    <col min="9987" max="9987" width="9.5703125" style="325" customWidth="1"/>
    <col min="9988" max="9988" width="8.85546875" style="325" customWidth="1"/>
    <col min="9989" max="9989" width="11.140625" style="325" customWidth="1"/>
    <col min="9990" max="9990" width="10.140625" style="325" customWidth="1"/>
    <col min="9991" max="9991" width="13.7109375" style="325" customWidth="1"/>
    <col min="9992" max="9992" width="10.140625" style="325" customWidth="1"/>
    <col min="9993" max="9993" width="11" style="325" customWidth="1"/>
    <col min="9994" max="9994" width="11.7109375" style="325" customWidth="1"/>
    <col min="9995" max="9995" width="12.28515625" style="325" customWidth="1"/>
    <col min="9996" max="9996" width="9.7109375" style="325" customWidth="1"/>
    <col min="9997" max="9997" width="12.85546875" style="325" customWidth="1"/>
    <col min="9998" max="9998" width="9.28515625" style="325" customWidth="1"/>
    <col min="9999" max="10230" width="9.140625" style="325"/>
    <col min="10231" max="10231" width="6.7109375" style="325" customWidth="1"/>
    <col min="10232" max="10232" width="7.85546875" style="325" customWidth="1"/>
    <col min="10233" max="10233" width="12.140625" style="325" customWidth="1"/>
    <col min="10234" max="10234" width="10.28515625" style="325" customWidth="1"/>
    <col min="10235" max="10235" width="8.28515625" style="325" customWidth="1"/>
    <col min="10236" max="10236" width="8.7109375" style="325" customWidth="1"/>
    <col min="10237" max="10237" width="9.85546875" style="325" customWidth="1"/>
    <col min="10238" max="10238" width="8.85546875" style="325" customWidth="1"/>
    <col min="10239" max="10239" width="8.7109375" style="325" customWidth="1"/>
    <col min="10240" max="10240" width="9.28515625" style="325" customWidth="1"/>
    <col min="10241" max="10241" width="8.85546875" style="325" customWidth="1"/>
    <col min="10242" max="10242" width="8.7109375" style="325" customWidth="1"/>
    <col min="10243" max="10243" width="9.5703125" style="325" customWidth="1"/>
    <col min="10244" max="10244" width="8.85546875" style="325" customWidth="1"/>
    <col min="10245" max="10245" width="11.140625" style="325" customWidth="1"/>
    <col min="10246" max="10246" width="10.140625" style="325" customWidth="1"/>
    <col min="10247" max="10247" width="13.7109375" style="325" customWidth="1"/>
    <col min="10248" max="10248" width="10.140625" style="325" customWidth="1"/>
    <col min="10249" max="10249" width="11" style="325" customWidth="1"/>
    <col min="10250" max="10250" width="11.7109375" style="325" customWidth="1"/>
    <col min="10251" max="10251" width="12.28515625" style="325" customWidth="1"/>
    <col min="10252" max="10252" width="9.7109375" style="325" customWidth="1"/>
    <col min="10253" max="10253" width="12.85546875" style="325" customWidth="1"/>
    <col min="10254" max="10254" width="9.28515625" style="325" customWidth="1"/>
    <col min="10255" max="10486" width="9.140625" style="325"/>
    <col min="10487" max="10487" width="6.7109375" style="325" customWidth="1"/>
    <col min="10488" max="10488" width="7.85546875" style="325" customWidth="1"/>
    <col min="10489" max="10489" width="12.140625" style="325" customWidth="1"/>
    <col min="10490" max="10490" width="10.28515625" style="325" customWidth="1"/>
    <col min="10491" max="10491" width="8.28515625" style="325" customWidth="1"/>
    <col min="10492" max="10492" width="8.7109375" style="325" customWidth="1"/>
    <col min="10493" max="10493" width="9.85546875" style="325" customWidth="1"/>
    <col min="10494" max="10494" width="8.85546875" style="325" customWidth="1"/>
    <col min="10495" max="10495" width="8.7109375" style="325" customWidth="1"/>
    <col min="10496" max="10496" width="9.28515625" style="325" customWidth="1"/>
    <col min="10497" max="10497" width="8.85546875" style="325" customWidth="1"/>
    <col min="10498" max="10498" width="8.7109375" style="325" customWidth="1"/>
    <col min="10499" max="10499" width="9.5703125" style="325" customWidth="1"/>
    <col min="10500" max="10500" width="8.85546875" style="325" customWidth="1"/>
    <col min="10501" max="10501" width="11.140625" style="325" customWidth="1"/>
    <col min="10502" max="10502" width="10.140625" style="325" customWidth="1"/>
    <col min="10503" max="10503" width="13.7109375" style="325" customWidth="1"/>
    <col min="10504" max="10504" width="10.140625" style="325" customWidth="1"/>
    <col min="10505" max="10505" width="11" style="325" customWidth="1"/>
    <col min="10506" max="10506" width="11.7109375" style="325" customWidth="1"/>
    <col min="10507" max="10507" width="12.28515625" style="325" customWidth="1"/>
    <col min="10508" max="10508" width="9.7109375" style="325" customWidth="1"/>
    <col min="10509" max="10509" width="12.85546875" style="325" customWidth="1"/>
    <col min="10510" max="10510" width="9.28515625" style="325" customWidth="1"/>
    <col min="10511" max="10742" width="9.140625" style="325"/>
    <col min="10743" max="10743" width="6.7109375" style="325" customWidth="1"/>
    <col min="10744" max="10744" width="7.85546875" style="325" customWidth="1"/>
    <col min="10745" max="10745" width="12.140625" style="325" customWidth="1"/>
    <col min="10746" max="10746" width="10.28515625" style="325" customWidth="1"/>
    <col min="10747" max="10747" width="8.28515625" style="325" customWidth="1"/>
    <col min="10748" max="10748" width="8.7109375" style="325" customWidth="1"/>
    <col min="10749" max="10749" width="9.85546875" style="325" customWidth="1"/>
    <col min="10750" max="10750" width="8.85546875" style="325" customWidth="1"/>
    <col min="10751" max="10751" width="8.7109375" style="325" customWidth="1"/>
    <col min="10752" max="10752" width="9.28515625" style="325" customWidth="1"/>
    <col min="10753" max="10753" width="8.85546875" style="325" customWidth="1"/>
    <col min="10754" max="10754" width="8.7109375" style="325" customWidth="1"/>
    <col min="10755" max="10755" width="9.5703125" style="325" customWidth="1"/>
    <col min="10756" max="10756" width="8.85546875" style="325" customWidth="1"/>
    <col min="10757" max="10757" width="11.140625" style="325" customWidth="1"/>
    <col min="10758" max="10758" width="10.140625" style="325" customWidth="1"/>
    <col min="10759" max="10759" width="13.7109375" style="325" customWidth="1"/>
    <col min="10760" max="10760" width="10.140625" style="325" customWidth="1"/>
    <col min="10761" max="10761" width="11" style="325" customWidth="1"/>
    <col min="10762" max="10762" width="11.7109375" style="325" customWidth="1"/>
    <col min="10763" max="10763" width="12.28515625" style="325" customWidth="1"/>
    <col min="10764" max="10764" width="9.7109375" style="325" customWidth="1"/>
    <col min="10765" max="10765" width="12.85546875" style="325" customWidth="1"/>
    <col min="10766" max="10766" width="9.28515625" style="325" customWidth="1"/>
    <col min="10767" max="10998" width="9.140625" style="325"/>
    <col min="10999" max="10999" width="6.7109375" style="325" customWidth="1"/>
    <col min="11000" max="11000" width="7.85546875" style="325" customWidth="1"/>
    <col min="11001" max="11001" width="12.140625" style="325" customWidth="1"/>
    <col min="11002" max="11002" width="10.28515625" style="325" customWidth="1"/>
    <col min="11003" max="11003" width="8.28515625" style="325" customWidth="1"/>
    <col min="11004" max="11004" width="8.7109375" style="325" customWidth="1"/>
    <col min="11005" max="11005" width="9.85546875" style="325" customWidth="1"/>
    <col min="11006" max="11006" width="8.85546875" style="325" customWidth="1"/>
    <col min="11007" max="11007" width="8.7109375" style="325" customWidth="1"/>
    <col min="11008" max="11008" width="9.28515625" style="325" customWidth="1"/>
    <col min="11009" max="11009" width="8.85546875" style="325" customWidth="1"/>
    <col min="11010" max="11010" width="8.7109375" style="325" customWidth="1"/>
    <col min="11011" max="11011" width="9.5703125" style="325" customWidth="1"/>
    <col min="11012" max="11012" width="8.85546875" style="325" customWidth="1"/>
    <col min="11013" max="11013" width="11.140625" style="325" customWidth="1"/>
    <col min="11014" max="11014" width="10.140625" style="325" customWidth="1"/>
    <col min="11015" max="11015" width="13.7109375" style="325" customWidth="1"/>
    <col min="11016" max="11016" width="10.140625" style="325" customWidth="1"/>
    <col min="11017" max="11017" width="11" style="325" customWidth="1"/>
    <col min="11018" max="11018" width="11.7109375" style="325" customWidth="1"/>
    <col min="11019" max="11019" width="12.28515625" style="325" customWidth="1"/>
    <col min="11020" max="11020" width="9.7109375" style="325" customWidth="1"/>
    <col min="11021" max="11021" width="12.85546875" style="325" customWidth="1"/>
    <col min="11022" max="11022" width="9.28515625" style="325" customWidth="1"/>
    <col min="11023" max="11254" width="9.140625" style="325"/>
    <col min="11255" max="11255" width="6.7109375" style="325" customWidth="1"/>
    <col min="11256" max="11256" width="7.85546875" style="325" customWidth="1"/>
    <col min="11257" max="11257" width="12.140625" style="325" customWidth="1"/>
    <col min="11258" max="11258" width="10.28515625" style="325" customWidth="1"/>
    <col min="11259" max="11259" width="8.28515625" style="325" customWidth="1"/>
    <col min="11260" max="11260" width="8.7109375" style="325" customWidth="1"/>
    <col min="11261" max="11261" width="9.85546875" style="325" customWidth="1"/>
    <col min="11262" max="11262" width="8.85546875" style="325" customWidth="1"/>
    <col min="11263" max="11263" width="8.7109375" style="325" customWidth="1"/>
    <col min="11264" max="11264" width="9.28515625" style="325" customWidth="1"/>
    <col min="11265" max="11265" width="8.85546875" style="325" customWidth="1"/>
    <col min="11266" max="11266" width="8.7109375" style="325" customWidth="1"/>
    <col min="11267" max="11267" width="9.5703125" style="325" customWidth="1"/>
    <col min="11268" max="11268" width="8.85546875" style="325" customWidth="1"/>
    <col min="11269" max="11269" width="11.140625" style="325" customWidth="1"/>
    <col min="11270" max="11270" width="10.140625" style="325" customWidth="1"/>
    <col min="11271" max="11271" width="13.7109375" style="325" customWidth="1"/>
    <col min="11272" max="11272" width="10.140625" style="325" customWidth="1"/>
    <col min="11273" max="11273" width="11" style="325" customWidth="1"/>
    <col min="11274" max="11274" width="11.7109375" style="325" customWidth="1"/>
    <col min="11275" max="11275" width="12.28515625" style="325" customWidth="1"/>
    <col min="11276" max="11276" width="9.7109375" style="325" customWidth="1"/>
    <col min="11277" max="11277" width="12.85546875" style="325" customWidth="1"/>
    <col min="11278" max="11278" width="9.28515625" style="325" customWidth="1"/>
    <col min="11279" max="11510" width="9.140625" style="325"/>
    <col min="11511" max="11511" width="6.7109375" style="325" customWidth="1"/>
    <col min="11512" max="11512" width="7.85546875" style="325" customWidth="1"/>
    <col min="11513" max="11513" width="12.140625" style="325" customWidth="1"/>
    <col min="11514" max="11514" width="10.28515625" style="325" customWidth="1"/>
    <col min="11515" max="11515" width="8.28515625" style="325" customWidth="1"/>
    <col min="11516" max="11516" width="8.7109375" style="325" customWidth="1"/>
    <col min="11517" max="11517" width="9.85546875" style="325" customWidth="1"/>
    <col min="11518" max="11518" width="8.85546875" style="325" customWidth="1"/>
    <col min="11519" max="11519" width="8.7109375" style="325" customWidth="1"/>
    <col min="11520" max="11520" width="9.28515625" style="325" customWidth="1"/>
    <col min="11521" max="11521" width="8.85546875" style="325" customWidth="1"/>
    <col min="11522" max="11522" width="8.7109375" style="325" customWidth="1"/>
    <col min="11523" max="11523" width="9.5703125" style="325" customWidth="1"/>
    <col min="11524" max="11524" width="8.85546875" style="325" customWidth="1"/>
    <col min="11525" max="11525" width="11.140625" style="325" customWidth="1"/>
    <col min="11526" max="11526" width="10.140625" style="325" customWidth="1"/>
    <col min="11527" max="11527" width="13.7109375" style="325" customWidth="1"/>
    <col min="11528" max="11528" width="10.140625" style="325" customWidth="1"/>
    <col min="11529" max="11529" width="11" style="325" customWidth="1"/>
    <col min="11530" max="11530" width="11.7109375" style="325" customWidth="1"/>
    <col min="11531" max="11531" width="12.28515625" style="325" customWidth="1"/>
    <col min="11532" max="11532" width="9.7109375" style="325" customWidth="1"/>
    <col min="11533" max="11533" width="12.85546875" style="325" customWidth="1"/>
    <col min="11534" max="11534" width="9.28515625" style="325" customWidth="1"/>
    <col min="11535" max="11766" width="9.140625" style="325"/>
    <col min="11767" max="11767" width="6.7109375" style="325" customWidth="1"/>
    <col min="11768" max="11768" width="7.85546875" style="325" customWidth="1"/>
    <col min="11769" max="11769" width="12.140625" style="325" customWidth="1"/>
    <col min="11770" max="11770" width="10.28515625" style="325" customWidth="1"/>
    <col min="11771" max="11771" width="8.28515625" style="325" customWidth="1"/>
    <col min="11772" max="11772" width="8.7109375" style="325" customWidth="1"/>
    <col min="11773" max="11773" width="9.85546875" style="325" customWidth="1"/>
    <col min="11774" max="11774" width="8.85546875" style="325" customWidth="1"/>
    <col min="11775" max="11775" width="8.7109375" style="325" customWidth="1"/>
    <col min="11776" max="11776" width="9.28515625" style="325" customWidth="1"/>
    <col min="11777" max="11777" width="8.85546875" style="325" customWidth="1"/>
    <col min="11778" max="11778" width="8.7109375" style="325" customWidth="1"/>
    <col min="11779" max="11779" width="9.5703125" style="325" customWidth="1"/>
    <col min="11780" max="11780" width="8.85546875" style="325" customWidth="1"/>
    <col min="11781" max="11781" width="11.140625" style="325" customWidth="1"/>
    <col min="11782" max="11782" width="10.140625" style="325" customWidth="1"/>
    <col min="11783" max="11783" width="13.7109375" style="325" customWidth="1"/>
    <col min="11784" max="11784" width="10.140625" style="325" customWidth="1"/>
    <col min="11785" max="11785" width="11" style="325" customWidth="1"/>
    <col min="11786" max="11786" width="11.7109375" style="325" customWidth="1"/>
    <col min="11787" max="11787" width="12.28515625" style="325" customWidth="1"/>
    <col min="11788" max="11788" width="9.7109375" style="325" customWidth="1"/>
    <col min="11789" max="11789" width="12.85546875" style="325" customWidth="1"/>
    <col min="11790" max="11790" width="9.28515625" style="325" customWidth="1"/>
    <col min="11791" max="12022" width="9.140625" style="325"/>
    <col min="12023" max="12023" width="6.7109375" style="325" customWidth="1"/>
    <col min="12024" max="12024" width="7.85546875" style="325" customWidth="1"/>
    <col min="12025" max="12025" width="12.140625" style="325" customWidth="1"/>
    <col min="12026" max="12026" width="10.28515625" style="325" customWidth="1"/>
    <col min="12027" max="12027" width="8.28515625" style="325" customWidth="1"/>
    <col min="12028" max="12028" width="8.7109375" style="325" customWidth="1"/>
    <col min="12029" max="12029" width="9.85546875" style="325" customWidth="1"/>
    <col min="12030" max="12030" width="8.85546875" style="325" customWidth="1"/>
    <col min="12031" max="12031" width="8.7109375" style="325" customWidth="1"/>
    <col min="12032" max="12032" width="9.28515625" style="325" customWidth="1"/>
    <col min="12033" max="12033" width="8.85546875" style="325" customWidth="1"/>
    <col min="12034" max="12034" width="8.7109375" style="325" customWidth="1"/>
    <col min="12035" max="12035" width="9.5703125" style="325" customWidth="1"/>
    <col min="12036" max="12036" width="8.85546875" style="325" customWidth="1"/>
    <col min="12037" max="12037" width="11.140625" style="325" customWidth="1"/>
    <col min="12038" max="12038" width="10.140625" style="325" customWidth="1"/>
    <col min="12039" max="12039" width="13.7109375" style="325" customWidth="1"/>
    <col min="12040" max="12040" width="10.140625" style="325" customWidth="1"/>
    <col min="12041" max="12041" width="11" style="325" customWidth="1"/>
    <col min="12042" max="12042" width="11.7109375" style="325" customWidth="1"/>
    <col min="12043" max="12043" width="12.28515625" style="325" customWidth="1"/>
    <col min="12044" max="12044" width="9.7109375" style="325" customWidth="1"/>
    <col min="12045" max="12045" width="12.85546875" style="325" customWidth="1"/>
    <col min="12046" max="12046" width="9.28515625" style="325" customWidth="1"/>
    <col min="12047" max="12278" width="9.140625" style="325"/>
    <col min="12279" max="12279" width="6.7109375" style="325" customWidth="1"/>
    <col min="12280" max="12280" width="7.85546875" style="325" customWidth="1"/>
    <col min="12281" max="12281" width="12.140625" style="325" customWidth="1"/>
    <col min="12282" max="12282" width="10.28515625" style="325" customWidth="1"/>
    <col min="12283" max="12283" width="8.28515625" style="325" customWidth="1"/>
    <col min="12284" max="12284" width="8.7109375" style="325" customWidth="1"/>
    <col min="12285" max="12285" width="9.85546875" style="325" customWidth="1"/>
    <col min="12286" max="12286" width="8.85546875" style="325" customWidth="1"/>
    <col min="12287" max="12287" width="8.7109375" style="325" customWidth="1"/>
    <col min="12288" max="12288" width="9.28515625" style="325" customWidth="1"/>
    <col min="12289" max="12289" width="8.85546875" style="325" customWidth="1"/>
    <col min="12290" max="12290" width="8.7109375" style="325" customWidth="1"/>
    <col min="12291" max="12291" width="9.5703125" style="325" customWidth="1"/>
    <col min="12292" max="12292" width="8.85546875" style="325" customWidth="1"/>
    <col min="12293" max="12293" width="11.140625" style="325" customWidth="1"/>
    <col min="12294" max="12294" width="10.140625" style="325" customWidth="1"/>
    <col min="12295" max="12295" width="13.7109375" style="325" customWidth="1"/>
    <col min="12296" max="12296" width="10.140625" style="325" customWidth="1"/>
    <col min="12297" max="12297" width="11" style="325" customWidth="1"/>
    <col min="12298" max="12298" width="11.7109375" style="325" customWidth="1"/>
    <col min="12299" max="12299" width="12.28515625" style="325" customWidth="1"/>
    <col min="12300" max="12300" width="9.7109375" style="325" customWidth="1"/>
    <col min="12301" max="12301" width="12.85546875" style="325" customWidth="1"/>
    <col min="12302" max="12302" width="9.28515625" style="325" customWidth="1"/>
    <col min="12303" max="12534" width="9.140625" style="325"/>
    <col min="12535" max="12535" width="6.7109375" style="325" customWidth="1"/>
    <col min="12536" max="12536" width="7.85546875" style="325" customWidth="1"/>
    <col min="12537" max="12537" width="12.140625" style="325" customWidth="1"/>
    <col min="12538" max="12538" width="10.28515625" style="325" customWidth="1"/>
    <col min="12539" max="12539" width="8.28515625" style="325" customWidth="1"/>
    <col min="12540" max="12540" width="8.7109375" style="325" customWidth="1"/>
    <col min="12541" max="12541" width="9.85546875" style="325" customWidth="1"/>
    <col min="12542" max="12542" width="8.85546875" style="325" customWidth="1"/>
    <col min="12543" max="12543" width="8.7109375" style="325" customWidth="1"/>
    <col min="12544" max="12544" width="9.28515625" style="325" customWidth="1"/>
    <col min="12545" max="12545" width="8.85546875" style="325" customWidth="1"/>
    <col min="12546" max="12546" width="8.7109375" style="325" customWidth="1"/>
    <col min="12547" max="12547" width="9.5703125" style="325" customWidth="1"/>
    <col min="12548" max="12548" width="8.85546875" style="325" customWidth="1"/>
    <col min="12549" max="12549" width="11.140625" style="325" customWidth="1"/>
    <col min="12550" max="12550" width="10.140625" style="325" customWidth="1"/>
    <col min="12551" max="12551" width="13.7109375" style="325" customWidth="1"/>
    <col min="12552" max="12552" width="10.140625" style="325" customWidth="1"/>
    <col min="12553" max="12553" width="11" style="325" customWidth="1"/>
    <col min="12554" max="12554" width="11.7109375" style="325" customWidth="1"/>
    <col min="12555" max="12555" width="12.28515625" style="325" customWidth="1"/>
    <col min="12556" max="12556" width="9.7109375" style="325" customWidth="1"/>
    <col min="12557" max="12557" width="12.85546875" style="325" customWidth="1"/>
    <col min="12558" max="12558" width="9.28515625" style="325" customWidth="1"/>
    <col min="12559" max="12790" width="9.140625" style="325"/>
    <col min="12791" max="12791" width="6.7109375" style="325" customWidth="1"/>
    <col min="12792" max="12792" width="7.85546875" style="325" customWidth="1"/>
    <col min="12793" max="12793" width="12.140625" style="325" customWidth="1"/>
    <col min="12794" max="12794" width="10.28515625" style="325" customWidth="1"/>
    <col min="12795" max="12795" width="8.28515625" style="325" customWidth="1"/>
    <col min="12796" max="12796" width="8.7109375" style="325" customWidth="1"/>
    <col min="12797" max="12797" width="9.85546875" style="325" customWidth="1"/>
    <col min="12798" max="12798" width="8.85546875" style="325" customWidth="1"/>
    <col min="12799" max="12799" width="8.7109375" style="325" customWidth="1"/>
    <col min="12800" max="12800" width="9.28515625" style="325" customWidth="1"/>
    <col min="12801" max="12801" width="8.85546875" style="325" customWidth="1"/>
    <col min="12802" max="12802" width="8.7109375" style="325" customWidth="1"/>
    <col min="12803" max="12803" width="9.5703125" style="325" customWidth="1"/>
    <col min="12804" max="12804" width="8.85546875" style="325" customWidth="1"/>
    <col min="12805" max="12805" width="11.140625" style="325" customWidth="1"/>
    <col min="12806" max="12806" width="10.140625" style="325" customWidth="1"/>
    <col min="12807" max="12807" width="13.7109375" style="325" customWidth="1"/>
    <col min="12808" max="12808" width="10.140625" style="325" customWidth="1"/>
    <col min="12809" max="12809" width="11" style="325" customWidth="1"/>
    <col min="12810" max="12810" width="11.7109375" style="325" customWidth="1"/>
    <col min="12811" max="12811" width="12.28515625" style="325" customWidth="1"/>
    <col min="12812" max="12812" width="9.7109375" style="325" customWidth="1"/>
    <col min="12813" max="12813" width="12.85546875" style="325" customWidth="1"/>
    <col min="12814" max="12814" width="9.28515625" style="325" customWidth="1"/>
    <col min="12815" max="13046" width="9.140625" style="325"/>
    <col min="13047" max="13047" width="6.7109375" style="325" customWidth="1"/>
    <col min="13048" max="13048" width="7.85546875" style="325" customWidth="1"/>
    <col min="13049" max="13049" width="12.140625" style="325" customWidth="1"/>
    <col min="13050" max="13050" width="10.28515625" style="325" customWidth="1"/>
    <col min="13051" max="13051" width="8.28515625" style="325" customWidth="1"/>
    <col min="13052" max="13052" width="8.7109375" style="325" customWidth="1"/>
    <col min="13053" max="13053" width="9.85546875" style="325" customWidth="1"/>
    <col min="13054" max="13054" width="8.85546875" style="325" customWidth="1"/>
    <col min="13055" max="13055" width="8.7109375" style="325" customWidth="1"/>
    <col min="13056" max="13056" width="9.28515625" style="325" customWidth="1"/>
    <col min="13057" max="13057" width="8.85546875" style="325" customWidth="1"/>
    <col min="13058" max="13058" width="8.7109375" style="325" customWidth="1"/>
    <col min="13059" max="13059" width="9.5703125" style="325" customWidth="1"/>
    <col min="13060" max="13060" width="8.85546875" style="325" customWidth="1"/>
    <col min="13061" max="13061" width="11.140625" style="325" customWidth="1"/>
    <col min="13062" max="13062" width="10.140625" style="325" customWidth="1"/>
    <col min="13063" max="13063" width="13.7109375" style="325" customWidth="1"/>
    <col min="13064" max="13064" width="10.140625" style="325" customWidth="1"/>
    <col min="13065" max="13065" width="11" style="325" customWidth="1"/>
    <col min="13066" max="13066" width="11.7109375" style="325" customWidth="1"/>
    <col min="13067" max="13067" width="12.28515625" style="325" customWidth="1"/>
    <col min="13068" max="13068" width="9.7109375" style="325" customWidth="1"/>
    <col min="13069" max="13069" width="12.85546875" style="325" customWidth="1"/>
    <col min="13070" max="13070" width="9.28515625" style="325" customWidth="1"/>
    <col min="13071" max="13302" width="9.140625" style="325"/>
    <col min="13303" max="13303" width="6.7109375" style="325" customWidth="1"/>
    <col min="13304" max="13304" width="7.85546875" style="325" customWidth="1"/>
    <col min="13305" max="13305" width="12.140625" style="325" customWidth="1"/>
    <col min="13306" max="13306" width="10.28515625" style="325" customWidth="1"/>
    <col min="13307" max="13307" width="8.28515625" style="325" customWidth="1"/>
    <col min="13308" max="13308" width="8.7109375" style="325" customWidth="1"/>
    <col min="13309" max="13309" width="9.85546875" style="325" customWidth="1"/>
    <col min="13310" max="13310" width="8.85546875" style="325" customWidth="1"/>
    <col min="13311" max="13311" width="8.7109375" style="325" customWidth="1"/>
    <col min="13312" max="13312" width="9.28515625" style="325" customWidth="1"/>
    <col min="13313" max="13313" width="8.85546875" style="325" customWidth="1"/>
    <col min="13314" max="13314" width="8.7109375" style="325" customWidth="1"/>
    <col min="13315" max="13315" width="9.5703125" style="325" customWidth="1"/>
    <col min="13316" max="13316" width="8.85546875" style="325" customWidth="1"/>
    <col min="13317" max="13317" width="11.140625" style="325" customWidth="1"/>
    <col min="13318" max="13318" width="10.140625" style="325" customWidth="1"/>
    <col min="13319" max="13319" width="13.7109375" style="325" customWidth="1"/>
    <col min="13320" max="13320" width="10.140625" style="325" customWidth="1"/>
    <col min="13321" max="13321" width="11" style="325" customWidth="1"/>
    <col min="13322" max="13322" width="11.7109375" style="325" customWidth="1"/>
    <col min="13323" max="13323" width="12.28515625" style="325" customWidth="1"/>
    <col min="13324" max="13324" width="9.7109375" style="325" customWidth="1"/>
    <col min="13325" max="13325" width="12.85546875" style="325" customWidth="1"/>
    <col min="13326" max="13326" width="9.28515625" style="325" customWidth="1"/>
    <col min="13327" max="13558" width="9.140625" style="325"/>
    <col min="13559" max="13559" width="6.7109375" style="325" customWidth="1"/>
    <col min="13560" max="13560" width="7.85546875" style="325" customWidth="1"/>
    <col min="13561" max="13561" width="12.140625" style="325" customWidth="1"/>
    <col min="13562" max="13562" width="10.28515625" style="325" customWidth="1"/>
    <col min="13563" max="13563" width="8.28515625" style="325" customWidth="1"/>
    <col min="13564" max="13564" width="8.7109375" style="325" customWidth="1"/>
    <col min="13565" max="13565" width="9.85546875" style="325" customWidth="1"/>
    <col min="13566" max="13566" width="8.85546875" style="325" customWidth="1"/>
    <col min="13567" max="13567" width="8.7109375" style="325" customWidth="1"/>
    <col min="13568" max="13568" width="9.28515625" style="325" customWidth="1"/>
    <col min="13569" max="13569" width="8.85546875" style="325" customWidth="1"/>
    <col min="13570" max="13570" width="8.7109375" style="325" customWidth="1"/>
    <col min="13571" max="13571" width="9.5703125" style="325" customWidth="1"/>
    <col min="13572" max="13572" width="8.85546875" style="325" customWidth="1"/>
    <col min="13573" max="13573" width="11.140625" style="325" customWidth="1"/>
    <col min="13574" max="13574" width="10.140625" style="325" customWidth="1"/>
    <col min="13575" max="13575" width="13.7109375" style="325" customWidth="1"/>
    <col min="13576" max="13576" width="10.140625" style="325" customWidth="1"/>
    <col min="13577" max="13577" width="11" style="325" customWidth="1"/>
    <col min="13578" max="13578" width="11.7109375" style="325" customWidth="1"/>
    <col min="13579" max="13579" width="12.28515625" style="325" customWidth="1"/>
    <col min="13580" max="13580" width="9.7109375" style="325" customWidth="1"/>
    <col min="13581" max="13581" width="12.85546875" style="325" customWidth="1"/>
    <col min="13582" max="13582" width="9.28515625" style="325" customWidth="1"/>
    <col min="13583" max="13814" width="9.140625" style="325"/>
    <col min="13815" max="13815" width="6.7109375" style="325" customWidth="1"/>
    <col min="13816" max="13816" width="7.85546875" style="325" customWidth="1"/>
    <col min="13817" max="13817" width="12.140625" style="325" customWidth="1"/>
    <col min="13818" max="13818" width="10.28515625" style="325" customWidth="1"/>
    <col min="13819" max="13819" width="8.28515625" style="325" customWidth="1"/>
    <col min="13820" max="13820" width="8.7109375" style="325" customWidth="1"/>
    <col min="13821" max="13821" width="9.85546875" style="325" customWidth="1"/>
    <col min="13822" max="13822" width="8.85546875" style="325" customWidth="1"/>
    <col min="13823" max="13823" width="8.7109375" style="325" customWidth="1"/>
    <col min="13824" max="13824" width="9.28515625" style="325" customWidth="1"/>
    <col min="13825" max="13825" width="8.85546875" style="325" customWidth="1"/>
    <col min="13826" max="13826" width="8.7109375" style="325" customWidth="1"/>
    <col min="13827" max="13827" width="9.5703125" style="325" customWidth="1"/>
    <col min="13828" max="13828" width="8.85546875" style="325" customWidth="1"/>
    <col min="13829" max="13829" width="11.140625" style="325" customWidth="1"/>
    <col min="13830" max="13830" width="10.140625" style="325" customWidth="1"/>
    <col min="13831" max="13831" width="13.7109375" style="325" customWidth="1"/>
    <col min="13832" max="13832" width="10.140625" style="325" customWidth="1"/>
    <col min="13833" max="13833" width="11" style="325" customWidth="1"/>
    <col min="13834" max="13834" width="11.7109375" style="325" customWidth="1"/>
    <col min="13835" max="13835" width="12.28515625" style="325" customWidth="1"/>
    <col min="13836" max="13836" width="9.7109375" style="325" customWidth="1"/>
    <col min="13837" max="13837" width="12.85546875" style="325" customWidth="1"/>
    <col min="13838" max="13838" width="9.28515625" style="325" customWidth="1"/>
    <col min="13839" max="14070" width="9.140625" style="325"/>
    <col min="14071" max="14071" width="6.7109375" style="325" customWidth="1"/>
    <col min="14072" max="14072" width="7.85546875" style="325" customWidth="1"/>
    <col min="14073" max="14073" width="12.140625" style="325" customWidth="1"/>
    <col min="14074" max="14074" width="10.28515625" style="325" customWidth="1"/>
    <col min="14075" max="14075" width="8.28515625" style="325" customWidth="1"/>
    <col min="14076" max="14076" width="8.7109375" style="325" customWidth="1"/>
    <col min="14077" max="14077" width="9.85546875" style="325" customWidth="1"/>
    <col min="14078" max="14078" width="8.85546875" style="325" customWidth="1"/>
    <col min="14079" max="14079" width="8.7109375" style="325" customWidth="1"/>
    <col min="14080" max="14080" width="9.28515625" style="325" customWidth="1"/>
    <col min="14081" max="14081" width="8.85546875" style="325" customWidth="1"/>
    <col min="14082" max="14082" width="8.7109375" style="325" customWidth="1"/>
    <col min="14083" max="14083" width="9.5703125" style="325" customWidth="1"/>
    <col min="14084" max="14084" width="8.85546875" style="325" customWidth="1"/>
    <col min="14085" max="14085" width="11.140625" style="325" customWidth="1"/>
    <col min="14086" max="14086" width="10.140625" style="325" customWidth="1"/>
    <col min="14087" max="14087" width="13.7109375" style="325" customWidth="1"/>
    <col min="14088" max="14088" width="10.140625" style="325" customWidth="1"/>
    <col min="14089" max="14089" width="11" style="325" customWidth="1"/>
    <col min="14090" max="14090" width="11.7109375" style="325" customWidth="1"/>
    <col min="14091" max="14091" width="12.28515625" style="325" customWidth="1"/>
    <col min="14092" max="14092" width="9.7109375" style="325" customWidth="1"/>
    <col min="14093" max="14093" width="12.85546875" style="325" customWidth="1"/>
    <col min="14094" max="14094" width="9.28515625" style="325" customWidth="1"/>
    <col min="14095" max="14326" width="9.140625" style="325"/>
    <col min="14327" max="14327" width="6.7109375" style="325" customWidth="1"/>
    <col min="14328" max="14328" width="7.85546875" style="325" customWidth="1"/>
    <col min="14329" max="14329" width="12.140625" style="325" customWidth="1"/>
    <col min="14330" max="14330" width="10.28515625" style="325" customWidth="1"/>
    <col min="14331" max="14331" width="8.28515625" style="325" customWidth="1"/>
    <col min="14332" max="14332" width="8.7109375" style="325" customWidth="1"/>
    <col min="14333" max="14333" width="9.85546875" style="325" customWidth="1"/>
    <col min="14334" max="14334" width="8.85546875" style="325" customWidth="1"/>
    <col min="14335" max="14335" width="8.7109375" style="325" customWidth="1"/>
    <col min="14336" max="14336" width="9.28515625" style="325" customWidth="1"/>
    <col min="14337" max="14337" width="8.85546875" style="325" customWidth="1"/>
    <col min="14338" max="14338" width="8.7109375" style="325" customWidth="1"/>
    <col min="14339" max="14339" width="9.5703125" style="325" customWidth="1"/>
    <col min="14340" max="14340" width="8.85546875" style="325" customWidth="1"/>
    <col min="14341" max="14341" width="11.140625" style="325" customWidth="1"/>
    <col min="14342" max="14342" width="10.140625" style="325" customWidth="1"/>
    <col min="14343" max="14343" width="13.7109375" style="325" customWidth="1"/>
    <col min="14344" max="14344" width="10.140625" style="325" customWidth="1"/>
    <col min="14345" max="14345" width="11" style="325" customWidth="1"/>
    <col min="14346" max="14346" width="11.7109375" style="325" customWidth="1"/>
    <col min="14347" max="14347" width="12.28515625" style="325" customWidth="1"/>
    <col min="14348" max="14348" width="9.7109375" style="325" customWidth="1"/>
    <col min="14349" max="14349" width="12.85546875" style="325" customWidth="1"/>
    <col min="14350" max="14350" width="9.28515625" style="325" customWidth="1"/>
    <col min="14351" max="14582" width="9.140625" style="325"/>
    <col min="14583" max="14583" width="6.7109375" style="325" customWidth="1"/>
    <col min="14584" max="14584" width="7.85546875" style="325" customWidth="1"/>
    <col min="14585" max="14585" width="12.140625" style="325" customWidth="1"/>
    <col min="14586" max="14586" width="10.28515625" style="325" customWidth="1"/>
    <col min="14587" max="14587" width="8.28515625" style="325" customWidth="1"/>
    <col min="14588" max="14588" width="8.7109375" style="325" customWidth="1"/>
    <col min="14589" max="14589" width="9.85546875" style="325" customWidth="1"/>
    <col min="14590" max="14590" width="8.85546875" style="325" customWidth="1"/>
    <col min="14591" max="14591" width="8.7109375" style="325" customWidth="1"/>
    <col min="14592" max="14592" width="9.28515625" style="325" customWidth="1"/>
    <col min="14593" max="14593" width="8.85546875" style="325" customWidth="1"/>
    <col min="14594" max="14594" width="8.7109375" style="325" customWidth="1"/>
    <col min="14595" max="14595" width="9.5703125" style="325" customWidth="1"/>
    <col min="14596" max="14596" width="8.85546875" style="325" customWidth="1"/>
    <col min="14597" max="14597" width="11.140625" style="325" customWidth="1"/>
    <col min="14598" max="14598" width="10.140625" style="325" customWidth="1"/>
    <col min="14599" max="14599" width="13.7109375" style="325" customWidth="1"/>
    <col min="14600" max="14600" width="10.140625" style="325" customWidth="1"/>
    <col min="14601" max="14601" width="11" style="325" customWidth="1"/>
    <col min="14602" max="14602" width="11.7109375" style="325" customWidth="1"/>
    <col min="14603" max="14603" width="12.28515625" style="325" customWidth="1"/>
    <col min="14604" max="14604" width="9.7109375" style="325" customWidth="1"/>
    <col min="14605" max="14605" width="12.85546875" style="325" customWidth="1"/>
    <col min="14606" max="14606" width="9.28515625" style="325" customWidth="1"/>
    <col min="14607" max="14838" width="9.140625" style="325"/>
    <col min="14839" max="14839" width="6.7109375" style="325" customWidth="1"/>
    <col min="14840" max="14840" width="7.85546875" style="325" customWidth="1"/>
    <col min="14841" max="14841" width="12.140625" style="325" customWidth="1"/>
    <col min="14842" max="14842" width="10.28515625" style="325" customWidth="1"/>
    <col min="14843" max="14843" width="8.28515625" style="325" customWidth="1"/>
    <col min="14844" max="14844" width="8.7109375" style="325" customWidth="1"/>
    <col min="14845" max="14845" width="9.85546875" style="325" customWidth="1"/>
    <col min="14846" max="14846" width="8.85546875" style="325" customWidth="1"/>
    <col min="14847" max="14847" width="8.7109375" style="325" customWidth="1"/>
    <col min="14848" max="14848" width="9.28515625" style="325" customWidth="1"/>
    <col min="14849" max="14849" width="8.85546875" style="325" customWidth="1"/>
    <col min="14850" max="14850" width="8.7109375" style="325" customWidth="1"/>
    <col min="14851" max="14851" width="9.5703125" style="325" customWidth="1"/>
    <col min="14852" max="14852" width="8.85546875" style="325" customWidth="1"/>
    <col min="14853" max="14853" width="11.140625" style="325" customWidth="1"/>
    <col min="14854" max="14854" width="10.140625" style="325" customWidth="1"/>
    <col min="14855" max="14855" width="13.7109375" style="325" customWidth="1"/>
    <col min="14856" max="14856" width="10.140625" style="325" customWidth="1"/>
    <col min="14857" max="14857" width="11" style="325" customWidth="1"/>
    <col min="14858" max="14858" width="11.7109375" style="325" customWidth="1"/>
    <col min="14859" max="14859" width="12.28515625" style="325" customWidth="1"/>
    <col min="14860" max="14860" width="9.7109375" style="325" customWidth="1"/>
    <col min="14861" max="14861" width="12.85546875" style="325" customWidth="1"/>
    <col min="14862" max="14862" width="9.28515625" style="325" customWidth="1"/>
    <col min="14863" max="15094" width="9.140625" style="325"/>
    <col min="15095" max="15095" width="6.7109375" style="325" customWidth="1"/>
    <col min="15096" max="15096" width="7.85546875" style="325" customWidth="1"/>
    <col min="15097" max="15097" width="12.140625" style="325" customWidth="1"/>
    <col min="15098" max="15098" width="10.28515625" style="325" customWidth="1"/>
    <col min="15099" max="15099" width="8.28515625" style="325" customWidth="1"/>
    <col min="15100" max="15100" width="8.7109375" style="325" customWidth="1"/>
    <col min="15101" max="15101" width="9.85546875" style="325" customWidth="1"/>
    <col min="15102" max="15102" width="8.85546875" style="325" customWidth="1"/>
    <col min="15103" max="15103" width="8.7109375" style="325" customWidth="1"/>
    <col min="15104" max="15104" width="9.28515625" style="325" customWidth="1"/>
    <col min="15105" max="15105" width="8.85546875" style="325" customWidth="1"/>
    <col min="15106" max="15106" width="8.7109375" style="325" customWidth="1"/>
    <col min="15107" max="15107" width="9.5703125" style="325" customWidth="1"/>
    <col min="15108" max="15108" width="8.85546875" style="325" customWidth="1"/>
    <col min="15109" max="15109" width="11.140625" style="325" customWidth="1"/>
    <col min="15110" max="15110" width="10.140625" style="325" customWidth="1"/>
    <col min="15111" max="15111" width="13.7109375" style="325" customWidth="1"/>
    <col min="15112" max="15112" width="10.140625" style="325" customWidth="1"/>
    <col min="15113" max="15113" width="11" style="325" customWidth="1"/>
    <col min="15114" max="15114" width="11.7109375" style="325" customWidth="1"/>
    <col min="15115" max="15115" width="12.28515625" style="325" customWidth="1"/>
    <col min="15116" max="15116" width="9.7109375" style="325" customWidth="1"/>
    <col min="15117" max="15117" width="12.85546875" style="325" customWidth="1"/>
    <col min="15118" max="15118" width="9.28515625" style="325" customWidth="1"/>
    <col min="15119" max="15350" width="9.140625" style="325"/>
    <col min="15351" max="15351" width="6.7109375" style="325" customWidth="1"/>
    <col min="15352" max="15352" width="7.85546875" style="325" customWidth="1"/>
    <col min="15353" max="15353" width="12.140625" style="325" customWidth="1"/>
    <col min="15354" max="15354" width="10.28515625" style="325" customWidth="1"/>
    <col min="15355" max="15355" width="8.28515625" style="325" customWidth="1"/>
    <col min="15356" max="15356" width="8.7109375" style="325" customWidth="1"/>
    <col min="15357" max="15357" width="9.85546875" style="325" customWidth="1"/>
    <col min="15358" max="15358" width="8.85546875" style="325" customWidth="1"/>
    <col min="15359" max="15359" width="8.7109375" style="325" customWidth="1"/>
    <col min="15360" max="15360" width="9.28515625" style="325" customWidth="1"/>
    <col min="15361" max="15361" width="8.85546875" style="325" customWidth="1"/>
    <col min="15362" max="15362" width="8.7109375" style="325" customWidth="1"/>
    <col min="15363" max="15363" width="9.5703125" style="325" customWidth="1"/>
    <col min="15364" max="15364" width="8.85546875" style="325" customWidth="1"/>
    <col min="15365" max="15365" width="11.140625" style="325" customWidth="1"/>
    <col min="15366" max="15366" width="10.140625" style="325" customWidth="1"/>
    <col min="15367" max="15367" width="13.7109375" style="325" customWidth="1"/>
    <col min="15368" max="15368" width="10.140625" style="325" customWidth="1"/>
    <col min="15369" max="15369" width="11" style="325" customWidth="1"/>
    <col min="15370" max="15370" width="11.7109375" style="325" customWidth="1"/>
    <col min="15371" max="15371" width="12.28515625" style="325" customWidth="1"/>
    <col min="15372" max="15372" width="9.7109375" style="325" customWidth="1"/>
    <col min="15373" max="15373" width="12.85546875" style="325" customWidth="1"/>
    <col min="15374" max="15374" width="9.28515625" style="325" customWidth="1"/>
    <col min="15375" max="15606" width="9.140625" style="325"/>
    <col min="15607" max="15607" width="6.7109375" style="325" customWidth="1"/>
    <col min="15608" max="15608" width="7.85546875" style="325" customWidth="1"/>
    <col min="15609" max="15609" width="12.140625" style="325" customWidth="1"/>
    <col min="15610" max="15610" width="10.28515625" style="325" customWidth="1"/>
    <col min="15611" max="15611" width="8.28515625" style="325" customWidth="1"/>
    <col min="15612" max="15612" width="8.7109375" style="325" customWidth="1"/>
    <col min="15613" max="15613" width="9.85546875" style="325" customWidth="1"/>
    <col min="15614" max="15614" width="8.85546875" style="325" customWidth="1"/>
    <col min="15615" max="15615" width="8.7109375" style="325" customWidth="1"/>
    <col min="15616" max="15616" width="9.28515625" style="325" customWidth="1"/>
    <col min="15617" max="15617" width="8.85546875" style="325" customWidth="1"/>
    <col min="15618" max="15618" width="8.7109375" style="325" customWidth="1"/>
    <col min="15619" max="15619" width="9.5703125" style="325" customWidth="1"/>
    <col min="15620" max="15620" width="8.85546875" style="325" customWidth="1"/>
    <col min="15621" max="15621" width="11.140625" style="325" customWidth="1"/>
    <col min="15622" max="15622" width="10.140625" style="325" customWidth="1"/>
    <col min="15623" max="15623" width="13.7109375" style="325" customWidth="1"/>
    <col min="15624" max="15624" width="10.140625" style="325" customWidth="1"/>
    <col min="15625" max="15625" width="11" style="325" customWidth="1"/>
    <col min="15626" max="15626" width="11.7109375" style="325" customWidth="1"/>
    <col min="15627" max="15627" width="12.28515625" style="325" customWidth="1"/>
    <col min="15628" max="15628" width="9.7109375" style="325" customWidth="1"/>
    <col min="15629" max="15629" width="12.85546875" style="325" customWidth="1"/>
    <col min="15630" max="15630" width="9.28515625" style="325" customWidth="1"/>
    <col min="15631" max="15862" width="9.140625" style="325"/>
    <col min="15863" max="15863" width="6.7109375" style="325" customWidth="1"/>
    <col min="15864" max="15864" width="7.85546875" style="325" customWidth="1"/>
    <col min="15865" max="15865" width="12.140625" style="325" customWidth="1"/>
    <col min="15866" max="15866" width="10.28515625" style="325" customWidth="1"/>
    <col min="15867" max="15867" width="8.28515625" style="325" customWidth="1"/>
    <col min="15868" max="15868" width="8.7109375" style="325" customWidth="1"/>
    <col min="15869" max="15869" width="9.85546875" style="325" customWidth="1"/>
    <col min="15870" max="15870" width="8.85546875" style="325" customWidth="1"/>
    <col min="15871" max="15871" width="8.7109375" style="325" customWidth="1"/>
    <col min="15872" max="15872" width="9.28515625" style="325" customWidth="1"/>
    <col min="15873" max="15873" width="8.85546875" style="325" customWidth="1"/>
    <col min="15874" max="15874" width="8.7109375" style="325" customWidth="1"/>
    <col min="15875" max="15875" width="9.5703125" style="325" customWidth="1"/>
    <col min="15876" max="15876" width="8.85546875" style="325" customWidth="1"/>
    <col min="15877" max="15877" width="11.140625" style="325" customWidth="1"/>
    <col min="15878" max="15878" width="10.140625" style="325" customWidth="1"/>
    <col min="15879" max="15879" width="13.7109375" style="325" customWidth="1"/>
    <col min="15880" max="15880" width="10.140625" style="325" customWidth="1"/>
    <col min="15881" max="15881" width="11" style="325" customWidth="1"/>
    <col min="15882" max="15882" width="11.7109375" style="325" customWidth="1"/>
    <col min="15883" max="15883" width="12.28515625" style="325" customWidth="1"/>
    <col min="15884" max="15884" width="9.7109375" style="325" customWidth="1"/>
    <col min="15885" max="15885" width="12.85546875" style="325" customWidth="1"/>
    <col min="15886" max="15886" width="9.28515625" style="325" customWidth="1"/>
    <col min="15887" max="16118" width="9.140625" style="325"/>
    <col min="16119" max="16119" width="6.7109375" style="325" customWidth="1"/>
    <col min="16120" max="16120" width="7.85546875" style="325" customWidth="1"/>
    <col min="16121" max="16121" width="12.140625" style="325" customWidth="1"/>
    <col min="16122" max="16122" width="10.28515625" style="325" customWidth="1"/>
    <col min="16123" max="16123" width="8.28515625" style="325" customWidth="1"/>
    <col min="16124" max="16124" width="8.7109375" style="325" customWidth="1"/>
    <col min="16125" max="16125" width="9.85546875" style="325" customWidth="1"/>
    <col min="16126" max="16126" width="8.85546875" style="325" customWidth="1"/>
    <col min="16127" max="16127" width="8.7109375" style="325" customWidth="1"/>
    <col min="16128" max="16128" width="9.28515625" style="325" customWidth="1"/>
    <col min="16129" max="16129" width="8.85546875" style="325" customWidth="1"/>
    <col min="16130" max="16130" width="8.7109375" style="325" customWidth="1"/>
    <col min="16131" max="16131" width="9.5703125" style="325" customWidth="1"/>
    <col min="16132" max="16132" width="8.85546875" style="325" customWidth="1"/>
    <col min="16133" max="16133" width="11.140625" style="325" customWidth="1"/>
    <col min="16134" max="16134" width="10.140625" style="325" customWidth="1"/>
    <col min="16135" max="16135" width="13.7109375" style="325" customWidth="1"/>
    <col min="16136" max="16136" width="10.140625" style="325" customWidth="1"/>
    <col min="16137" max="16137" width="11" style="325" customWidth="1"/>
    <col min="16138" max="16138" width="11.7109375" style="325" customWidth="1"/>
    <col min="16139" max="16139" width="12.28515625" style="325" customWidth="1"/>
    <col min="16140" max="16140" width="9.7109375" style="325" customWidth="1"/>
    <col min="16141" max="16141" width="12.85546875" style="325" customWidth="1"/>
    <col min="16142" max="16142" width="9.28515625" style="325" customWidth="1"/>
    <col min="16143" max="16371" width="9.140625" style="325"/>
    <col min="16372" max="16384" width="10.140625" style="325" customWidth="1"/>
  </cols>
  <sheetData>
    <row r="1" spans="1:20" s="303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300"/>
      <c r="M1" s="301"/>
      <c r="N1" s="302"/>
    </row>
    <row r="2" spans="1:20" s="304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304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310" customFormat="1" ht="15.75" customHeight="1">
      <c r="A4" s="305" t="s">
        <v>327</v>
      </c>
      <c r="B4" s="306"/>
      <c r="C4" s="307"/>
      <c r="D4" s="307"/>
      <c r="E4" s="307"/>
      <c r="F4" s="308"/>
      <c r="G4" s="308"/>
      <c r="H4" s="308"/>
      <c r="I4" s="308"/>
      <c r="J4" s="308"/>
      <c r="K4" s="309"/>
      <c r="L4" s="310">
        <f>THKL!A8</f>
        <v>6</v>
      </c>
      <c r="Q4" s="311"/>
    </row>
    <row r="5" spans="1:20" s="310" customFormat="1" ht="15.75" customHeight="1">
      <c r="A5" s="312" t="str">
        <f>L5&amp;M5&amp;". "&amp;N5</f>
        <v>Hạng mục C.I.2.2. Lan can, dải phân cách</v>
      </c>
      <c r="B5" s="306"/>
      <c r="C5" s="307"/>
      <c r="D5" s="307"/>
      <c r="E5" s="307"/>
      <c r="F5" s="308"/>
      <c r="G5" s="308"/>
      <c r="H5" s="308"/>
      <c r="I5" s="308"/>
      <c r="J5" s="308"/>
      <c r="K5" s="309"/>
      <c r="L5" s="313" t="s">
        <v>328</v>
      </c>
      <c r="M5" s="310" t="s">
        <v>394</v>
      </c>
      <c r="N5" s="314" t="str">
        <f>'PHAN KHAI'!C36</f>
        <v>Lan can, dải phân cách</v>
      </c>
      <c r="Q5" s="311"/>
    </row>
    <row r="6" spans="1:20" s="310" customFormat="1" ht="15.75" customHeight="1">
      <c r="A6" s="312" t="str">
        <f>L6&amp;M6&amp;". "&amp;N6</f>
        <v>Mục C.I.2.2.7. Bê tông gờ lan can đổ tại chỗ 25MPa</v>
      </c>
      <c r="B6" s="306"/>
      <c r="C6" s="307"/>
      <c r="D6" s="307"/>
      <c r="E6" s="307"/>
      <c r="F6" s="308"/>
      <c r="G6" s="308"/>
      <c r="H6" s="308"/>
      <c r="I6" s="308"/>
      <c r="J6" s="308"/>
      <c r="K6" s="309"/>
      <c r="L6" s="313" t="str">
        <f>"Mục C."&amp;M5&amp;"."</f>
        <v>Mục C.I.2.2.</v>
      </c>
      <c r="M6" s="310">
        <v>7</v>
      </c>
      <c r="N6" s="314" t="str">
        <f>THKLQT!C48</f>
        <v>Bê tông gờ lan can đổ tại chỗ 25MPa</v>
      </c>
      <c r="Q6" s="311"/>
    </row>
    <row r="7" spans="1:20" s="319" customFormat="1" ht="18.75" customHeight="1">
      <c r="A7" s="698">
        <f>I17</f>
        <v>7.28</v>
      </c>
      <c r="B7" s="699"/>
      <c r="C7" s="699"/>
      <c r="D7" s="699"/>
      <c r="E7" s="315" t="str">
        <f>"("&amp;L7&amp;")"</f>
        <v>(m3)</v>
      </c>
      <c r="F7" s="316"/>
      <c r="G7" s="316"/>
      <c r="H7" s="316"/>
      <c r="I7" s="316"/>
      <c r="J7" s="316"/>
      <c r="K7" s="317"/>
      <c r="L7" s="318" t="str">
        <f>THKLQT!D48</f>
        <v>m3</v>
      </c>
    </row>
    <row r="8" spans="1:20" s="323" customFormat="1" ht="15" customHeight="1" thickBot="1">
      <c r="A8" s="320"/>
      <c r="B8" s="321"/>
      <c r="C8" s="321"/>
      <c r="D8" s="321"/>
      <c r="E8" s="321"/>
      <c r="F8" s="321"/>
      <c r="G8" s="321"/>
      <c r="H8" s="321"/>
      <c r="I8" s="321"/>
      <c r="J8" s="321"/>
      <c r="K8" s="321"/>
      <c r="L8" s="322"/>
      <c r="M8" s="322"/>
      <c r="N8" s="322"/>
      <c r="O8" s="322"/>
      <c r="P8" s="322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24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327"/>
      <c r="O10" s="327"/>
      <c r="P10" s="328" t="s">
        <v>72</v>
      </c>
      <c r="Q10" s="293" t="s">
        <v>71</v>
      </c>
      <c r="R10" s="328" t="s">
        <v>2</v>
      </c>
      <c r="S10" s="328" t="s">
        <v>73</v>
      </c>
      <c r="T10" s="32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327"/>
      <c r="O11" s="327"/>
      <c r="P11" s="329">
        <f>THKL!A10</f>
        <v>7</v>
      </c>
      <c r="Q11" s="330">
        <f>P11</f>
        <v>7</v>
      </c>
      <c r="R11" s="330"/>
      <c r="S11" s="330">
        <f>THKL!A6</f>
        <v>4</v>
      </c>
      <c r="T11" s="331">
        <f>THKL!A10</f>
        <v>7</v>
      </c>
    </row>
    <row r="12" spans="1:20" ht="14.25" outlineLevel="2">
      <c r="A12" s="81">
        <f>SUBTOTAL(103,$B$12:B12)</f>
        <v>1</v>
      </c>
      <c r="B12" s="78">
        <f>Q12</f>
        <v>43577</v>
      </c>
      <c r="C12" s="571" t="s">
        <v>678</v>
      </c>
      <c r="D12" s="572"/>
      <c r="E12" s="573"/>
      <c r="F12" s="2">
        <f>P12</f>
        <v>1.84</v>
      </c>
      <c r="G12" s="1">
        <f>P12</f>
        <v>1.84</v>
      </c>
      <c r="H12" s="295">
        <f>P12</f>
        <v>1.84</v>
      </c>
      <c r="I12" s="107">
        <f>P12</f>
        <v>1.84</v>
      </c>
      <c r="J12" s="107">
        <f>P12</f>
        <v>1.84</v>
      </c>
      <c r="K12" s="703"/>
      <c r="N12" s="327"/>
      <c r="O12" s="327" t="s">
        <v>395</v>
      </c>
      <c r="P12" s="328">
        <v>1.84</v>
      </c>
      <c r="Q12" s="332">
        <v>43577</v>
      </c>
      <c r="R12" s="328"/>
      <c r="S12" s="328" t="e">
        <f>VLOOKUP($S$11,hamchuigoi3,M12,0)</f>
        <v>#VALUE!</v>
      </c>
      <c r="T12" s="333" t="str">
        <f t="shared" ref="T12" si="0">$N$6&amp;" "&amp;O12</f>
        <v>Bê tông gờ lan can đổ tại chỗ 25MPa Phải tuyến</v>
      </c>
    </row>
    <row r="13" spans="1:20" ht="14.25" customHeight="1" outlineLevel="2">
      <c r="A13" s="81">
        <f>SUBTOTAL(103,$B$12:B13)</f>
        <v>2</v>
      </c>
      <c r="B13" s="78">
        <f>Q13</f>
        <v>43578</v>
      </c>
      <c r="C13" s="571" t="s">
        <v>679</v>
      </c>
      <c r="D13" s="572"/>
      <c r="E13" s="573"/>
      <c r="F13" s="2">
        <f>P13</f>
        <v>1.84</v>
      </c>
      <c r="G13" s="1">
        <f>P13</f>
        <v>1.84</v>
      </c>
      <c r="H13" s="295">
        <f>P13</f>
        <v>1.84</v>
      </c>
      <c r="I13" s="107">
        <f>P13</f>
        <v>1.84</v>
      </c>
      <c r="J13" s="107">
        <f>P13</f>
        <v>1.84</v>
      </c>
      <c r="K13" s="704"/>
      <c r="N13" s="327"/>
      <c r="O13" s="327" t="s">
        <v>396</v>
      </c>
      <c r="P13" s="328">
        <v>1.84</v>
      </c>
      <c r="Q13" s="332">
        <v>43578</v>
      </c>
      <c r="R13" s="328"/>
      <c r="S13" s="328" t="e">
        <f>VLOOKUP($S$11,hamchuigoi3,M13,0)</f>
        <v>#VALUE!</v>
      </c>
      <c r="T13" s="333" t="str">
        <f t="shared" ref="T13:T14" si="1">$N$6&amp;" "&amp;O13</f>
        <v>Bê tông gờ lan can đổ tại chỗ 25MPa Trái tuyến</v>
      </c>
    </row>
    <row r="14" spans="1:20" ht="27.75" customHeight="1" outlineLevel="2">
      <c r="A14" s="81">
        <f>SUBTOTAL(103,$B$12:B14)</f>
        <v>3</v>
      </c>
      <c r="B14" s="78">
        <f>Q14</f>
        <v>43575</v>
      </c>
      <c r="C14" s="571" t="str">
        <f>T14</f>
        <v>Bê tông gờ lan can đổ tại chỗ 25MPa Gờ lan can phải tuyến</v>
      </c>
      <c r="D14" s="572"/>
      <c r="E14" s="573"/>
      <c r="F14" s="2">
        <f>P14</f>
        <v>1.8</v>
      </c>
      <c r="G14" s="1">
        <f>P14</f>
        <v>1.8</v>
      </c>
      <c r="H14" s="295">
        <f>P14</f>
        <v>1.8</v>
      </c>
      <c r="I14" s="107">
        <f>P14</f>
        <v>1.8</v>
      </c>
      <c r="J14" s="107">
        <f>P14</f>
        <v>1.8</v>
      </c>
      <c r="K14" s="704"/>
      <c r="N14" s="327"/>
      <c r="O14" s="327" t="s">
        <v>398</v>
      </c>
      <c r="P14" s="328">
        <v>1.8</v>
      </c>
      <c r="Q14" s="332">
        <v>43575</v>
      </c>
      <c r="R14" s="328"/>
      <c r="S14" s="328" t="e">
        <f>VLOOKUP($S$11,hamchuigoi3,M14,0)</f>
        <v>#VALUE!</v>
      </c>
      <c r="T14" s="333" t="str">
        <f t="shared" si="1"/>
        <v>Bê tông gờ lan can đổ tại chỗ 25MPa Gờ lan can phải tuyến</v>
      </c>
    </row>
    <row r="15" spans="1:20" ht="27.75" customHeight="1" outlineLevel="2">
      <c r="A15" s="81">
        <f>SUBTOTAL(103,$B$12:B15)</f>
        <v>4</v>
      </c>
      <c r="B15" s="78">
        <f>Q15</f>
        <v>43576</v>
      </c>
      <c r="C15" s="571" t="str">
        <f>T15</f>
        <v>Bê tông gờ lan can đổ tại chỗ 25MPa Gờ lan can trái tuyến</v>
      </c>
      <c r="D15" s="572"/>
      <c r="E15" s="573"/>
      <c r="F15" s="2">
        <f>P15</f>
        <v>1.8</v>
      </c>
      <c r="G15" s="1">
        <f>P15</f>
        <v>1.8</v>
      </c>
      <c r="H15" s="295">
        <f>P15</f>
        <v>1.8</v>
      </c>
      <c r="I15" s="107">
        <f>P15</f>
        <v>1.8</v>
      </c>
      <c r="J15" s="107">
        <f>P15</f>
        <v>1.8</v>
      </c>
      <c r="K15" s="705"/>
      <c r="N15" s="327"/>
      <c r="O15" s="327" t="s">
        <v>399</v>
      </c>
      <c r="P15" s="328">
        <v>1.8</v>
      </c>
      <c r="Q15" s="332">
        <v>43576</v>
      </c>
      <c r="R15" s="328"/>
      <c r="S15" s="328" t="e">
        <f>VLOOKUP($S$11,hamchuigoi3,M15,0)</f>
        <v>#VALUE!</v>
      </c>
      <c r="T15" s="333" t="str">
        <f t="shared" ref="T15" si="2">$N$6&amp;" "&amp;O15</f>
        <v>Bê tông gờ lan can đổ tại chỗ 25MPa Gờ lan can trái tuyến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327"/>
      <c r="O16" s="327"/>
      <c r="P16" s="328"/>
      <c r="Q16" s="332"/>
      <c r="R16" s="328"/>
      <c r="S16" s="328"/>
      <c r="T16" s="333"/>
    </row>
    <row r="17" spans="1:20" thickBot="1">
      <c r="A17" s="574" t="s">
        <v>4</v>
      </c>
      <c r="B17" s="575"/>
      <c r="C17" s="575"/>
      <c r="D17" s="575"/>
      <c r="E17" s="575"/>
      <c r="F17" s="79">
        <f>'[1]Go lan can'!$I$41+'[1]Dai Phan cach'!$I$41</f>
        <v>7.2849174064379998</v>
      </c>
      <c r="G17" s="79">
        <f>ROUND(SUM(G12:G16),2)</f>
        <v>7.28</v>
      </c>
      <c r="H17" s="79">
        <f>ROUND(SUM(H12:H16),2)</f>
        <v>7.28</v>
      </c>
      <c r="I17" s="79">
        <f>ROUND(SUM(I12:I16),2)</f>
        <v>7.28</v>
      </c>
      <c r="J17" s="79">
        <f>ROUND(SUM(J12:J16),2)</f>
        <v>7.28</v>
      </c>
      <c r="K17" s="80"/>
      <c r="N17" s="327"/>
      <c r="O17" s="327"/>
      <c r="P17" s="334">
        <f>SUM(P12:P12)</f>
        <v>1.84</v>
      </c>
    </row>
    <row r="18" spans="1:20" s="339" customFormat="1" ht="18" customHeight="1" thickTop="1" thickBot="1">
      <c r="A18" s="294"/>
      <c r="B18" s="294"/>
      <c r="C18" s="294"/>
      <c r="D18" s="294"/>
      <c r="E18" s="294"/>
      <c r="F18" s="116"/>
      <c r="G18" s="116"/>
      <c r="H18" s="116"/>
      <c r="I18" s="116"/>
      <c r="J18" s="116"/>
      <c r="K18" s="335"/>
      <c r="L18" s="325"/>
      <c r="M18" s="325"/>
      <c r="N18" s="327"/>
      <c r="O18" s="327"/>
      <c r="P18" s="336"/>
      <c r="Q18" s="337"/>
      <c r="R18" s="337"/>
      <c r="S18" s="337"/>
      <c r="T18" s="338"/>
    </row>
    <row r="19" spans="1:20" s="326" customFormat="1" ht="13.9" customHeight="1" thickTop="1">
      <c r="A19" s="693" t="s">
        <v>68</v>
      </c>
      <c r="B19" s="694"/>
      <c r="C19" s="694"/>
      <c r="D19" s="694"/>
      <c r="E19" s="694"/>
      <c r="F19" s="695" t="s">
        <v>69</v>
      </c>
      <c r="G19" s="695"/>
      <c r="H19" s="695"/>
      <c r="I19" s="696"/>
      <c r="J19" s="696"/>
      <c r="K19" s="697"/>
      <c r="L19" s="325"/>
      <c r="M19" s="325"/>
      <c r="N19" s="325"/>
      <c r="O19" s="325"/>
      <c r="P19" s="325"/>
    </row>
    <row r="20" spans="1:20" s="326" customFormat="1" ht="13.9" customHeight="1">
      <c r="A20" s="663" t="s">
        <v>5</v>
      </c>
      <c r="B20" s="664"/>
      <c r="C20" s="664"/>
      <c r="D20" s="664"/>
      <c r="E20" s="664"/>
      <c r="F20" s="665" t="s">
        <v>6</v>
      </c>
      <c r="G20" s="665"/>
      <c r="H20" s="665"/>
      <c r="I20" s="666"/>
      <c r="J20" s="666"/>
      <c r="K20" s="667"/>
      <c r="L20" s="325"/>
      <c r="M20" s="325"/>
      <c r="N20" s="325"/>
      <c r="O20" s="325"/>
      <c r="P20" s="325"/>
    </row>
    <row r="21" spans="1:20" s="326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325"/>
      <c r="M21" s="325"/>
      <c r="N21" s="325"/>
      <c r="O21" s="325"/>
      <c r="P21" s="325"/>
    </row>
    <row r="22" spans="1:20" s="326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325"/>
      <c r="M22" s="325"/>
      <c r="N22" s="325"/>
      <c r="O22" s="325"/>
      <c r="P22" s="325"/>
    </row>
    <row r="23" spans="1:20" s="326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325"/>
      <c r="M23" s="325"/>
      <c r="N23" s="325"/>
      <c r="O23" s="325"/>
      <c r="P23" s="325"/>
    </row>
    <row r="24" spans="1:20" s="326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325"/>
      <c r="M24" s="325"/>
      <c r="N24" s="325"/>
      <c r="O24" s="325"/>
      <c r="P24" s="325"/>
    </row>
    <row r="25" spans="1:20" s="326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325"/>
      <c r="M25" s="325"/>
      <c r="N25" s="325"/>
      <c r="O25" s="325"/>
      <c r="P25" s="325"/>
    </row>
    <row r="26" spans="1:20" s="326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325"/>
      <c r="M26" s="325"/>
      <c r="N26" s="325"/>
      <c r="O26" s="325"/>
      <c r="P26" s="325"/>
    </row>
    <row r="27" spans="1:20" s="326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325"/>
      <c r="M27" s="325"/>
      <c r="N27" s="325"/>
      <c r="O27" s="325"/>
      <c r="P27" s="325"/>
    </row>
    <row r="28" spans="1:20" s="339" customFormat="1" ht="18" customHeight="1" thickTop="1">
      <c r="A28" s="294"/>
      <c r="B28" s="294"/>
      <c r="C28" s="294"/>
      <c r="D28" s="294"/>
      <c r="E28" s="294"/>
      <c r="F28" s="116"/>
      <c r="G28" s="116"/>
      <c r="H28" s="116"/>
      <c r="I28" s="116"/>
      <c r="J28" s="116"/>
      <c r="K28" s="335"/>
      <c r="L28" s="327"/>
      <c r="M28" s="327"/>
      <c r="N28" s="327"/>
      <c r="O28" s="327"/>
      <c r="P28" s="336"/>
      <c r="Q28" s="337"/>
      <c r="R28" s="337"/>
      <c r="S28" s="337"/>
      <c r="T28" s="338"/>
    </row>
    <row r="29" spans="1:20" s="303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300"/>
      <c r="M29" s="301"/>
      <c r="N29" s="302"/>
    </row>
    <row r="30" spans="1:20" s="304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339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340"/>
      <c r="M31" s="341"/>
      <c r="N31" s="340"/>
      <c r="O31" s="340"/>
      <c r="P31" s="340"/>
      <c r="Q31" s="340"/>
      <c r="R31" s="340"/>
      <c r="S31" s="340"/>
      <c r="T31" s="340"/>
    </row>
    <row r="32" spans="1:20" s="339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340"/>
      <c r="M32" s="341"/>
      <c r="N32" s="340"/>
      <c r="O32" s="340"/>
      <c r="P32" s="340"/>
      <c r="Q32" s="340"/>
      <c r="R32" s="340"/>
      <c r="S32" s="340"/>
      <c r="T32" s="340"/>
    </row>
    <row r="33" spans="1:20" s="339" customFormat="1" ht="15.95" customHeight="1">
      <c r="A33" s="680" t="str">
        <f>A4</f>
        <v>PHẦN C.: CẦU VƯỢT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2"/>
      <c r="L33" s="340"/>
      <c r="M33" s="341"/>
      <c r="N33" s="340"/>
      <c r="O33" s="340"/>
      <c r="P33" s="340"/>
      <c r="Q33" s="340"/>
      <c r="R33" s="340"/>
      <c r="S33" s="340"/>
      <c r="T33" s="340"/>
    </row>
    <row r="34" spans="1:20" s="339" customFormat="1" ht="15.95" customHeight="1">
      <c r="A34" s="342" t="str">
        <f>A5</f>
        <v>Hạng mục C.I.2.2. Lan can, dải phân cách</v>
      </c>
      <c r="B34" s="343"/>
      <c r="C34" s="344"/>
      <c r="D34" s="344"/>
      <c r="E34" s="345"/>
      <c r="F34" s="346"/>
      <c r="G34" s="346"/>
      <c r="H34" s="346"/>
      <c r="I34" s="346"/>
      <c r="J34" s="346"/>
      <c r="K34" s="347"/>
      <c r="L34" s="340"/>
      <c r="M34" s="341"/>
      <c r="N34" s="340"/>
      <c r="O34" s="340"/>
      <c r="P34" s="340"/>
      <c r="Q34" s="340"/>
      <c r="R34" s="340"/>
      <c r="S34" s="340"/>
      <c r="T34" s="340"/>
    </row>
    <row r="35" spans="1:20" s="339" customFormat="1" ht="15.95" customHeight="1">
      <c r="A35" s="342" t="str">
        <f>A6</f>
        <v>Mục C.I.2.2.7. Bê tông gờ lan can đổ tại chỗ 25MPa</v>
      </c>
      <c r="B35" s="343"/>
      <c r="C35" s="344"/>
      <c r="D35" s="344"/>
      <c r="E35" s="345"/>
      <c r="F35" s="346"/>
      <c r="G35" s="346"/>
      <c r="H35" s="346"/>
      <c r="I35" s="346"/>
      <c r="J35" s="346"/>
      <c r="K35" s="347"/>
      <c r="L35" s="340"/>
      <c r="M35" s="341"/>
      <c r="N35" s="340"/>
      <c r="O35" s="340"/>
      <c r="P35" s="340"/>
      <c r="Q35" s="340"/>
      <c r="R35" s="340"/>
      <c r="S35" s="340"/>
      <c r="T35" s="340"/>
    </row>
    <row r="36" spans="1:20" s="339" customFormat="1" ht="15.95" customHeight="1">
      <c r="A36" s="683">
        <f>A7</f>
        <v>7.28</v>
      </c>
      <c r="B36" s="684"/>
      <c r="C36" s="684"/>
      <c r="D36" s="684"/>
      <c r="E36" s="348" t="str">
        <f>E7</f>
        <v>(m3)</v>
      </c>
      <c r="F36" s="349"/>
      <c r="G36" s="349"/>
      <c r="H36" s="349"/>
      <c r="I36" s="349"/>
      <c r="J36" s="349"/>
      <c r="K36" s="350"/>
      <c r="L36" s="351"/>
      <c r="M36" s="352"/>
      <c r="N36" s="353"/>
      <c r="P36" s="353"/>
    </row>
    <row r="37" spans="1:20" s="326" customFormat="1" ht="13.5" customHeight="1" thickBot="1">
      <c r="A37" s="354"/>
      <c r="B37" s="354"/>
      <c r="C37" s="354"/>
      <c r="D37" s="354"/>
      <c r="E37" s="354"/>
      <c r="F37" s="355"/>
      <c r="G37" s="355"/>
      <c r="H37" s="355"/>
      <c r="I37" s="355"/>
      <c r="J37" s="355"/>
      <c r="K37" s="356"/>
      <c r="L37" s="357"/>
      <c r="M37" s="358"/>
      <c r="N37" s="325"/>
      <c r="O37" s="325"/>
      <c r="P37" s="325"/>
      <c r="R37" s="325"/>
      <c r="S37" s="325"/>
      <c r="T37" s="325"/>
    </row>
    <row r="38" spans="1:20" s="326" customFormat="1" ht="21.6" customHeight="1" thickTop="1">
      <c r="A38" s="685" t="s">
        <v>3</v>
      </c>
      <c r="B38" s="687" t="s">
        <v>84</v>
      </c>
      <c r="C38" s="687"/>
      <c r="D38" s="689" t="s">
        <v>96</v>
      </c>
      <c r="E38" s="689"/>
      <c r="F38" s="689"/>
      <c r="G38" s="689"/>
      <c r="H38" s="687" t="s">
        <v>89</v>
      </c>
      <c r="I38" s="687"/>
      <c r="J38" s="687" t="s">
        <v>85</v>
      </c>
      <c r="K38" s="691"/>
      <c r="L38" s="359"/>
      <c r="M38" s="360"/>
      <c r="N38" s="360"/>
      <c r="O38" s="361"/>
      <c r="P38" s="362"/>
    </row>
    <row r="39" spans="1:20" s="326" customFormat="1" ht="21.6" customHeight="1">
      <c r="A39" s="686"/>
      <c r="B39" s="688"/>
      <c r="C39" s="688"/>
      <c r="D39" s="690"/>
      <c r="E39" s="690"/>
      <c r="F39" s="690"/>
      <c r="G39" s="690"/>
      <c r="H39" s="688"/>
      <c r="I39" s="688"/>
      <c r="J39" s="688"/>
      <c r="K39" s="692"/>
      <c r="L39" s="359"/>
      <c r="M39" s="363"/>
      <c r="N39" s="363"/>
      <c r="O39" s="364"/>
      <c r="P39" s="365"/>
    </row>
    <row r="40" spans="1:20" s="326" customFormat="1" ht="17.100000000000001" customHeight="1">
      <c r="A40" s="366">
        <v>1</v>
      </c>
      <c r="B40" s="676" t="str">
        <f>"Tháng "&amp;IF(L40&lt;10,0&amp;L40&amp;"/"&amp;M40,L40&amp;"/"&amp;M40)</f>
        <v>Tháng 08/2017</v>
      </c>
      <c r="C40" s="676"/>
      <c r="D40" s="677" t="str">
        <f>N6</f>
        <v>Bê tông gờ lan can đổ tại chỗ 25MPa</v>
      </c>
      <c r="E40" s="677"/>
      <c r="F40" s="677"/>
      <c r="G40" s="677"/>
      <c r="H40" s="678">
        <f t="shared" ref="H40:H63" si="3">+SUMIFS($I$12:$I$16,$B$12:$B$16,"&gt;="&amp;$O40,$B$12:$B$16,"&lt;="&amp;$P40)</f>
        <v>0</v>
      </c>
      <c r="I40" s="678"/>
      <c r="J40" s="676"/>
      <c r="K40" s="679"/>
      <c r="L40" s="359">
        <v>8</v>
      </c>
      <c r="M40" s="367">
        <v>2017</v>
      </c>
      <c r="N40" s="363"/>
      <c r="O40" s="368">
        <f t="shared" ref="O40:O64" si="4">DATE(M40,L40,1)</f>
        <v>42948</v>
      </c>
      <c r="P40" s="368">
        <f t="shared" ref="P40:P64" si="5">DATE(M40,L40+1,0)</f>
        <v>42978</v>
      </c>
    </row>
    <row r="41" spans="1:20" s="326" customFormat="1" ht="17.100000000000001" customHeight="1">
      <c r="A41" s="369">
        <v>2</v>
      </c>
      <c r="B41" s="668" t="str">
        <f t="shared" ref="B41:B65" si="6">"Tháng "&amp;IF(L41&lt;10,0&amp;L41&amp;"/"&amp;M41,L41&amp;"/"&amp;M41)</f>
        <v>Tháng 09/2017</v>
      </c>
      <c r="C41" s="668"/>
      <c r="D41" s="669" t="str">
        <f>D40</f>
        <v>Bê tông gờ lan can đổ tại chỗ 25MPa</v>
      </c>
      <c r="E41" s="669"/>
      <c r="F41" s="669"/>
      <c r="G41" s="669"/>
      <c r="H41" s="670">
        <f t="shared" si="3"/>
        <v>0</v>
      </c>
      <c r="I41" s="670"/>
      <c r="J41" s="668"/>
      <c r="K41" s="671"/>
      <c r="L41" s="359">
        <v>9</v>
      </c>
      <c r="M41" s="367">
        <v>2017</v>
      </c>
      <c r="N41" s="359"/>
      <c r="O41" s="368">
        <f t="shared" si="4"/>
        <v>42979</v>
      </c>
      <c r="P41" s="368">
        <f t="shared" si="5"/>
        <v>43008</v>
      </c>
    </row>
    <row r="42" spans="1:20" s="326" customFormat="1" ht="17.100000000000001" customHeight="1">
      <c r="A42" s="369">
        <f>A41+1</f>
        <v>3</v>
      </c>
      <c r="B42" s="668" t="str">
        <f t="shared" si="6"/>
        <v>Tháng 10/2017</v>
      </c>
      <c r="C42" s="668"/>
      <c r="D42" s="669" t="str">
        <f t="shared" ref="D42:D64" si="7">D41</f>
        <v>Bê tông gờ lan can đổ tại chỗ 25MPa</v>
      </c>
      <c r="E42" s="669"/>
      <c r="F42" s="669"/>
      <c r="G42" s="669"/>
      <c r="H42" s="670">
        <f t="shared" si="3"/>
        <v>0</v>
      </c>
      <c r="I42" s="670"/>
      <c r="J42" s="668"/>
      <c r="K42" s="671"/>
      <c r="L42" s="359">
        <v>10</v>
      </c>
      <c r="M42" s="367">
        <v>2017</v>
      </c>
      <c r="N42" s="359"/>
      <c r="O42" s="368">
        <f t="shared" si="4"/>
        <v>43009</v>
      </c>
      <c r="P42" s="368">
        <f t="shared" si="5"/>
        <v>43039</v>
      </c>
    </row>
    <row r="43" spans="1:20" s="326" customFormat="1" ht="17.100000000000001" customHeight="1">
      <c r="A43" s="369">
        <f t="shared" ref="A43:A65" si="8">A42+1</f>
        <v>4</v>
      </c>
      <c r="B43" s="668" t="str">
        <f t="shared" si="6"/>
        <v>Tháng 11/2017</v>
      </c>
      <c r="C43" s="668"/>
      <c r="D43" s="669" t="str">
        <f t="shared" si="7"/>
        <v>Bê tông gờ lan can đổ tại chỗ 25MPa</v>
      </c>
      <c r="E43" s="669"/>
      <c r="F43" s="669"/>
      <c r="G43" s="669"/>
      <c r="H43" s="670">
        <f t="shared" si="3"/>
        <v>0</v>
      </c>
      <c r="I43" s="670"/>
      <c r="J43" s="668"/>
      <c r="K43" s="671"/>
      <c r="L43" s="359">
        <v>11</v>
      </c>
      <c r="M43" s="367">
        <v>2017</v>
      </c>
      <c r="N43" s="359"/>
      <c r="O43" s="368">
        <f t="shared" si="4"/>
        <v>43040</v>
      </c>
      <c r="P43" s="368">
        <f t="shared" si="5"/>
        <v>43069</v>
      </c>
    </row>
    <row r="44" spans="1:20" s="326" customFormat="1" ht="17.100000000000001" customHeight="1">
      <c r="A44" s="369">
        <f t="shared" si="8"/>
        <v>5</v>
      </c>
      <c r="B44" s="668" t="str">
        <f t="shared" si="6"/>
        <v>Tháng 12/2017</v>
      </c>
      <c r="C44" s="668"/>
      <c r="D44" s="669" t="str">
        <f t="shared" si="7"/>
        <v>Bê tông gờ lan can đổ tại chỗ 25MPa</v>
      </c>
      <c r="E44" s="669"/>
      <c r="F44" s="669"/>
      <c r="G44" s="669"/>
      <c r="H44" s="670">
        <f t="shared" si="3"/>
        <v>0</v>
      </c>
      <c r="I44" s="670"/>
      <c r="J44" s="668"/>
      <c r="K44" s="671"/>
      <c r="L44" s="359">
        <v>12</v>
      </c>
      <c r="M44" s="367">
        <v>2017</v>
      </c>
      <c r="N44" s="359"/>
      <c r="O44" s="368">
        <f t="shared" si="4"/>
        <v>43070</v>
      </c>
      <c r="P44" s="368">
        <f t="shared" si="5"/>
        <v>43100</v>
      </c>
    </row>
    <row r="45" spans="1:20" s="326" customFormat="1" ht="17.100000000000001" customHeight="1">
      <c r="A45" s="369">
        <f t="shared" si="8"/>
        <v>6</v>
      </c>
      <c r="B45" s="668" t="str">
        <f t="shared" si="6"/>
        <v>Tháng 01/2018</v>
      </c>
      <c r="C45" s="668"/>
      <c r="D45" s="669" t="str">
        <f t="shared" si="7"/>
        <v>Bê tông gờ lan can đổ tại chỗ 25MPa</v>
      </c>
      <c r="E45" s="669"/>
      <c r="F45" s="669"/>
      <c r="G45" s="669"/>
      <c r="H45" s="670">
        <f t="shared" si="3"/>
        <v>0</v>
      </c>
      <c r="I45" s="670"/>
      <c r="J45" s="668"/>
      <c r="K45" s="671"/>
      <c r="L45" s="359">
        <v>1</v>
      </c>
      <c r="M45" s="367">
        <v>2018</v>
      </c>
      <c r="N45" s="359"/>
      <c r="O45" s="368">
        <f t="shared" si="4"/>
        <v>43101</v>
      </c>
      <c r="P45" s="368">
        <f t="shared" si="5"/>
        <v>43131</v>
      </c>
    </row>
    <row r="46" spans="1:20" s="326" customFormat="1" ht="17.100000000000001" customHeight="1">
      <c r="A46" s="369">
        <f t="shared" si="8"/>
        <v>7</v>
      </c>
      <c r="B46" s="668" t="str">
        <f t="shared" si="6"/>
        <v>Tháng 02/2018</v>
      </c>
      <c r="C46" s="668"/>
      <c r="D46" s="669" t="str">
        <f t="shared" si="7"/>
        <v>Bê tông gờ lan can đổ tại chỗ 25MPa</v>
      </c>
      <c r="E46" s="669"/>
      <c r="F46" s="669"/>
      <c r="G46" s="669"/>
      <c r="H46" s="670">
        <f t="shared" si="3"/>
        <v>0</v>
      </c>
      <c r="I46" s="670"/>
      <c r="J46" s="668"/>
      <c r="K46" s="671"/>
      <c r="L46" s="359">
        <v>2</v>
      </c>
      <c r="M46" s="367">
        <v>2018</v>
      </c>
      <c r="N46" s="359"/>
      <c r="O46" s="368">
        <f t="shared" si="4"/>
        <v>43132</v>
      </c>
      <c r="P46" s="368">
        <f t="shared" si="5"/>
        <v>43159</v>
      </c>
    </row>
    <row r="47" spans="1:20" s="326" customFormat="1" ht="17.100000000000001" customHeight="1">
      <c r="A47" s="369">
        <f t="shared" si="8"/>
        <v>8</v>
      </c>
      <c r="B47" s="668" t="str">
        <f t="shared" si="6"/>
        <v>Tháng 03/2018</v>
      </c>
      <c r="C47" s="668"/>
      <c r="D47" s="669" t="str">
        <f t="shared" si="7"/>
        <v>Bê tông gờ lan can đổ tại chỗ 25MPa</v>
      </c>
      <c r="E47" s="669"/>
      <c r="F47" s="669"/>
      <c r="G47" s="669"/>
      <c r="H47" s="670">
        <f t="shared" si="3"/>
        <v>0</v>
      </c>
      <c r="I47" s="670"/>
      <c r="J47" s="668"/>
      <c r="K47" s="671"/>
      <c r="L47" s="359">
        <v>3</v>
      </c>
      <c r="M47" s="367">
        <v>2018</v>
      </c>
      <c r="N47" s="359"/>
      <c r="O47" s="368">
        <f t="shared" si="4"/>
        <v>43160</v>
      </c>
      <c r="P47" s="368">
        <f t="shared" si="5"/>
        <v>43190</v>
      </c>
    </row>
    <row r="48" spans="1:20" s="326" customFormat="1" ht="17.100000000000001" customHeight="1">
      <c r="A48" s="369">
        <f t="shared" si="8"/>
        <v>9</v>
      </c>
      <c r="B48" s="668" t="str">
        <f t="shared" si="6"/>
        <v>Tháng 04/2018</v>
      </c>
      <c r="C48" s="668"/>
      <c r="D48" s="669" t="str">
        <f t="shared" si="7"/>
        <v>Bê tông gờ lan can đổ tại chỗ 25MPa</v>
      </c>
      <c r="E48" s="669"/>
      <c r="F48" s="669"/>
      <c r="G48" s="669"/>
      <c r="H48" s="670">
        <f t="shared" si="3"/>
        <v>0</v>
      </c>
      <c r="I48" s="670"/>
      <c r="J48" s="668"/>
      <c r="K48" s="671"/>
      <c r="L48" s="359">
        <v>4</v>
      </c>
      <c r="M48" s="367">
        <v>2018</v>
      </c>
      <c r="N48" s="359"/>
      <c r="O48" s="368">
        <f t="shared" si="4"/>
        <v>43191</v>
      </c>
      <c r="P48" s="368">
        <f t="shared" si="5"/>
        <v>43220</v>
      </c>
    </row>
    <row r="49" spans="1:16" s="326" customFormat="1" ht="17.100000000000001" customHeight="1">
      <c r="A49" s="369">
        <f t="shared" si="8"/>
        <v>10</v>
      </c>
      <c r="B49" s="668" t="str">
        <f t="shared" si="6"/>
        <v>Tháng 05/2018</v>
      </c>
      <c r="C49" s="668"/>
      <c r="D49" s="669" t="str">
        <f t="shared" si="7"/>
        <v>Bê tông gờ lan can đổ tại chỗ 25MPa</v>
      </c>
      <c r="E49" s="669"/>
      <c r="F49" s="669"/>
      <c r="G49" s="669"/>
      <c r="H49" s="670">
        <f t="shared" si="3"/>
        <v>0</v>
      </c>
      <c r="I49" s="670"/>
      <c r="J49" s="668"/>
      <c r="K49" s="671"/>
      <c r="L49" s="359">
        <v>5</v>
      </c>
      <c r="M49" s="367">
        <v>2018</v>
      </c>
      <c r="N49" s="359"/>
      <c r="O49" s="368">
        <f t="shared" si="4"/>
        <v>43221</v>
      </c>
      <c r="P49" s="368">
        <f t="shared" si="5"/>
        <v>43251</v>
      </c>
    </row>
    <row r="50" spans="1:16" s="326" customFormat="1" ht="17.100000000000001" customHeight="1">
      <c r="A50" s="369">
        <f t="shared" si="8"/>
        <v>11</v>
      </c>
      <c r="B50" s="668" t="str">
        <f t="shared" si="6"/>
        <v>Tháng 06/2018</v>
      </c>
      <c r="C50" s="668"/>
      <c r="D50" s="669" t="str">
        <f t="shared" si="7"/>
        <v>Bê tông gờ lan can đổ tại chỗ 25MPa</v>
      </c>
      <c r="E50" s="669"/>
      <c r="F50" s="669"/>
      <c r="G50" s="669"/>
      <c r="H50" s="670">
        <f t="shared" si="3"/>
        <v>0</v>
      </c>
      <c r="I50" s="670"/>
      <c r="J50" s="668"/>
      <c r="K50" s="671"/>
      <c r="L50" s="359">
        <v>6</v>
      </c>
      <c r="M50" s="367">
        <v>2018</v>
      </c>
      <c r="N50" s="359"/>
      <c r="O50" s="368">
        <f t="shared" si="4"/>
        <v>43252</v>
      </c>
      <c r="P50" s="368">
        <f t="shared" si="5"/>
        <v>43281</v>
      </c>
    </row>
    <row r="51" spans="1:16" s="326" customFormat="1" ht="17.100000000000001" customHeight="1">
      <c r="A51" s="369">
        <f t="shared" si="8"/>
        <v>12</v>
      </c>
      <c r="B51" s="668" t="str">
        <f t="shared" si="6"/>
        <v>Tháng 07/2018</v>
      </c>
      <c r="C51" s="668"/>
      <c r="D51" s="669" t="str">
        <f t="shared" si="7"/>
        <v>Bê tông gờ lan can đổ tại chỗ 25MPa</v>
      </c>
      <c r="E51" s="669"/>
      <c r="F51" s="669"/>
      <c r="G51" s="669"/>
      <c r="H51" s="670">
        <f t="shared" si="3"/>
        <v>0</v>
      </c>
      <c r="I51" s="670"/>
      <c r="J51" s="668"/>
      <c r="K51" s="671"/>
      <c r="L51" s="359">
        <v>7</v>
      </c>
      <c r="M51" s="367">
        <v>2018</v>
      </c>
      <c r="N51" s="359"/>
      <c r="O51" s="368">
        <f t="shared" si="4"/>
        <v>43282</v>
      </c>
      <c r="P51" s="368">
        <f t="shared" si="5"/>
        <v>43312</v>
      </c>
    </row>
    <row r="52" spans="1:16" s="326" customFormat="1" ht="17.100000000000001" customHeight="1">
      <c r="A52" s="369">
        <f t="shared" si="8"/>
        <v>13</v>
      </c>
      <c r="B52" s="668" t="str">
        <f t="shared" si="6"/>
        <v>Tháng 08/2018</v>
      </c>
      <c r="C52" s="668"/>
      <c r="D52" s="669" t="str">
        <f t="shared" si="7"/>
        <v>Bê tông gờ lan can đổ tại chỗ 25MPa</v>
      </c>
      <c r="E52" s="669"/>
      <c r="F52" s="669"/>
      <c r="G52" s="669"/>
      <c r="H52" s="670">
        <f t="shared" si="3"/>
        <v>0</v>
      </c>
      <c r="I52" s="670"/>
      <c r="J52" s="668"/>
      <c r="K52" s="671"/>
      <c r="L52" s="359">
        <v>8</v>
      </c>
      <c r="M52" s="367">
        <v>2018</v>
      </c>
      <c r="N52" s="359"/>
      <c r="O52" s="368">
        <f t="shared" si="4"/>
        <v>43313</v>
      </c>
      <c r="P52" s="368">
        <f t="shared" si="5"/>
        <v>43343</v>
      </c>
    </row>
    <row r="53" spans="1:16" s="326" customFormat="1" ht="17.100000000000001" customHeight="1">
      <c r="A53" s="369">
        <f t="shared" si="8"/>
        <v>14</v>
      </c>
      <c r="B53" s="668" t="str">
        <f t="shared" si="6"/>
        <v>Tháng 09/2018</v>
      </c>
      <c r="C53" s="668"/>
      <c r="D53" s="669" t="str">
        <f t="shared" si="7"/>
        <v>Bê tông gờ lan can đổ tại chỗ 25MPa</v>
      </c>
      <c r="E53" s="669"/>
      <c r="F53" s="669"/>
      <c r="G53" s="669"/>
      <c r="H53" s="670">
        <f t="shared" si="3"/>
        <v>0</v>
      </c>
      <c r="I53" s="670"/>
      <c r="J53" s="668"/>
      <c r="K53" s="671"/>
      <c r="L53" s="359">
        <v>9</v>
      </c>
      <c r="M53" s="367">
        <v>2018</v>
      </c>
      <c r="N53" s="359"/>
      <c r="O53" s="368">
        <f t="shared" si="4"/>
        <v>43344</v>
      </c>
      <c r="P53" s="368">
        <f t="shared" si="5"/>
        <v>43373</v>
      </c>
    </row>
    <row r="54" spans="1:16" s="326" customFormat="1" ht="17.100000000000001" customHeight="1">
      <c r="A54" s="369">
        <f t="shared" si="8"/>
        <v>15</v>
      </c>
      <c r="B54" s="668" t="str">
        <f t="shared" si="6"/>
        <v>Tháng 10/2018</v>
      </c>
      <c r="C54" s="668"/>
      <c r="D54" s="669" t="str">
        <f t="shared" si="7"/>
        <v>Bê tông gờ lan can đổ tại chỗ 25MPa</v>
      </c>
      <c r="E54" s="669"/>
      <c r="F54" s="669"/>
      <c r="G54" s="669"/>
      <c r="H54" s="670">
        <f t="shared" si="3"/>
        <v>0</v>
      </c>
      <c r="I54" s="670"/>
      <c r="J54" s="668"/>
      <c r="K54" s="671"/>
      <c r="L54" s="359">
        <v>10</v>
      </c>
      <c r="M54" s="367">
        <v>2018</v>
      </c>
      <c r="N54" s="359"/>
      <c r="O54" s="368">
        <f t="shared" si="4"/>
        <v>43374</v>
      </c>
      <c r="P54" s="368">
        <f t="shared" si="5"/>
        <v>43404</v>
      </c>
    </row>
    <row r="55" spans="1:16" s="326" customFormat="1" ht="17.100000000000001" customHeight="1">
      <c r="A55" s="369">
        <f t="shared" si="8"/>
        <v>16</v>
      </c>
      <c r="B55" s="668" t="str">
        <f t="shared" si="6"/>
        <v>Tháng 11/2018</v>
      </c>
      <c r="C55" s="668"/>
      <c r="D55" s="669" t="str">
        <f t="shared" si="7"/>
        <v>Bê tông gờ lan can đổ tại chỗ 25MPa</v>
      </c>
      <c r="E55" s="669"/>
      <c r="F55" s="669"/>
      <c r="G55" s="669"/>
      <c r="H55" s="670">
        <f t="shared" si="3"/>
        <v>0</v>
      </c>
      <c r="I55" s="670"/>
      <c r="J55" s="668"/>
      <c r="K55" s="671"/>
      <c r="L55" s="359">
        <v>11</v>
      </c>
      <c r="M55" s="367">
        <v>2018</v>
      </c>
      <c r="N55" s="359"/>
      <c r="O55" s="368">
        <f t="shared" si="4"/>
        <v>43405</v>
      </c>
      <c r="P55" s="368">
        <f t="shared" si="5"/>
        <v>43434</v>
      </c>
    </row>
    <row r="56" spans="1:16" s="326" customFormat="1" ht="17.100000000000001" customHeight="1">
      <c r="A56" s="369">
        <f t="shared" si="8"/>
        <v>17</v>
      </c>
      <c r="B56" s="668" t="str">
        <f t="shared" si="6"/>
        <v>Tháng 12/2018</v>
      </c>
      <c r="C56" s="668"/>
      <c r="D56" s="669" t="str">
        <f t="shared" si="7"/>
        <v>Bê tông gờ lan can đổ tại chỗ 25MPa</v>
      </c>
      <c r="E56" s="669"/>
      <c r="F56" s="669"/>
      <c r="G56" s="669"/>
      <c r="H56" s="670">
        <f t="shared" si="3"/>
        <v>0</v>
      </c>
      <c r="I56" s="670"/>
      <c r="J56" s="668"/>
      <c r="K56" s="671"/>
      <c r="L56" s="359">
        <v>12</v>
      </c>
      <c r="M56" s="367">
        <v>2018</v>
      </c>
      <c r="N56" s="359"/>
      <c r="O56" s="368">
        <f t="shared" si="4"/>
        <v>43435</v>
      </c>
      <c r="P56" s="368">
        <f t="shared" si="5"/>
        <v>43465</v>
      </c>
    </row>
    <row r="57" spans="1:16" s="326" customFormat="1" ht="17.100000000000001" customHeight="1">
      <c r="A57" s="369">
        <f t="shared" si="8"/>
        <v>18</v>
      </c>
      <c r="B57" s="668" t="str">
        <f t="shared" si="6"/>
        <v>Tháng 01/2019</v>
      </c>
      <c r="C57" s="668"/>
      <c r="D57" s="669" t="str">
        <f t="shared" si="7"/>
        <v>Bê tông gờ lan can đổ tại chỗ 25MPa</v>
      </c>
      <c r="E57" s="669"/>
      <c r="F57" s="669"/>
      <c r="G57" s="669"/>
      <c r="H57" s="670">
        <f t="shared" si="3"/>
        <v>0</v>
      </c>
      <c r="I57" s="670"/>
      <c r="J57" s="668"/>
      <c r="K57" s="671"/>
      <c r="L57" s="359">
        <v>1</v>
      </c>
      <c r="M57" s="367">
        <v>2019</v>
      </c>
      <c r="N57" s="359"/>
      <c r="O57" s="368">
        <f t="shared" si="4"/>
        <v>43466</v>
      </c>
      <c r="P57" s="368">
        <f t="shared" si="5"/>
        <v>43496</v>
      </c>
    </row>
    <row r="58" spans="1:16" s="326" customFormat="1" ht="17.100000000000001" customHeight="1">
      <c r="A58" s="369">
        <f t="shared" si="8"/>
        <v>19</v>
      </c>
      <c r="B58" s="668" t="str">
        <f t="shared" si="6"/>
        <v>Tháng 02/2019</v>
      </c>
      <c r="C58" s="668"/>
      <c r="D58" s="669" t="str">
        <f t="shared" si="7"/>
        <v>Bê tông gờ lan can đổ tại chỗ 25MPa</v>
      </c>
      <c r="E58" s="669"/>
      <c r="F58" s="669"/>
      <c r="G58" s="669"/>
      <c r="H58" s="670">
        <f t="shared" si="3"/>
        <v>0</v>
      </c>
      <c r="I58" s="670"/>
      <c r="J58" s="668"/>
      <c r="K58" s="671"/>
      <c r="L58" s="359">
        <v>2</v>
      </c>
      <c r="M58" s="367">
        <v>2019</v>
      </c>
      <c r="N58" s="359"/>
      <c r="O58" s="368">
        <f t="shared" si="4"/>
        <v>43497</v>
      </c>
      <c r="P58" s="368">
        <f t="shared" si="5"/>
        <v>43524</v>
      </c>
    </row>
    <row r="59" spans="1:16" s="326" customFormat="1" ht="17.100000000000001" customHeight="1">
      <c r="A59" s="369">
        <f t="shared" si="8"/>
        <v>20</v>
      </c>
      <c r="B59" s="668" t="str">
        <f t="shared" si="6"/>
        <v>Tháng 03/2019</v>
      </c>
      <c r="C59" s="668"/>
      <c r="D59" s="669" t="str">
        <f t="shared" si="7"/>
        <v>Bê tông gờ lan can đổ tại chỗ 25MPa</v>
      </c>
      <c r="E59" s="669"/>
      <c r="F59" s="669"/>
      <c r="G59" s="669"/>
      <c r="H59" s="670">
        <f t="shared" si="3"/>
        <v>0</v>
      </c>
      <c r="I59" s="670"/>
      <c r="J59" s="668"/>
      <c r="K59" s="671"/>
      <c r="L59" s="359">
        <v>3</v>
      </c>
      <c r="M59" s="367">
        <v>2019</v>
      </c>
      <c r="N59" s="359"/>
      <c r="O59" s="368">
        <f t="shared" si="4"/>
        <v>43525</v>
      </c>
      <c r="P59" s="368">
        <f t="shared" si="5"/>
        <v>43555</v>
      </c>
    </row>
    <row r="60" spans="1:16" s="326" customFormat="1" ht="17.100000000000001" customHeight="1">
      <c r="A60" s="369">
        <f t="shared" si="8"/>
        <v>21</v>
      </c>
      <c r="B60" s="668" t="str">
        <f t="shared" si="6"/>
        <v>Tháng 04/2019</v>
      </c>
      <c r="C60" s="668"/>
      <c r="D60" s="669" t="str">
        <f t="shared" si="7"/>
        <v>Bê tông gờ lan can đổ tại chỗ 25MPa</v>
      </c>
      <c r="E60" s="669"/>
      <c r="F60" s="669"/>
      <c r="G60" s="669"/>
      <c r="H60" s="670">
        <f t="shared" si="3"/>
        <v>7.28</v>
      </c>
      <c r="I60" s="670"/>
      <c r="J60" s="668"/>
      <c r="K60" s="671"/>
      <c r="L60" s="359">
        <v>4</v>
      </c>
      <c r="M60" s="367">
        <v>2019</v>
      </c>
      <c r="N60" s="359"/>
      <c r="O60" s="368">
        <f t="shared" si="4"/>
        <v>43556</v>
      </c>
      <c r="P60" s="368">
        <f t="shared" si="5"/>
        <v>43585</v>
      </c>
    </row>
    <row r="61" spans="1:16" s="326" customFormat="1" ht="17.100000000000001" customHeight="1">
      <c r="A61" s="369">
        <f t="shared" si="8"/>
        <v>22</v>
      </c>
      <c r="B61" s="668" t="str">
        <f t="shared" si="6"/>
        <v>Tháng 05/2019</v>
      </c>
      <c r="C61" s="668"/>
      <c r="D61" s="669" t="str">
        <f t="shared" si="7"/>
        <v>Bê tông gờ lan can đổ tại chỗ 25MPa</v>
      </c>
      <c r="E61" s="669"/>
      <c r="F61" s="669"/>
      <c r="G61" s="669"/>
      <c r="H61" s="670">
        <f t="shared" si="3"/>
        <v>0</v>
      </c>
      <c r="I61" s="670"/>
      <c r="J61" s="668"/>
      <c r="K61" s="671"/>
      <c r="L61" s="359">
        <v>5</v>
      </c>
      <c r="M61" s="367">
        <v>2019</v>
      </c>
      <c r="N61" s="359"/>
      <c r="O61" s="368">
        <f t="shared" si="4"/>
        <v>43586</v>
      </c>
      <c r="P61" s="368">
        <f t="shared" si="5"/>
        <v>43616</v>
      </c>
    </row>
    <row r="62" spans="1:16" s="326" customFormat="1" ht="17.100000000000001" customHeight="1">
      <c r="A62" s="369">
        <f t="shared" si="8"/>
        <v>23</v>
      </c>
      <c r="B62" s="668" t="str">
        <f t="shared" si="6"/>
        <v>Tháng 06/2019</v>
      </c>
      <c r="C62" s="668"/>
      <c r="D62" s="669" t="str">
        <f t="shared" si="7"/>
        <v>Bê tông gờ lan can đổ tại chỗ 25MPa</v>
      </c>
      <c r="E62" s="669"/>
      <c r="F62" s="669"/>
      <c r="G62" s="669"/>
      <c r="H62" s="670">
        <f t="shared" si="3"/>
        <v>0</v>
      </c>
      <c r="I62" s="670"/>
      <c r="J62" s="668"/>
      <c r="K62" s="671"/>
      <c r="L62" s="359">
        <v>6</v>
      </c>
      <c r="M62" s="367">
        <v>2019</v>
      </c>
      <c r="N62" s="359"/>
      <c r="O62" s="368">
        <f t="shared" si="4"/>
        <v>43617</v>
      </c>
      <c r="P62" s="368">
        <f t="shared" si="5"/>
        <v>43646</v>
      </c>
    </row>
    <row r="63" spans="1:16" s="326" customFormat="1" ht="17.100000000000001" customHeight="1">
      <c r="A63" s="369">
        <f t="shared" si="8"/>
        <v>24</v>
      </c>
      <c r="B63" s="668" t="str">
        <f t="shared" si="6"/>
        <v>Tháng 07/2019</v>
      </c>
      <c r="C63" s="668"/>
      <c r="D63" s="669" t="str">
        <f t="shared" si="7"/>
        <v>Bê tông gờ lan can đổ tại chỗ 25MPa</v>
      </c>
      <c r="E63" s="669"/>
      <c r="F63" s="669"/>
      <c r="G63" s="669"/>
      <c r="H63" s="670">
        <f t="shared" si="3"/>
        <v>0</v>
      </c>
      <c r="I63" s="670"/>
      <c r="J63" s="668"/>
      <c r="K63" s="671"/>
      <c r="L63" s="359">
        <v>7</v>
      </c>
      <c r="M63" s="367">
        <v>2019</v>
      </c>
      <c r="N63" s="359"/>
      <c r="O63" s="368">
        <f t="shared" si="4"/>
        <v>43647</v>
      </c>
      <c r="P63" s="368">
        <f t="shared" si="5"/>
        <v>43677</v>
      </c>
    </row>
    <row r="64" spans="1:16" s="326" customFormat="1" ht="17.100000000000001" customHeight="1">
      <c r="A64" s="369">
        <f t="shared" si="8"/>
        <v>25</v>
      </c>
      <c r="B64" s="668" t="str">
        <f t="shared" si="6"/>
        <v>Tháng 08/2019</v>
      </c>
      <c r="C64" s="668"/>
      <c r="D64" s="669" t="str">
        <f t="shared" si="7"/>
        <v>Bê tông gờ lan can đổ tại chỗ 25MPa</v>
      </c>
      <c r="E64" s="669"/>
      <c r="F64" s="669"/>
      <c r="G64" s="669"/>
      <c r="H64" s="670">
        <f t="shared" ref="H64:H65" si="9">+SUMIFS($I$12:$I$35,$B$12:$B$35,"&gt;="&amp;$O64,$B$12:$B$35,"&lt;="&amp;$P64)</f>
        <v>0</v>
      </c>
      <c r="I64" s="670"/>
      <c r="J64" s="668"/>
      <c r="K64" s="671"/>
      <c r="L64" s="359">
        <v>8</v>
      </c>
      <c r="M64" s="367">
        <v>2019</v>
      </c>
      <c r="N64" s="359"/>
      <c r="O64" s="368">
        <f t="shared" si="4"/>
        <v>43678</v>
      </c>
      <c r="P64" s="368">
        <f t="shared" si="5"/>
        <v>43708</v>
      </c>
    </row>
    <row r="65" spans="1:20" s="326" customFormat="1" ht="17.100000000000001" customHeight="1">
      <c r="A65" s="369">
        <f t="shared" si="8"/>
        <v>26</v>
      </c>
      <c r="B65" s="672" t="str">
        <f t="shared" si="6"/>
        <v>Tháng 09/2019</v>
      </c>
      <c r="C65" s="672"/>
      <c r="D65" s="673" t="str">
        <f>D63</f>
        <v>Bê tông gờ lan can đổ tại chỗ 25MPa</v>
      </c>
      <c r="E65" s="673"/>
      <c r="F65" s="673"/>
      <c r="G65" s="673"/>
      <c r="H65" s="674">
        <f t="shared" si="9"/>
        <v>0</v>
      </c>
      <c r="I65" s="674"/>
      <c r="J65" s="672"/>
      <c r="K65" s="675"/>
      <c r="L65" s="359">
        <v>9</v>
      </c>
      <c r="M65" s="367">
        <v>2019</v>
      </c>
      <c r="N65" s="359"/>
      <c r="O65" s="368">
        <f>DATE(M65,L65,1)</f>
        <v>43709</v>
      </c>
      <c r="P65" s="368">
        <f>DATE(M65,L65+1,0)</f>
        <v>43738</v>
      </c>
    </row>
    <row r="66" spans="1:20" s="326" customFormat="1" ht="21.6" customHeight="1" thickBot="1">
      <c r="A66" s="653" t="s">
        <v>86</v>
      </c>
      <c r="B66" s="654"/>
      <c r="C66" s="654"/>
      <c r="D66" s="654"/>
      <c r="E66" s="654"/>
      <c r="F66" s="654"/>
      <c r="G66" s="655"/>
      <c r="H66" s="656">
        <f t="shared" ref="H66" si="10">SUM(H40:I65)</f>
        <v>7.28</v>
      </c>
      <c r="I66" s="657"/>
      <c r="J66" s="656"/>
      <c r="K66" s="657"/>
      <c r="L66" s="359"/>
      <c r="M66" s="359"/>
      <c r="N66" s="359"/>
      <c r="O66" s="359"/>
      <c r="P66" s="359"/>
    </row>
    <row r="67" spans="1:20" s="326" customFormat="1" ht="18" customHeight="1" thickTop="1" thickBot="1">
      <c r="A67" s="370"/>
      <c r="B67" s="370"/>
      <c r="C67" s="370"/>
      <c r="D67" s="370"/>
      <c r="E67" s="370"/>
      <c r="F67" s="370"/>
      <c r="G67" s="370"/>
      <c r="H67" s="370"/>
      <c r="I67" s="370"/>
      <c r="J67" s="370"/>
      <c r="K67" s="370"/>
      <c r="L67" s="325"/>
      <c r="M67" s="325"/>
      <c r="N67" s="325"/>
      <c r="O67" s="325"/>
      <c r="P67" s="371"/>
    </row>
    <row r="68" spans="1:20" s="326" customFormat="1" ht="13.9" customHeight="1" thickTop="1">
      <c r="A68" s="658" t="s">
        <v>68</v>
      </c>
      <c r="B68" s="659"/>
      <c r="C68" s="659"/>
      <c r="D68" s="659"/>
      <c r="E68" s="659"/>
      <c r="F68" s="660" t="s">
        <v>69</v>
      </c>
      <c r="G68" s="660"/>
      <c r="H68" s="660"/>
      <c r="I68" s="661"/>
      <c r="J68" s="661"/>
      <c r="K68" s="662"/>
      <c r="L68" s="325"/>
      <c r="M68" s="325"/>
      <c r="N68" s="325"/>
      <c r="O68" s="325"/>
      <c r="P68" s="325"/>
    </row>
    <row r="69" spans="1:20" s="326" customFormat="1" ht="13.9" customHeight="1">
      <c r="A69" s="663" t="s">
        <v>5</v>
      </c>
      <c r="B69" s="664"/>
      <c r="C69" s="664"/>
      <c r="D69" s="664"/>
      <c r="E69" s="664"/>
      <c r="F69" s="665" t="s">
        <v>6</v>
      </c>
      <c r="G69" s="665"/>
      <c r="H69" s="665"/>
      <c r="I69" s="666"/>
      <c r="J69" s="666"/>
      <c r="K69" s="667"/>
      <c r="L69" s="325"/>
      <c r="M69" s="325"/>
      <c r="N69" s="325"/>
      <c r="O69" s="325"/>
      <c r="P69" s="325"/>
    </row>
    <row r="70" spans="1:20" s="326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325"/>
      <c r="M70" s="325"/>
      <c r="N70" s="325"/>
      <c r="O70" s="325"/>
      <c r="P70" s="325"/>
    </row>
    <row r="71" spans="1:20" s="326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325"/>
      <c r="M71" s="325"/>
      <c r="N71" s="325"/>
      <c r="O71" s="325"/>
      <c r="P71" s="325"/>
    </row>
    <row r="72" spans="1:20" s="326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325"/>
      <c r="M72" s="325"/>
      <c r="N72" s="325"/>
      <c r="O72" s="325"/>
      <c r="P72" s="325"/>
    </row>
    <row r="73" spans="1:20" s="326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325"/>
      <c r="M73" s="325"/>
      <c r="N73" s="325"/>
      <c r="O73" s="325"/>
      <c r="P73" s="325"/>
    </row>
    <row r="74" spans="1:20" s="326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325"/>
      <c r="M74" s="325"/>
      <c r="N74" s="325"/>
      <c r="O74" s="325"/>
      <c r="P74" s="325"/>
    </row>
    <row r="75" spans="1:20" s="326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325"/>
      <c r="M75" s="325"/>
      <c r="N75" s="325"/>
      <c r="O75" s="325"/>
      <c r="P75" s="325"/>
    </row>
    <row r="76" spans="1:20" s="326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325"/>
      <c r="M76" s="325"/>
      <c r="N76" s="325"/>
      <c r="O76" s="325"/>
      <c r="P76" s="325"/>
    </row>
    <row r="77" spans="1:20" s="326" customFormat="1" ht="15.75" thickTop="1">
      <c r="A77" s="325"/>
      <c r="B77" s="372"/>
      <c r="C77" s="373"/>
      <c r="D77" s="373"/>
      <c r="E77" s="373"/>
      <c r="F77" s="374"/>
      <c r="G77" s="374"/>
      <c r="H77" s="374"/>
      <c r="I77" s="374"/>
      <c r="J77" s="374"/>
      <c r="K77" s="325"/>
      <c r="L77" s="325"/>
      <c r="M77" s="325"/>
      <c r="N77" s="325"/>
      <c r="O77" s="325"/>
      <c r="P77" s="325"/>
      <c r="R77" s="325"/>
      <c r="S77" s="325"/>
      <c r="T77" s="325"/>
    </row>
  </sheetData>
  <mergeCells count="150">
    <mergeCell ref="I9:I11"/>
    <mergeCell ref="J9:J11"/>
    <mergeCell ref="K9:K11"/>
    <mergeCell ref="C12:E12"/>
    <mergeCell ref="C16:E16"/>
    <mergeCell ref="A17:E17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5:C65"/>
    <mergeCell ref="D65:G65"/>
    <mergeCell ref="H65:I65"/>
    <mergeCell ref="J65:K65"/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rgb="FF92D050"/>
  </sheetPr>
  <dimension ref="A1:T77"/>
  <sheetViews>
    <sheetView view="pageBreakPreview" topLeftCell="A10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C.I.2.2.8. Cốt thép gờ lan can đổ tại chỗ D≤18mm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8</v>
      </c>
      <c r="N6" s="245" t="str">
        <f>THKLQT!C49</f>
        <v>Cốt thép gờ lan can đổ tại chỗ D≤18mm</v>
      </c>
      <c r="Q6" s="17"/>
    </row>
    <row r="7" spans="1:20" s="178" customFormat="1" ht="18.75" customHeight="1">
      <c r="A7" s="634">
        <f>I17</f>
        <v>0.25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THKLQT!D49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4.75" customHeight="1" outlineLevel="2">
      <c r="A12" s="81">
        <f>SUBTOTAL(103,$B$12:B12)</f>
        <v>1</v>
      </c>
      <c r="B12" s="78">
        <f>Q12</f>
        <v>43577</v>
      </c>
      <c r="C12" s="571" t="s">
        <v>817</v>
      </c>
      <c r="D12" s="572"/>
      <c r="E12" s="573"/>
      <c r="F12" s="2">
        <f>P12</f>
        <v>6.2E-2</v>
      </c>
      <c r="G12" s="1">
        <f>P12</f>
        <v>6.2E-2</v>
      </c>
      <c r="H12" s="423">
        <f>P12</f>
        <v>6.2E-2</v>
      </c>
      <c r="I12" s="107">
        <f>P12</f>
        <v>6.2E-2</v>
      </c>
      <c r="J12" s="107">
        <f>P12</f>
        <v>6.2E-2</v>
      </c>
      <c r="K12" s="82"/>
      <c r="N12" s="118"/>
      <c r="O12" s="118" t="s">
        <v>395</v>
      </c>
      <c r="P12" s="88">
        <v>6.2E-2</v>
      </c>
      <c r="Q12" s="89">
        <v>43577</v>
      </c>
      <c r="R12" s="88"/>
      <c r="S12" s="88" t="e">
        <f>VLOOKUP($S$11,hamchuigoi3,M12,0)</f>
        <v>#VALUE!</v>
      </c>
      <c r="T12" s="3" t="str">
        <f t="shared" ref="T12" si="0">$N$6&amp;" "&amp;O12</f>
        <v>Cốt thép gờ lan can đổ tại chỗ D≤18mm Phải tuyến</v>
      </c>
    </row>
    <row r="13" spans="1:20" ht="24.75" customHeight="1" outlineLevel="2">
      <c r="A13" s="81">
        <f>SUBTOTAL(103,$B$12:B13)</f>
        <v>2</v>
      </c>
      <c r="B13" s="78">
        <f>Q13</f>
        <v>43578</v>
      </c>
      <c r="C13" s="571" t="s">
        <v>818</v>
      </c>
      <c r="D13" s="572"/>
      <c r="E13" s="573"/>
      <c r="F13" s="2">
        <f>P13</f>
        <v>6.2E-2</v>
      </c>
      <c r="G13" s="1">
        <f>P13</f>
        <v>6.2E-2</v>
      </c>
      <c r="H13" s="423">
        <f>P13</f>
        <v>6.2E-2</v>
      </c>
      <c r="I13" s="107">
        <f>P13</f>
        <v>6.2E-2</v>
      </c>
      <c r="J13" s="107">
        <f>P13</f>
        <v>6.2E-2</v>
      </c>
      <c r="K13" s="82" t="s">
        <v>815</v>
      </c>
      <c r="N13" s="118"/>
      <c r="O13" s="118" t="s">
        <v>396</v>
      </c>
      <c r="P13" s="88">
        <v>6.2E-2</v>
      </c>
      <c r="Q13" s="89">
        <v>43578</v>
      </c>
      <c r="R13" s="88"/>
      <c r="S13" s="88" t="e">
        <f>VLOOKUP($S$11,hamchuigoi3,M13,0)</f>
        <v>#VALUE!</v>
      </c>
      <c r="T13" s="3" t="str">
        <f t="shared" ref="T13:T15" si="1">$N$6&amp;" "&amp;O13</f>
        <v>Cốt thép gờ lan can đổ tại chỗ D≤18mm Trái tuyến</v>
      </c>
    </row>
    <row r="14" spans="1:20" ht="24.75" customHeight="1" outlineLevel="2">
      <c r="A14" s="81">
        <f>SUBTOTAL(103,$B$12:B14)</f>
        <v>3</v>
      </c>
      <c r="B14" s="78">
        <f>Q14</f>
        <v>43575</v>
      </c>
      <c r="C14" s="571" t="str">
        <f>T14</f>
        <v>Cốt thép gờ lan can đổ tại chỗ D≤18mm Gờ lan can phải tuyến</v>
      </c>
      <c r="D14" s="572"/>
      <c r="E14" s="573"/>
      <c r="F14" s="2">
        <f>P14</f>
        <v>6.2E-2</v>
      </c>
      <c r="G14" s="1">
        <f>P14</f>
        <v>6.2E-2</v>
      </c>
      <c r="H14" s="423">
        <f>P14</f>
        <v>6.2E-2</v>
      </c>
      <c r="I14" s="107">
        <f>P14</f>
        <v>6.2E-2</v>
      </c>
      <c r="J14" s="107">
        <f>P14</f>
        <v>6.2E-2</v>
      </c>
      <c r="K14" s="82"/>
      <c r="N14" s="118"/>
      <c r="O14" s="118" t="s">
        <v>398</v>
      </c>
      <c r="P14" s="88">
        <v>6.2E-2</v>
      </c>
      <c r="Q14" s="89">
        <v>43575</v>
      </c>
      <c r="R14" s="88"/>
      <c r="S14" s="88" t="e">
        <f>VLOOKUP($S$11,hamchuigoi3,M14,0)</f>
        <v>#VALUE!</v>
      </c>
      <c r="T14" s="3" t="str">
        <f t="shared" si="1"/>
        <v>Cốt thép gờ lan can đổ tại chỗ D≤18mm Gờ lan can phải tuyến</v>
      </c>
    </row>
    <row r="15" spans="1:20" ht="24.75" customHeight="1" outlineLevel="2">
      <c r="A15" s="81">
        <f>SUBTOTAL(103,$B$12:B15)</f>
        <v>4</v>
      </c>
      <c r="B15" s="78">
        <f>Q15</f>
        <v>43576</v>
      </c>
      <c r="C15" s="571" t="str">
        <f>T15</f>
        <v>Cốt thép gờ lan can đổ tại chỗ D≤18mm Gờ lan can trái tuyến</v>
      </c>
      <c r="D15" s="572"/>
      <c r="E15" s="573"/>
      <c r="F15" s="2">
        <f>P15</f>
        <v>6.2E-2</v>
      </c>
      <c r="G15" s="1">
        <f>P15</f>
        <v>6.2E-2</v>
      </c>
      <c r="H15" s="423">
        <f>P15</f>
        <v>6.2E-2</v>
      </c>
      <c r="I15" s="107">
        <f>P15</f>
        <v>6.2E-2</v>
      </c>
      <c r="J15" s="107">
        <f>P15</f>
        <v>6.2E-2</v>
      </c>
      <c r="K15" s="82"/>
      <c r="N15" s="118"/>
      <c r="O15" s="118" t="s">
        <v>399</v>
      </c>
      <c r="P15" s="88">
        <v>6.2E-2</v>
      </c>
      <c r="Q15" s="89">
        <v>43576</v>
      </c>
      <c r="R15" s="88"/>
      <c r="S15" s="88" t="e">
        <f>VLOOKUP($S$11,hamchuigoi3,M15,0)</f>
        <v>#VALUE!</v>
      </c>
      <c r="T15" s="3" t="str">
        <f t="shared" si="1"/>
        <v>Cốt thép gờ lan can đổ tại chỗ D≤18mm Gờ lan can trái tuyến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0.25</v>
      </c>
      <c r="G17" s="79">
        <f>ROUND(SUM(G12:G16),2)</f>
        <v>0.25</v>
      </c>
      <c r="H17" s="79">
        <f>ROUND(SUM(H12:H16),2)</f>
        <v>0.25</v>
      </c>
      <c r="I17" s="79">
        <f>ROUND(SUM(I12:I16),2)</f>
        <v>0.25</v>
      </c>
      <c r="J17" s="79">
        <f>ROUND(SUM(J12:J16),2)</f>
        <v>0.25</v>
      </c>
      <c r="K17" s="80"/>
      <c r="N17" s="118"/>
      <c r="O17" s="118"/>
      <c r="P17" s="90">
        <f>SUM(P12:P12)</f>
        <v>6.2E-2</v>
      </c>
    </row>
    <row r="18" spans="1:20" s="175" customFormat="1" ht="18" customHeight="1" thickTop="1" thickBot="1">
      <c r="A18" s="253"/>
      <c r="B18" s="253"/>
      <c r="C18" s="253"/>
      <c r="D18" s="253"/>
      <c r="E18" s="253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53"/>
      <c r="B28" s="253"/>
      <c r="C28" s="253"/>
      <c r="D28" s="253"/>
      <c r="E28" s="253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4" t="str">
        <f>A5</f>
        <v>Hạng mục C.I.2.2. Lan can, dải phân cách</v>
      </c>
      <c r="B34" s="255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4" t="str">
        <f>A6</f>
        <v>Mục C.I.2.2.8. Cốt thép gờ lan can đổ tại chỗ D≤18mm</v>
      </c>
      <c r="B35" s="255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0.25</v>
      </c>
      <c r="B36" s="640"/>
      <c r="C36" s="640"/>
      <c r="D36" s="640"/>
      <c r="E36" s="131" t="str">
        <f>E7</f>
        <v>(tấn)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Cốt thép gờ lan can đổ tại chỗ D≤18mm</v>
      </c>
      <c r="E40" s="624"/>
      <c r="F40" s="624"/>
      <c r="G40" s="624"/>
      <c r="H40" s="625">
        <f t="shared" ref="H40:H63" si="2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3">DATE(M40,L40,1)</f>
        <v>42948</v>
      </c>
      <c r="P40" s="103">
        <f t="shared" ref="P40:P64" si="4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5">"Tháng "&amp;IF(L41&lt;10,0&amp;L41&amp;"/"&amp;M41,L41&amp;"/"&amp;M41)</f>
        <v>Tháng 09/2017</v>
      </c>
      <c r="C41" s="567"/>
      <c r="D41" s="568" t="str">
        <f>D40</f>
        <v>Cốt thép gờ lan can đổ tại chỗ D≤18mm</v>
      </c>
      <c r="E41" s="568"/>
      <c r="F41" s="568"/>
      <c r="G41" s="568"/>
      <c r="H41" s="569">
        <f t="shared" si="2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3"/>
        <v>42979</v>
      </c>
      <c r="P41" s="103">
        <f t="shared" si="4"/>
        <v>43008</v>
      </c>
    </row>
    <row r="42" spans="1:20" s="5" customFormat="1" ht="17.100000000000001" customHeight="1">
      <c r="A42" s="104">
        <f>A41+1</f>
        <v>3</v>
      </c>
      <c r="B42" s="567" t="str">
        <f t="shared" si="5"/>
        <v>Tháng 10/2017</v>
      </c>
      <c r="C42" s="567"/>
      <c r="D42" s="568" t="str">
        <f t="shared" ref="D42:D64" si="6">D41</f>
        <v>Cốt thép gờ lan can đổ tại chỗ D≤18mm</v>
      </c>
      <c r="E42" s="568"/>
      <c r="F42" s="568"/>
      <c r="G42" s="568"/>
      <c r="H42" s="569">
        <f t="shared" si="2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3"/>
        <v>43009</v>
      </c>
      <c r="P42" s="103">
        <f t="shared" si="4"/>
        <v>43039</v>
      </c>
    </row>
    <row r="43" spans="1:20" s="5" customFormat="1" ht="17.100000000000001" customHeight="1">
      <c r="A43" s="104">
        <f t="shared" ref="A43:A65" si="7">A42+1</f>
        <v>4</v>
      </c>
      <c r="B43" s="567" t="str">
        <f t="shared" si="5"/>
        <v>Tháng 11/2017</v>
      </c>
      <c r="C43" s="567"/>
      <c r="D43" s="568" t="str">
        <f t="shared" si="6"/>
        <v>Cốt thép gờ lan can đổ tại chỗ D≤18mm</v>
      </c>
      <c r="E43" s="568"/>
      <c r="F43" s="568"/>
      <c r="G43" s="568"/>
      <c r="H43" s="569">
        <f t="shared" si="2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3"/>
        <v>43040</v>
      </c>
      <c r="P43" s="103">
        <f t="shared" si="4"/>
        <v>43069</v>
      </c>
    </row>
    <row r="44" spans="1:20" s="5" customFormat="1" ht="17.100000000000001" customHeight="1">
      <c r="A44" s="104">
        <f t="shared" si="7"/>
        <v>5</v>
      </c>
      <c r="B44" s="567" t="str">
        <f t="shared" si="5"/>
        <v>Tháng 12/2017</v>
      </c>
      <c r="C44" s="567"/>
      <c r="D44" s="568" t="str">
        <f t="shared" si="6"/>
        <v>Cốt thép gờ lan can đổ tại chỗ D≤18mm</v>
      </c>
      <c r="E44" s="568"/>
      <c r="F44" s="568"/>
      <c r="G44" s="568"/>
      <c r="H44" s="569">
        <f t="shared" si="2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3"/>
        <v>43070</v>
      </c>
      <c r="P44" s="103">
        <f t="shared" si="4"/>
        <v>43100</v>
      </c>
    </row>
    <row r="45" spans="1:20" s="5" customFormat="1" ht="17.100000000000001" customHeight="1">
      <c r="A45" s="104">
        <f t="shared" si="7"/>
        <v>6</v>
      </c>
      <c r="B45" s="567" t="str">
        <f t="shared" si="5"/>
        <v>Tháng 01/2018</v>
      </c>
      <c r="C45" s="567"/>
      <c r="D45" s="568" t="str">
        <f t="shared" si="6"/>
        <v>Cốt thép gờ lan can đổ tại chỗ D≤18mm</v>
      </c>
      <c r="E45" s="568"/>
      <c r="F45" s="568"/>
      <c r="G45" s="568"/>
      <c r="H45" s="569">
        <f t="shared" si="2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3"/>
        <v>43101</v>
      </c>
      <c r="P45" s="103">
        <f t="shared" si="4"/>
        <v>43131</v>
      </c>
    </row>
    <row r="46" spans="1:20" s="5" customFormat="1" ht="17.100000000000001" customHeight="1">
      <c r="A46" s="104">
        <f t="shared" si="7"/>
        <v>7</v>
      </c>
      <c r="B46" s="567" t="str">
        <f t="shared" si="5"/>
        <v>Tháng 02/2018</v>
      </c>
      <c r="C46" s="567"/>
      <c r="D46" s="568" t="str">
        <f t="shared" si="6"/>
        <v>Cốt thép gờ lan can đổ tại chỗ D≤18mm</v>
      </c>
      <c r="E46" s="568"/>
      <c r="F46" s="568"/>
      <c r="G46" s="568"/>
      <c r="H46" s="569">
        <f t="shared" si="2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3"/>
        <v>43132</v>
      </c>
      <c r="P46" s="103">
        <f t="shared" si="4"/>
        <v>43159</v>
      </c>
    </row>
    <row r="47" spans="1:20" s="5" customFormat="1" ht="17.100000000000001" customHeight="1">
      <c r="A47" s="104">
        <f t="shared" si="7"/>
        <v>8</v>
      </c>
      <c r="B47" s="567" t="str">
        <f t="shared" si="5"/>
        <v>Tháng 03/2018</v>
      </c>
      <c r="C47" s="567"/>
      <c r="D47" s="568" t="str">
        <f t="shared" si="6"/>
        <v>Cốt thép gờ lan can đổ tại chỗ D≤18mm</v>
      </c>
      <c r="E47" s="568"/>
      <c r="F47" s="568"/>
      <c r="G47" s="568"/>
      <c r="H47" s="569">
        <f t="shared" si="2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3"/>
        <v>43160</v>
      </c>
      <c r="P47" s="103">
        <f t="shared" si="4"/>
        <v>43190</v>
      </c>
    </row>
    <row r="48" spans="1:20" s="5" customFormat="1" ht="17.100000000000001" customHeight="1">
      <c r="A48" s="104">
        <f t="shared" si="7"/>
        <v>9</v>
      </c>
      <c r="B48" s="567" t="str">
        <f t="shared" si="5"/>
        <v>Tháng 04/2018</v>
      </c>
      <c r="C48" s="567"/>
      <c r="D48" s="568" t="str">
        <f t="shared" si="6"/>
        <v>Cốt thép gờ lan can đổ tại chỗ D≤18mm</v>
      </c>
      <c r="E48" s="568"/>
      <c r="F48" s="568"/>
      <c r="G48" s="568"/>
      <c r="H48" s="569">
        <f t="shared" si="2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3"/>
        <v>43191</v>
      </c>
      <c r="P48" s="103">
        <f t="shared" si="4"/>
        <v>43220</v>
      </c>
    </row>
    <row r="49" spans="1:16" s="5" customFormat="1" ht="17.100000000000001" customHeight="1">
      <c r="A49" s="104">
        <f t="shared" si="7"/>
        <v>10</v>
      </c>
      <c r="B49" s="567" t="str">
        <f t="shared" si="5"/>
        <v>Tháng 05/2018</v>
      </c>
      <c r="C49" s="567"/>
      <c r="D49" s="568" t="str">
        <f t="shared" si="6"/>
        <v>Cốt thép gờ lan can đổ tại chỗ D≤18mm</v>
      </c>
      <c r="E49" s="568"/>
      <c r="F49" s="568"/>
      <c r="G49" s="568"/>
      <c r="H49" s="569">
        <f t="shared" si="2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3"/>
        <v>43221</v>
      </c>
      <c r="P49" s="103">
        <f t="shared" si="4"/>
        <v>43251</v>
      </c>
    </row>
    <row r="50" spans="1:16" s="5" customFormat="1" ht="17.100000000000001" customHeight="1">
      <c r="A50" s="104">
        <f t="shared" si="7"/>
        <v>11</v>
      </c>
      <c r="B50" s="567" t="str">
        <f t="shared" si="5"/>
        <v>Tháng 06/2018</v>
      </c>
      <c r="C50" s="567"/>
      <c r="D50" s="568" t="str">
        <f t="shared" si="6"/>
        <v>Cốt thép gờ lan can đổ tại chỗ D≤18mm</v>
      </c>
      <c r="E50" s="568"/>
      <c r="F50" s="568"/>
      <c r="G50" s="568"/>
      <c r="H50" s="569">
        <f t="shared" si="2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3"/>
        <v>43252</v>
      </c>
      <c r="P50" s="103">
        <f t="shared" si="4"/>
        <v>43281</v>
      </c>
    </row>
    <row r="51" spans="1:16" s="5" customFormat="1" ht="17.100000000000001" customHeight="1">
      <c r="A51" s="104">
        <f t="shared" si="7"/>
        <v>12</v>
      </c>
      <c r="B51" s="567" t="str">
        <f t="shared" si="5"/>
        <v>Tháng 07/2018</v>
      </c>
      <c r="C51" s="567"/>
      <c r="D51" s="568" t="str">
        <f t="shared" si="6"/>
        <v>Cốt thép gờ lan can đổ tại chỗ D≤18mm</v>
      </c>
      <c r="E51" s="568"/>
      <c r="F51" s="568"/>
      <c r="G51" s="568"/>
      <c r="H51" s="569">
        <f t="shared" si="2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3"/>
        <v>43282</v>
      </c>
      <c r="P51" s="103">
        <f t="shared" si="4"/>
        <v>43312</v>
      </c>
    </row>
    <row r="52" spans="1:16" s="5" customFormat="1" ht="17.100000000000001" customHeight="1">
      <c r="A52" s="104">
        <f t="shared" si="7"/>
        <v>13</v>
      </c>
      <c r="B52" s="567" t="str">
        <f t="shared" si="5"/>
        <v>Tháng 08/2018</v>
      </c>
      <c r="C52" s="567"/>
      <c r="D52" s="568" t="str">
        <f t="shared" si="6"/>
        <v>Cốt thép gờ lan can đổ tại chỗ D≤18mm</v>
      </c>
      <c r="E52" s="568"/>
      <c r="F52" s="568"/>
      <c r="G52" s="568"/>
      <c r="H52" s="569">
        <f t="shared" si="2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3"/>
        <v>43313</v>
      </c>
      <c r="P52" s="103">
        <f t="shared" si="4"/>
        <v>43343</v>
      </c>
    </row>
    <row r="53" spans="1:16" s="5" customFormat="1" ht="17.100000000000001" customHeight="1">
      <c r="A53" s="104">
        <f t="shared" si="7"/>
        <v>14</v>
      </c>
      <c r="B53" s="567" t="str">
        <f t="shared" si="5"/>
        <v>Tháng 09/2018</v>
      </c>
      <c r="C53" s="567"/>
      <c r="D53" s="568" t="str">
        <f t="shared" si="6"/>
        <v>Cốt thép gờ lan can đổ tại chỗ D≤18mm</v>
      </c>
      <c r="E53" s="568"/>
      <c r="F53" s="568"/>
      <c r="G53" s="568"/>
      <c r="H53" s="569">
        <f t="shared" si="2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3"/>
        <v>43344</v>
      </c>
      <c r="P53" s="103">
        <f t="shared" si="4"/>
        <v>43373</v>
      </c>
    </row>
    <row r="54" spans="1:16" s="5" customFormat="1" ht="17.100000000000001" customHeight="1">
      <c r="A54" s="104">
        <f t="shared" si="7"/>
        <v>15</v>
      </c>
      <c r="B54" s="567" t="str">
        <f t="shared" si="5"/>
        <v>Tháng 10/2018</v>
      </c>
      <c r="C54" s="567"/>
      <c r="D54" s="568" t="str">
        <f t="shared" si="6"/>
        <v>Cốt thép gờ lan can đổ tại chỗ D≤18mm</v>
      </c>
      <c r="E54" s="568"/>
      <c r="F54" s="568"/>
      <c r="G54" s="568"/>
      <c r="H54" s="569">
        <f t="shared" si="2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3"/>
        <v>43374</v>
      </c>
      <c r="P54" s="103">
        <f t="shared" si="4"/>
        <v>43404</v>
      </c>
    </row>
    <row r="55" spans="1:16" s="5" customFormat="1" ht="17.100000000000001" customHeight="1">
      <c r="A55" s="104">
        <f t="shared" si="7"/>
        <v>16</v>
      </c>
      <c r="B55" s="567" t="str">
        <f t="shared" si="5"/>
        <v>Tháng 11/2018</v>
      </c>
      <c r="C55" s="567"/>
      <c r="D55" s="568" t="str">
        <f t="shared" si="6"/>
        <v>Cốt thép gờ lan can đổ tại chỗ D≤18mm</v>
      </c>
      <c r="E55" s="568"/>
      <c r="F55" s="568"/>
      <c r="G55" s="568"/>
      <c r="H55" s="569">
        <f t="shared" si="2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3"/>
        <v>43405</v>
      </c>
      <c r="P55" s="103">
        <f t="shared" si="4"/>
        <v>43434</v>
      </c>
    </row>
    <row r="56" spans="1:16" s="5" customFormat="1" ht="17.100000000000001" customHeight="1">
      <c r="A56" s="104">
        <f t="shared" si="7"/>
        <v>17</v>
      </c>
      <c r="B56" s="567" t="str">
        <f t="shared" si="5"/>
        <v>Tháng 12/2018</v>
      </c>
      <c r="C56" s="567"/>
      <c r="D56" s="568" t="str">
        <f t="shared" si="6"/>
        <v>Cốt thép gờ lan can đổ tại chỗ D≤18mm</v>
      </c>
      <c r="E56" s="568"/>
      <c r="F56" s="568"/>
      <c r="G56" s="568"/>
      <c r="H56" s="569">
        <f t="shared" si="2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3"/>
        <v>43435</v>
      </c>
      <c r="P56" s="103">
        <f t="shared" si="4"/>
        <v>43465</v>
      </c>
    </row>
    <row r="57" spans="1:16" s="5" customFormat="1" ht="17.100000000000001" customHeight="1">
      <c r="A57" s="104">
        <f t="shared" si="7"/>
        <v>18</v>
      </c>
      <c r="B57" s="567" t="str">
        <f t="shared" si="5"/>
        <v>Tháng 01/2019</v>
      </c>
      <c r="C57" s="567"/>
      <c r="D57" s="568" t="str">
        <f t="shared" si="6"/>
        <v>Cốt thép gờ lan can đổ tại chỗ D≤18mm</v>
      </c>
      <c r="E57" s="568"/>
      <c r="F57" s="568"/>
      <c r="G57" s="568"/>
      <c r="H57" s="569">
        <f t="shared" si="2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3"/>
        <v>43466</v>
      </c>
      <c r="P57" s="103">
        <f t="shared" si="4"/>
        <v>43496</v>
      </c>
    </row>
    <row r="58" spans="1:16" s="5" customFormat="1" ht="17.100000000000001" customHeight="1">
      <c r="A58" s="104">
        <f t="shared" si="7"/>
        <v>19</v>
      </c>
      <c r="B58" s="567" t="str">
        <f t="shared" si="5"/>
        <v>Tháng 02/2019</v>
      </c>
      <c r="C58" s="567"/>
      <c r="D58" s="568" t="str">
        <f t="shared" si="6"/>
        <v>Cốt thép gờ lan can đổ tại chỗ D≤18mm</v>
      </c>
      <c r="E58" s="568"/>
      <c r="F58" s="568"/>
      <c r="G58" s="568"/>
      <c r="H58" s="569">
        <f t="shared" si="2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3"/>
        <v>43497</v>
      </c>
      <c r="P58" s="103">
        <f t="shared" si="4"/>
        <v>43524</v>
      </c>
    </row>
    <row r="59" spans="1:16" s="5" customFormat="1" ht="17.100000000000001" customHeight="1">
      <c r="A59" s="104">
        <f t="shared" si="7"/>
        <v>20</v>
      </c>
      <c r="B59" s="567" t="str">
        <f t="shared" si="5"/>
        <v>Tháng 03/2019</v>
      </c>
      <c r="C59" s="567"/>
      <c r="D59" s="568" t="str">
        <f t="shared" si="6"/>
        <v>Cốt thép gờ lan can đổ tại chỗ D≤18mm</v>
      </c>
      <c r="E59" s="568"/>
      <c r="F59" s="568"/>
      <c r="G59" s="568"/>
      <c r="H59" s="569">
        <f t="shared" si="2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3"/>
        <v>43525</v>
      </c>
      <c r="P59" s="103">
        <f t="shared" si="4"/>
        <v>43555</v>
      </c>
    </row>
    <row r="60" spans="1:16" s="5" customFormat="1" ht="17.100000000000001" customHeight="1">
      <c r="A60" s="104">
        <f t="shared" si="7"/>
        <v>21</v>
      </c>
      <c r="B60" s="567" t="str">
        <f t="shared" si="5"/>
        <v>Tháng 04/2019</v>
      </c>
      <c r="C60" s="567"/>
      <c r="D60" s="568" t="str">
        <f t="shared" si="6"/>
        <v>Cốt thép gờ lan can đổ tại chỗ D≤18mm</v>
      </c>
      <c r="E60" s="568"/>
      <c r="F60" s="568"/>
      <c r="G60" s="568"/>
      <c r="H60" s="569">
        <f t="shared" si="2"/>
        <v>0.248</v>
      </c>
      <c r="I60" s="569"/>
      <c r="J60" s="567"/>
      <c r="K60" s="570"/>
      <c r="L60">
        <v>4</v>
      </c>
      <c r="M60" s="101">
        <v>2019</v>
      </c>
      <c r="N60"/>
      <c r="O60" s="103">
        <f t="shared" si="3"/>
        <v>43556</v>
      </c>
      <c r="P60" s="103">
        <f t="shared" si="4"/>
        <v>43585</v>
      </c>
    </row>
    <row r="61" spans="1:16" s="5" customFormat="1" ht="17.100000000000001" customHeight="1">
      <c r="A61" s="104">
        <f t="shared" si="7"/>
        <v>22</v>
      </c>
      <c r="B61" s="567" t="str">
        <f t="shared" si="5"/>
        <v>Tháng 05/2019</v>
      </c>
      <c r="C61" s="567"/>
      <c r="D61" s="568" t="str">
        <f t="shared" si="6"/>
        <v>Cốt thép gờ lan can đổ tại chỗ D≤18mm</v>
      </c>
      <c r="E61" s="568"/>
      <c r="F61" s="568"/>
      <c r="G61" s="568"/>
      <c r="H61" s="569">
        <f t="shared" si="2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3"/>
        <v>43586</v>
      </c>
      <c r="P61" s="103">
        <f t="shared" si="4"/>
        <v>43616</v>
      </c>
    </row>
    <row r="62" spans="1:16" s="5" customFormat="1" ht="17.100000000000001" customHeight="1">
      <c r="A62" s="104">
        <f t="shared" si="7"/>
        <v>23</v>
      </c>
      <c r="B62" s="567" t="str">
        <f t="shared" si="5"/>
        <v>Tháng 06/2019</v>
      </c>
      <c r="C62" s="567"/>
      <c r="D62" s="568" t="str">
        <f t="shared" si="6"/>
        <v>Cốt thép gờ lan can đổ tại chỗ D≤18mm</v>
      </c>
      <c r="E62" s="568"/>
      <c r="F62" s="568"/>
      <c r="G62" s="568"/>
      <c r="H62" s="569">
        <f t="shared" si="2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3"/>
        <v>43617</v>
      </c>
      <c r="P62" s="103">
        <f t="shared" si="4"/>
        <v>43646</v>
      </c>
    </row>
    <row r="63" spans="1:16" s="5" customFormat="1" ht="17.100000000000001" customHeight="1">
      <c r="A63" s="104">
        <f t="shared" si="7"/>
        <v>24</v>
      </c>
      <c r="B63" s="567" t="str">
        <f t="shared" si="5"/>
        <v>Tháng 07/2019</v>
      </c>
      <c r="C63" s="567"/>
      <c r="D63" s="568" t="str">
        <f t="shared" si="6"/>
        <v>Cốt thép gờ lan can đổ tại chỗ D≤18mm</v>
      </c>
      <c r="E63" s="568"/>
      <c r="F63" s="568"/>
      <c r="G63" s="568"/>
      <c r="H63" s="569">
        <f t="shared" si="2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3"/>
        <v>43647</v>
      </c>
      <c r="P63" s="103">
        <f t="shared" si="4"/>
        <v>43677</v>
      </c>
    </row>
    <row r="64" spans="1:16" s="5" customFormat="1" ht="17.100000000000001" customHeight="1">
      <c r="A64" s="104">
        <f t="shared" si="7"/>
        <v>25</v>
      </c>
      <c r="B64" s="567" t="str">
        <f t="shared" si="5"/>
        <v>Tháng 08/2019</v>
      </c>
      <c r="C64" s="567"/>
      <c r="D64" s="568" t="str">
        <f t="shared" si="6"/>
        <v>Cốt thép gờ lan can đổ tại chỗ D≤18mm</v>
      </c>
      <c r="E64" s="568"/>
      <c r="F64" s="568"/>
      <c r="G64" s="568"/>
      <c r="H64" s="569">
        <f t="shared" ref="H64:H65" si="8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3"/>
        <v>43678</v>
      </c>
      <c r="P64" s="103">
        <f t="shared" si="4"/>
        <v>43708</v>
      </c>
    </row>
    <row r="65" spans="1:20" s="5" customFormat="1" ht="17.100000000000001" customHeight="1">
      <c r="A65" s="104">
        <f t="shared" si="7"/>
        <v>26</v>
      </c>
      <c r="B65" s="616" t="str">
        <f t="shared" si="5"/>
        <v>Tháng 09/2019</v>
      </c>
      <c r="C65" s="616"/>
      <c r="D65" s="652" t="str">
        <f>D63</f>
        <v>Cốt thép gờ lan can đổ tại chỗ D≤18mm</v>
      </c>
      <c r="E65" s="652"/>
      <c r="F65" s="652"/>
      <c r="G65" s="652"/>
      <c r="H65" s="615">
        <f t="shared" si="8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9">SUM(H40:I65)</f>
        <v>0.248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49">
    <mergeCell ref="I9:I11"/>
    <mergeCell ref="J9:J11"/>
    <mergeCell ref="K9:K11"/>
    <mergeCell ref="C12:E12"/>
    <mergeCell ref="C16:E16"/>
    <mergeCell ref="A17:E17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5:C65"/>
    <mergeCell ref="D65:G65"/>
    <mergeCell ref="H65:I65"/>
    <mergeCell ref="J65:K65"/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rgb="FF92D050"/>
  </sheetPr>
  <dimension ref="A1:T77"/>
  <sheetViews>
    <sheetView view="pageBreakPreview" topLeftCell="A58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C.I.2.2.9. Cốt thép gờ lan can đổ tại chỗ D&gt;18mm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9</v>
      </c>
      <c r="N6" s="245" t="str">
        <f>THKLQT!C50</f>
        <v>Cốt thép gờ lan can đổ tại chỗ D&gt;18mm</v>
      </c>
      <c r="Q6" s="17"/>
    </row>
    <row r="7" spans="1:20" s="178" customFormat="1" ht="18.75" customHeight="1">
      <c r="A7" s="634">
        <f>I17</f>
        <v>1.72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THKLQT!D50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43577</v>
      </c>
      <c r="C12" s="571" t="str">
        <f>T12</f>
        <v>Cốt thép gờ lan can đổ tại chỗ D&gt;18mm Phải tuyến</v>
      </c>
      <c r="D12" s="572"/>
      <c r="E12" s="573"/>
      <c r="F12" s="2">
        <f>P12</f>
        <v>0.433</v>
      </c>
      <c r="G12" s="1">
        <f>P12</f>
        <v>0.433</v>
      </c>
      <c r="H12" s="299">
        <f>P12</f>
        <v>0.433</v>
      </c>
      <c r="I12" s="107">
        <f>P12</f>
        <v>0.433</v>
      </c>
      <c r="J12" s="107">
        <f>P12</f>
        <v>0.433</v>
      </c>
      <c r="K12" s="82"/>
      <c r="N12" s="118"/>
      <c r="O12" s="118" t="s">
        <v>395</v>
      </c>
      <c r="P12" s="88">
        <v>0.433</v>
      </c>
      <c r="Q12" s="89">
        <v>43577</v>
      </c>
      <c r="R12" s="88"/>
      <c r="S12" s="88" t="e">
        <f>VLOOKUP($S$11,hamchuigoi3,M12,0)</f>
        <v>#VALUE!</v>
      </c>
      <c r="T12" s="3" t="str">
        <f t="shared" ref="T12" si="0">$N$6&amp;" "&amp;O12</f>
        <v>Cốt thép gờ lan can đổ tại chỗ D&gt;18mm Phải tuyến</v>
      </c>
    </row>
    <row r="13" spans="1:20" ht="14.25" outlineLevel="2">
      <c r="A13" s="81">
        <f>SUBTOTAL(103,$B$12:B13)</f>
        <v>2</v>
      </c>
      <c r="B13" s="78">
        <f>Q13</f>
        <v>43578</v>
      </c>
      <c r="C13" s="571" t="str">
        <f>T13</f>
        <v>Cốt thép gờ lan can đổ tại chỗ D&gt;18mm Trái tuyến</v>
      </c>
      <c r="D13" s="572"/>
      <c r="E13" s="573"/>
      <c r="F13" s="2">
        <f>P13</f>
        <v>0.42699999999999999</v>
      </c>
      <c r="G13" s="1">
        <f>P13</f>
        <v>0.42699999999999999</v>
      </c>
      <c r="H13" s="299">
        <f>P13</f>
        <v>0.42699999999999999</v>
      </c>
      <c r="I13" s="107">
        <f>P13</f>
        <v>0.42699999999999999</v>
      </c>
      <c r="J13" s="107">
        <f>P13</f>
        <v>0.42699999999999999</v>
      </c>
      <c r="K13" s="82"/>
      <c r="N13" s="118"/>
      <c r="O13" s="118" t="s">
        <v>396</v>
      </c>
      <c r="P13" s="88">
        <v>0.42699999999999999</v>
      </c>
      <c r="Q13" s="89">
        <v>43578</v>
      </c>
      <c r="R13" s="88"/>
      <c r="S13" s="88" t="e">
        <f>VLOOKUP($S$11,hamchuigoi3,M13,0)</f>
        <v>#VALUE!</v>
      </c>
      <c r="T13" s="3" t="str">
        <f t="shared" ref="T13:T15" si="1">$N$6&amp;" "&amp;O13</f>
        <v>Cốt thép gờ lan can đổ tại chỗ D&gt;18mm Trái tuyến</v>
      </c>
    </row>
    <row r="14" spans="1:20" ht="26.25" customHeight="1" outlineLevel="2">
      <c r="A14" s="81">
        <f>SUBTOTAL(103,$B$12:B14)</f>
        <v>3</v>
      </c>
      <c r="B14" s="78">
        <f>Q14</f>
        <v>43575</v>
      </c>
      <c r="C14" s="571" t="str">
        <f>T14</f>
        <v>Cốt thép gờ lan can đổ tại chỗ D&gt;18mm Gờ lan can phải tuyến</v>
      </c>
      <c r="D14" s="572"/>
      <c r="E14" s="573"/>
      <c r="F14" s="2">
        <f>P14</f>
        <v>0.42699999999999999</v>
      </c>
      <c r="G14" s="1">
        <f>P14</f>
        <v>0.42699999999999999</v>
      </c>
      <c r="H14" s="299">
        <f>P14</f>
        <v>0.42699999999999999</v>
      </c>
      <c r="I14" s="107">
        <f>P14</f>
        <v>0.42699999999999999</v>
      </c>
      <c r="J14" s="107">
        <f>P14</f>
        <v>0.42699999999999999</v>
      </c>
      <c r="K14" s="82"/>
      <c r="N14" s="118"/>
      <c r="O14" s="118" t="s">
        <v>398</v>
      </c>
      <c r="P14" s="88">
        <v>0.42699999999999999</v>
      </c>
      <c r="Q14" s="89">
        <v>43575</v>
      </c>
      <c r="R14" s="88"/>
      <c r="S14" s="88" t="e">
        <f>VLOOKUP($S$11,hamchuigoi3,M14,0)</f>
        <v>#VALUE!</v>
      </c>
      <c r="T14" s="3" t="str">
        <f t="shared" si="1"/>
        <v>Cốt thép gờ lan can đổ tại chỗ D&gt;18mm Gờ lan can phải tuyến</v>
      </c>
    </row>
    <row r="15" spans="1:20" ht="26.25" customHeight="1" outlineLevel="2">
      <c r="A15" s="81">
        <f>SUBTOTAL(103,$B$12:B15)</f>
        <v>4</v>
      </c>
      <c r="B15" s="78">
        <f>Q15</f>
        <v>43576</v>
      </c>
      <c r="C15" s="571" t="str">
        <f>T15</f>
        <v>Cốt thép gờ lan can đổ tại chỗ D&gt;18mm Gờ lan can trái tuyến</v>
      </c>
      <c r="D15" s="572"/>
      <c r="E15" s="573"/>
      <c r="F15" s="2">
        <f>P15</f>
        <v>0.437</v>
      </c>
      <c r="G15" s="1">
        <f>P15</f>
        <v>0.437</v>
      </c>
      <c r="H15" s="299">
        <f>P15</f>
        <v>0.437</v>
      </c>
      <c r="I15" s="107">
        <f>P15</f>
        <v>0.437</v>
      </c>
      <c r="J15" s="107">
        <f>P15</f>
        <v>0.437</v>
      </c>
      <c r="K15" s="82"/>
      <c r="N15" s="118"/>
      <c r="O15" s="118" t="s">
        <v>399</v>
      </c>
      <c r="P15" s="88">
        <v>0.437</v>
      </c>
      <c r="Q15" s="89">
        <v>43576</v>
      </c>
      <c r="R15" s="88"/>
      <c r="S15" s="88" t="e">
        <f>VLOOKUP($S$11,hamchuigoi3,M15,0)</f>
        <v>#VALUE!</v>
      </c>
      <c r="T15" s="3" t="str">
        <f t="shared" si="1"/>
        <v>Cốt thép gờ lan can đổ tại chỗ D&gt;18mm Gờ lan can trái tuyến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1.72</v>
      </c>
      <c r="G17" s="79">
        <f>ROUND(SUM(G12:G16),2)</f>
        <v>1.72</v>
      </c>
      <c r="H17" s="79">
        <f>ROUND(SUM(H12:H16),2)</f>
        <v>1.72</v>
      </c>
      <c r="I17" s="79">
        <f>ROUND(SUM(I12:I16),2)</f>
        <v>1.72</v>
      </c>
      <c r="J17" s="79">
        <f>ROUND(SUM(J12:J16),2)</f>
        <v>1.72</v>
      </c>
      <c r="K17" s="80"/>
      <c r="N17" s="118"/>
      <c r="O17" s="118"/>
      <c r="P17" s="90">
        <f>SUM(P12:P12)</f>
        <v>0.433</v>
      </c>
    </row>
    <row r="18" spans="1:20" s="175" customFormat="1" ht="18" customHeight="1" thickTop="1" thickBot="1">
      <c r="A18" s="253"/>
      <c r="B18" s="253"/>
      <c r="C18" s="253"/>
      <c r="D18" s="253"/>
      <c r="E18" s="253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53"/>
      <c r="B28" s="253"/>
      <c r="C28" s="253"/>
      <c r="D28" s="253"/>
      <c r="E28" s="253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4" t="str">
        <f>A5</f>
        <v>Hạng mục C.I.2.2. Lan can, dải phân cách</v>
      </c>
      <c r="B34" s="255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4" t="str">
        <f>A6</f>
        <v>Mục C.I.2.2.9. Cốt thép gờ lan can đổ tại chỗ D&gt;18mm</v>
      </c>
      <c r="B35" s="255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1.72</v>
      </c>
      <c r="B36" s="640"/>
      <c r="C36" s="640"/>
      <c r="D36" s="640"/>
      <c r="E36" s="131" t="str">
        <f>E7</f>
        <v>(tấn)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Cốt thép gờ lan can đổ tại chỗ D&gt;18mm</v>
      </c>
      <c r="E40" s="624"/>
      <c r="F40" s="624"/>
      <c r="G40" s="624"/>
      <c r="H40" s="625">
        <f t="shared" ref="H40:H63" si="2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3">DATE(M40,L40,1)</f>
        <v>42948</v>
      </c>
      <c r="P40" s="103">
        <f t="shared" ref="P40:P64" si="4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5">"Tháng "&amp;IF(L41&lt;10,0&amp;L41&amp;"/"&amp;M41,L41&amp;"/"&amp;M41)</f>
        <v>Tháng 09/2017</v>
      </c>
      <c r="C41" s="567"/>
      <c r="D41" s="568" t="str">
        <f>D40</f>
        <v>Cốt thép gờ lan can đổ tại chỗ D&gt;18mm</v>
      </c>
      <c r="E41" s="568"/>
      <c r="F41" s="568"/>
      <c r="G41" s="568"/>
      <c r="H41" s="569">
        <f t="shared" si="2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3"/>
        <v>42979</v>
      </c>
      <c r="P41" s="103">
        <f t="shared" si="4"/>
        <v>43008</v>
      </c>
    </row>
    <row r="42" spans="1:20" s="5" customFormat="1" ht="17.100000000000001" customHeight="1">
      <c r="A42" s="104">
        <f>A41+1</f>
        <v>3</v>
      </c>
      <c r="B42" s="567" t="str">
        <f t="shared" si="5"/>
        <v>Tháng 10/2017</v>
      </c>
      <c r="C42" s="567"/>
      <c r="D42" s="568" t="str">
        <f t="shared" ref="D42:D64" si="6">D41</f>
        <v>Cốt thép gờ lan can đổ tại chỗ D&gt;18mm</v>
      </c>
      <c r="E42" s="568"/>
      <c r="F42" s="568"/>
      <c r="G42" s="568"/>
      <c r="H42" s="569">
        <f t="shared" si="2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3"/>
        <v>43009</v>
      </c>
      <c r="P42" s="103">
        <f t="shared" si="4"/>
        <v>43039</v>
      </c>
    </row>
    <row r="43" spans="1:20" s="5" customFormat="1" ht="17.100000000000001" customHeight="1">
      <c r="A43" s="104">
        <f t="shared" ref="A43:A65" si="7">A42+1</f>
        <v>4</v>
      </c>
      <c r="B43" s="567" t="str">
        <f t="shared" si="5"/>
        <v>Tháng 11/2017</v>
      </c>
      <c r="C43" s="567"/>
      <c r="D43" s="568" t="str">
        <f t="shared" si="6"/>
        <v>Cốt thép gờ lan can đổ tại chỗ D&gt;18mm</v>
      </c>
      <c r="E43" s="568"/>
      <c r="F43" s="568"/>
      <c r="G43" s="568"/>
      <c r="H43" s="569">
        <f t="shared" si="2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3"/>
        <v>43040</v>
      </c>
      <c r="P43" s="103">
        <f t="shared" si="4"/>
        <v>43069</v>
      </c>
    </row>
    <row r="44" spans="1:20" s="5" customFormat="1" ht="17.100000000000001" customHeight="1">
      <c r="A44" s="104">
        <f t="shared" si="7"/>
        <v>5</v>
      </c>
      <c r="B44" s="567" t="str">
        <f t="shared" si="5"/>
        <v>Tháng 12/2017</v>
      </c>
      <c r="C44" s="567"/>
      <c r="D44" s="568" t="str">
        <f t="shared" si="6"/>
        <v>Cốt thép gờ lan can đổ tại chỗ D&gt;18mm</v>
      </c>
      <c r="E44" s="568"/>
      <c r="F44" s="568"/>
      <c r="G44" s="568"/>
      <c r="H44" s="569">
        <f t="shared" si="2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3"/>
        <v>43070</v>
      </c>
      <c r="P44" s="103">
        <f t="shared" si="4"/>
        <v>43100</v>
      </c>
    </row>
    <row r="45" spans="1:20" s="5" customFormat="1" ht="17.100000000000001" customHeight="1">
      <c r="A45" s="104">
        <f t="shared" si="7"/>
        <v>6</v>
      </c>
      <c r="B45" s="567" t="str">
        <f t="shared" si="5"/>
        <v>Tháng 01/2018</v>
      </c>
      <c r="C45" s="567"/>
      <c r="D45" s="568" t="str">
        <f t="shared" si="6"/>
        <v>Cốt thép gờ lan can đổ tại chỗ D&gt;18mm</v>
      </c>
      <c r="E45" s="568"/>
      <c r="F45" s="568"/>
      <c r="G45" s="568"/>
      <c r="H45" s="569">
        <f t="shared" si="2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3"/>
        <v>43101</v>
      </c>
      <c r="P45" s="103">
        <f t="shared" si="4"/>
        <v>43131</v>
      </c>
    </row>
    <row r="46" spans="1:20" s="5" customFormat="1" ht="17.100000000000001" customHeight="1">
      <c r="A46" s="104">
        <f t="shared" si="7"/>
        <v>7</v>
      </c>
      <c r="B46" s="567" t="str">
        <f t="shared" si="5"/>
        <v>Tháng 02/2018</v>
      </c>
      <c r="C46" s="567"/>
      <c r="D46" s="568" t="str">
        <f t="shared" si="6"/>
        <v>Cốt thép gờ lan can đổ tại chỗ D&gt;18mm</v>
      </c>
      <c r="E46" s="568"/>
      <c r="F46" s="568"/>
      <c r="G46" s="568"/>
      <c r="H46" s="569">
        <f t="shared" si="2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3"/>
        <v>43132</v>
      </c>
      <c r="P46" s="103">
        <f t="shared" si="4"/>
        <v>43159</v>
      </c>
    </row>
    <row r="47" spans="1:20" s="5" customFormat="1" ht="17.100000000000001" customHeight="1">
      <c r="A47" s="104">
        <f t="shared" si="7"/>
        <v>8</v>
      </c>
      <c r="B47" s="567" t="str">
        <f t="shared" si="5"/>
        <v>Tháng 03/2018</v>
      </c>
      <c r="C47" s="567"/>
      <c r="D47" s="568" t="str">
        <f t="shared" si="6"/>
        <v>Cốt thép gờ lan can đổ tại chỗ D&gt;18mm</v>
      </c>
      <c r="E47" s="568"/>
      <c r="F47" s="568"/>
      <c r="G47" s="568"/>
      <c r="H47" s="569">
        <f t="shared" si="2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3"/>
        <v>43160</v>
      </c>
      <c r="P47" s="103">
        <f t="shared" si="4"/>
        <v>43190</v>
      </c>
    </row>
    <row r="48" spans="1:20" s="5" customFormat="1" ht="17.100000000000001" customHeight="1">
      <c r="A48" s="104">
        <f t="shared" si="7"/>
        <v>9</v>
      </c>
      <c r="B48" s="567" t="str">
        <f t="shared" si="5"/>
        <v>Tháng 04/2018</v>
      </c>
      <c r="C48" s="567"/>
      <c r="D48" s="568" t="str">
        <f t="shared" si="6"/>
        <v>Cốt thép gờ lan can đổ tại chỗ D&gt;18mm</v>
      </c>
      <c r="E48" s="568"/>
      <c r="F48" s="568"/>
      <c r="G48" s="568"/>
      <c r="H48" s="569">
        <f t="shared" si="2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3"/>
        <v>43191</v>
      </c>
      <c r="P48" s="103">
        <f t="shared" si="4"/>
        <v>43220</v>
      </c>
    </row>
    <row r="49" spans="1:16" s="5" customFormat="1" ht="17.100000000000001" customHeight="1">
      <c r="A49" s="104">
        <f t="shared" si="7"/>
        <v>10</v>
      </c>
      <c r="B49" s="567" t="str">
        <f t="shared" si="5"/>
        <v>Tháng 05/2018</v>
      </c>
      <c r="C49" s="567"/>
      <c r="D49" s="568" t="str">
        <f t="shared" si="6"/>
        <v>Cốt thép gờ lan can đổ tại chỗ D&gt;18mm</v>
      </c>
      <c r="E49" s="568"/>
      <c r="F49" s="568"/>
      <c r="G49" s="568"/>
      <c r="H49" s="569">
        <f t="shared" si="2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3"/>
        <v>43221</v>
      </c>
      <c r="P49" s="103">
        <f t="shared" si="4"/>
        <v>43251</v>
      </c>
    </row>
    <row r="50" spans="1:16" s="5" customFormat="1" ht="17.100000000000001" customHeight="1">
      <c r="A50" s="104">
        <f t="shared" si="7"/>
        <v>11</v>
      </c>
      <c r="B50" s="567" t="str">
        <f t="shared" si="5"/>
        <v>Tháng 06/2018</v>
      </c>
      <c r="C50" s="567"/>
      <c r="D50" s="568" t="str">
        <f t="shared" si="6"/>
        <v>Cốt thép gờ lan can đổ tại chỗ D&gt;18mm</v>
      </c>
      <c r="E50" s="568"/>
      <c r="F50" s="568"/>
      <c r="G50" s="568"/>
      <c r="H50" s="569">
        <f t="shared" si="2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3"/>
        <v>43252</v>
      </c>
      <c r="P50" s="103">
        <f t="shared" si="4"/>
        <v>43281</v>
      </c>
    </row>
    <row r="51" spans="1:16" s="5" customFormat="1" ht="17.100000000000001" customHeight="1">
      <c r="A51" s="104">
        <f t="shared" si="7"/>
        <v>12</v>
      </c>
      <c r="B51" s="567" t="str">
        <f t="shared" si="5"/>
        <v>Tháng 07/2018</v>
      </c>
      <c r="C51" s="567"/>
      <c r="D51" s="568" t="str">
        <f t="shared" si="6"/>
        <v>Cốt thép gờ lan can đổ tại chỗ D&gt;18mm</v>
      </c>
      <c r="E51" s="568"/>
      <c r="F51" s="568"/>
      <c r="G51" s="568"/>
      <c r="H51" s="569">
        <f t="shared" si="2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3"/>
        <v>43282</v>
      </c>
      <c r="P51" s="103">
        <f t="shared" si="4"/>
        <v>43312</v>
      </c>
    </row>
    <row r="52" spans="1:16" s="5" customFormat="1" ht="17.100000000000001" customHeight="1">
      <c r="A52" s="104">
        <f t="shared" si="7"/>
        <v>13</v>
      </c>
      <c r="B52" s="567" t="str">
        <f t="shared" si="5"/>
        <v>Tháng 08/2018</v>
      </c>
      <c r="C52" s="567"/>
      <c r="D52" s="568" t="str">
        <f t="shared" si="6"/>
        <v>Cốt thép gờ lan can đổ tại chỗ D&gt;18mm</v>
      </c>
      <c r="E52" s="568"/>
      <c r="F52" s="568"/>
      <c r="G52" s="568"/>
      <c r="H52" s="569">
        <f t="shared" si="2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3"/>
        <v>43313</v>
      </c>
      <c r="P52" s="103">
        <f t="shared" si="4"/>
        <v>43343</v>
      </c>
    </row>
    <row r="53" spans="1:16" s="5" customFormat="1" ht="17.100000000000001" customHeight="1">
      <c r="A53" s="104">
        <f t="shared" si="7"/>
        <v>14</v>
      </c>
      <c r="B53" s="567" t="str">
        <f t="shared" si="5"/>
        <v>Tháng 09/2018</v>
      </c>
      <c r="C53" s="567"/>
      <c r="D53" s="568" t="str">
        <f t="shared" si="6"/>
        <v>Cốt thép gờ lan can đổ tại chỗ D&gt;18mm</v>
      </c>
      <c r="E53" s="568"/>
      <c r="F53" s="568"/>
      <c r="G53" s="568"/>
      <c r="H53" s="569">
        <f t="shared" si="2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3"/>
        <v>43344</v>
      </c>
      <c r="P53" s="103">
        <f t="shared" si="4"/>
        <v>43373</v>
      </c>
    </row>
    <row r="54" spans="1:16" s="5" customFormat="1" ht="17.100000000000001" customHeight="1">
      <c r="A54" s="104">
        <f t="shared" si="7"/>
        <v>15</v>
      </c>
      <c r="B54" s="567" t="str">
        <f t="shared" si="5"/>
        <v>Tháng 10/2018</v>
      </c>
      <c r="C54" s="567"/>
      <c r="D54" s="568" t="str">
        <f t="shared" si="6"/>
        <v>Cốt thép gờ lan can đổ tại chỗ D&gt;18mm</v>
      </c>
      <c r="E54" s="568"/>
      <c r="F54" s="568"/>
      <c r="G54" s="568"/>
      <c r="H54" s="569">
        <f t="shared" si="2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3"/>
        <v>43374</v>
      </c>
      <c r="P54" s="103">
        <f t="shared" si="4"/>
        <v>43404</v>
      </c>
    </row>
    <row r="55" spans="1:16" s="5" customFormat="1" ht="17.100000000000001" customHeight="1">
      <c r="A55" s="104">
        <f t="shared" si="7"/>
        <v>16</v>
      </c>
      <c r="B55" s="567" t="str">
        <f t="shared" si="5"/>
        <v>Tháng 11/2018</v>
      </c>
      <c r="C55" s="567"/>
      <c r="D55" s="568" t="str">
        <f t="shared" si="6"/>
        <v>Cốt thép gờ lan can đổ tại chỗ D&gt;18mm</v>
      </c>
      <c r="E55" s="568"/>
      <c r="F55" s="568"/>
      <c r="G55" s="568"/>
      <c r="H55" s="569">
        <f t="shared" si="2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3"/>
        <v>43405</v>
      </c>
      <c r="P55" s="103">
        <f t="shared" si="4"/>
        <v>43434</v>
      </c>
    </row>
    <row r="56" spans="1:16" s="5" customFormat="1" ht="17.100000000000001" customHeight="1">
      <c r="A56" s="104">
        <f t="shared" si="7"/>
        <v>17</v>
      </c>
      <c r="B56" s="567" t="str">
        <f t="shared" si="5"/>
        <v>Tháng 12/2018</v>
      </c>
      <c r="C56" s="567"/>
      <c r="D56" s="568" t="str">
        <f t="shared" si="6"/>
        <v>Cốt thép gờ lan can đổ tại chỗ D&gt;18mm</v>
      </c>
      <c r="E56" s="568"/>
      <c r="F56" s="568"/>
      <c r="G56" s="568"/>
      <c r="H56" s="569">
        <f t="shared" si="2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3"/>
        <v>43435</v>
      </c>
      <c r="P56" s="103">
        <f t="shared" si="4"/>
        <v>43465</v>
      </c>
    </row>
    <row r="57" spans="1:16" s="5" customFormat="1" ht="17.100000000000001" customHeight="1">
      <c r="A57" s="104">
        <f t="shared" si="7"/>
        <v>18</v>
      </c>
      <c r="B57" s="567" t="str">
        <f t="shared" si="5"/>
        <v>Tháng 01/2019</v>
      </c>
      <c r="C57" s="567"/>
      <c r="D57" s="568" t="str">
        <f t="shared" si="6"/>
        <v>Cốt thép gờ lan can đổ tại chỗ D&gt;18mm</v>
      </c>
      <c r="E57" s="568"/>
      <c r="F57" s="568"/>
      <c r="G57" s="568"/>
      <c r="H57" s="569">
        <f t="shared" si="2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3"/>
        <v>43466</v>
      </c>
      <c r="P57" s="103">
        <f t="shared" si="4"/>
        <v>43496</v>
      </c>
    </row>
    <row r="58" spans="1:16" s="5" customFormat="1" ht="17.100000000000001" customHeight="1">
      <c r="A58" s="104">
        <f t="shared" si="7"/>
        <v>19</v>
      </c>
      <c r="B58" s="567" t="str">
        <f t="shared" si="5"/>
        <v>Tháng 02/2019</v>
      </c>
      <c r="C58" s="567"/>
      <c r="D58" s="568" t="str">
        <f t="shared" si="6"/>
        <v>Cốt thép gờ lan can đổ tại chỗ D&gt;18mm</v>
      </c>
      <c r="E58" s="568"/>
      <c r="F58" s="568"/>
      <c r="G58" s="568"/>
      <c r="H58" s="569">
        <f t="shared" si="2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3"/>
        <v>43497</v>
      </c>
      <c r="P58" s="103">
        <f t="shared" si="4"/>
        <v>43524</v>
      </c>
    </row>
    <row r="59" spans="1:16" s="5" customFormat="1" ht="17.100000000000001" customHeight="1">
      <c r="A59" s="104">
        <f t="shared" si="7"/>
        <v>20</v>
      </c>
      <c r="B59" s="567" t="str">
        <f t="shared" si="5"/>
        <v>Tháng 03/2019</v>
      </c>
      <c r="C59" s="567"/>
      <c r="D59" s="568" t="str">
        <f t="shared" si="6"/>
        <v>Cốt thép gờ lan can đổ tại chỗ D&gt;18mm</v>
      </c>
      <c r="E59" s="568"/>
      <c r="F59" s="568"/>
      <c r="G59" s="568"/>
      <c r="H59" s="569">
        <f t="shared" si="2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3"/>
        <v>43525</v>
      </c>
      <c r="P59" s="103">
        <f t="shared" si="4"/>
        <v>43555</v>
      </c>
    </row>
    <row r="60" spans="1:16" s="5" customFormat="1" ht="17.100000000000001" customHeight="1">
      <c r="A60" s="104">
        <f t="shared" si="7"/>
        <v>21</v>
      </c>
      <c r="B60" s="567" t="str">
        <f t="shared" si="5"/>
        <v>Tháng 04/2019</v>
      </c>
      <c r="C60" s="567"/>
      <c r="D60" s="568" t="str">
        <f t="shared" si="6"/>
        <v>Cốt thép gờ lan can đổ tại chỗ D&gt;18mm</v>
      </c>
      <c r="E60" s="568"/>
      <c r="F60" s="568"/>
      <c r="G60" s="568"/>
      <c r="H60" s="569">
        <f t="shared" si="2"/>
        <v>1.724</v>
      </c>
      <c r="I60" s="569"/>
      <c r="J60" s="567"/>
      <c r="K60" s="570"/>
      <c r="L60">
        <v>4</v>
      </c>
      <c r="M60" s="101">
        <v>2019</v>
      </c>
      <c r="N60"/>
      <c r="O60" s="103">
        <f t="shared" si="3"/>
        <v>43556</v>
      </c>
      <c r="P60" s="103">
        <f t="shared" si="4"/>
        <v>43585</v>
      </c>
    </row>
    <row r="61" spans="1:16" s="5" customFormat="1" ht="17.100000000000001" customHeight="1">
      <c r="A61" s="104">
        <f t="shared" si="7"/>
        <v>22</v>
      </c>
      <c r="B61" s="567" t="str">
        <f t="shared" si="5"/>
        <v>Tháng 05/2019</v>
      </c>
      <c r="C61" s="567"/>
      <c r="D61" s="568" t="str">
        <f t="shared" si="6"/>
        <v>Cốt thép gờ lan can đổ tại chỗ D&gt;18mm</v>
      </c>
      <c r="E61" s="568"/>
      <c r="F61" s="568"/>
      <c r="G61" s="568"/>
      <c r="H61" s="569">
        <f t="shared" si="2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3"/>
        <v>43586</v>
      </c>
      <c r="P61" s="103">
        <f t="shared" si="4"/>
        <v>43616</v>
      </c>
    </row>
    <row r="62" spans="1:16" s="5" customFormat="1" ht="17.100000000000001" customHeight="1">
      <c r="A62" s="104">
        <f t="shared" si="7"/>
        <v>23</v>
      </c>
      <c r="B62" s="567" t="str">
        <f t="shared" si="5"/>
        <v>Tháng 06/2019</v>
      </c>
      <c r="C62" s="567"/>
      <c r="D62" s="568" t="str">
        <f t="shared" si="6"/>
        <v>Cốt thép gờ lan can đổ tại chỗ D&gt;18mm</v>
      </c>
      <c r="E62" s="568"/>
      <c r="F62" s="568"/>
      <c r="G62" s="568"/>
      <c r="H62" s="569">
        <f t="shared" si="2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3"/>
        <v>43617</v>
      </c>
      <c r="P62" s="103">
        <f t="shared" si="4"/>
        <v>43646</v>
      </c>
    </row>
    <row r="63" spans="1:16" s="5" customFormat="1" ht="17.100000000000001" customHeight="1">
      <c r="A63" s="104">
        <f t="shared" si="7"/>
        <v>24</v>
      </c>
      <c r="B63" s="567" t="str">
        <f t="shared" si="5"/>
        <v>Tháng 07/2019</v>
      </c>
      <c r="C63" s="567"/>
      <c r="D63" s="568" t="str">
        <f t="shared" si="6"/>
        <v>Cốt thép gờ lan can đổ tại chỗ D&gt;18mm</v>
      </c>
      <c r="E63" s="568"/>
      <c r="F63" s="568"/>
      <c r="G63" s="568"/>
      <c r="H63" s="569">
        <f t="shared" si="2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3"/>
        <v>43647</v>
      </c>
      <c r="P63" s="103">
        <f t="shared" si="4"/>
        <v>43677</v>
      </c>
    </row>
    <row r="64" spans="1:16" s="5" customFormat="1" ht="17.100000000000001" customHeight="1">
      <c r="A64" s="104">
        <f t="shared" si="7"/>
        <v>25</v>
      </c>
      <c r="B64" s="567" t="str">
        <f t="shared" si="5"/>
        <v>Tháng 08/2019</v>
      </c>
      <c r="C64" s="567"/>
      <c r="D64" s="568" t="str">
        <f t="shared" si="6"/>
        <v>Cốt thép gờ lan can đổ tại chỗ D&gt;18mm</v>
      </c>
      <c r="E64" s="568"/>
      <c r="F64" s="568"/>
      <c r="G64" s="568"/>
      <c r="H64" s="569">
        <f t="shared" ref="H64:H65" si="8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3"/>
        <v>43678</v>
      </c>
      <c r="P64" s="103">
        <f t="shared" si="4"/>
        <v>43708</v>
      </c>
    </row>
    <row r="65" spans="1:20" s="5" customFormat="1" ht="17.100000000000001" customHeight="1">
      <c r="A65" s="104">
        <f t="shared" si="7"/>
        <v>26</v>
      </c>
      <c r="B65" s="616" t="str">
        <f t="shared" si="5"/>
        <v>Tháng 09/2019</v>
      </c>
      <c r="C65" s="616"/>
      <c r="D65" s="652" t="str">
        <f>D63</f>
        <v>Cốt thép gờ lan can đổ tại chỗ D&gt;18mm</v>
      </c>
      <c r="E65" s="652"/>
      <c r="F65" s="652"/>
      <c r="G65" s="652"/>
      <c r="H65" s="615">
        <f t="shared" si="8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9">SUM(H40:I65)</f>
        <v>1.724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49">
    <mergeCell ref="I9:I11"/>
    <mergeCell ref="J9:J11"/>
    <mergeCell ref="K9:K11"/>
    <mergeCell ref="C12:E12"/>
    <mergeCell ref="C16:E16"/>
    <mergeCell ref="A17:E17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5:C65"/>
    <mergeCell ref="D65:G65"/>
    <mergeCell ref="H65:I65"/>
    <mergeCell ref="J65:K65"/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rgb="FF92D050"/>
  </sheetPr>
  <dimension ref="A1:T77"/>
  <sheetViews>
    <sheetView topLeftCell="A11" zoomScaleSheetLayoutView="100" workbookViewId="0">
      <selection activeCell="F12" sqref="F1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C.I.2.2. Lan can, dải phân cách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394</v>
      </c>
      <c r="N5" s="245" t="str">
        <f>'PHAN KHAI'!C36</f>
        <v>Lan can, dải phân cách</v>
      </c>
      <c r="Q5" s="17"/>
    </row>
    <row r="6" spans="1:20" s="16" customFormat="1" ht="15.75" customHeight="1">
      <c r="A6" s="91" t="str">
        <f>L6&amp;M6&amp;". "&amp;N6</f>
        <v>Mục C.I.2.2.10. Lắp đặt lan can đúc sẵn bằng cần cẩu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C.I.2.2.</v>
      </c>
      <c r="M6" s="16">
        <v>10</v>
      </c>
      <c r="N6" s="245" t="str">
        <f>THKLQT!C58</f>
        <v>Lắp đặt lan can đúc sẵn bằng cần cẩu</v>
      </c>
      <c r="Q6" s="17"/>
    </row>
    <row r="7" spans="1:20" s="178" customFormat="1" ht="18.75" customHeight="1">
      <c r="A7" s="634">
        <f>I17</f>
        <v>48</v>
      </c>
      <c r="B7" s="635"/>
      <c r="C7" s="635"/>
      <c r="D7" s="635"/>
      <c r="E7" s="106" t="str">
        <f>"("&amp;L7&amp;")"</f>
        <v>(cái)</v>
      </c>
      <c r="F7" s="113"/>
      <c r="G7" s="113"/>
      <c r="H7" s="113"/>
      <c r="I7" s="113"/>
      <c r="J7" s="113"/>
      <c r="K7" s="114"/>
      <c r="L7" s="26" t="str">
        <f>THKLQT!D58</f>
        <v>cái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43568</v>
      </c>
      <c r="C12" s="571" t="str">
        <f t="shared" ref="C12:C15" si="0">T12</f>
        <v>Lắp đặt lan can đúc sẵn bằng cần cẩu Phải tuyến</v>
      </c>
      <c r="D12" s="572"/>
      <c r="E12" s="573"/>
      <c r="F12" s="2">
        <f>P12</f>
        <v>15</v>
      </c>
      <c r="G12" s="1">
        <f>P12</f>
        <v>15</v>
      </c>
      <c r="H12" s="381">
        <f>P12</f>
        <v>15</v>
      </c>
      <c r="I12" s="107">
        <f>P12</f>
        <v>15</v>
      </c>
      <c r="J12" s="107">
        <f>P12</f>
        <v>15</v>
      </c>
      <c r="K12" s="700" t="s">
        <v>677</v>
      </c>
      <c r="L12" s="4" t="s">
        <v>757</v>
      </c>
      <c r="N12" s="118"/>
      <c r="O12" s="118" t="s">
        <v>395</v>
      </c>
      <c r="P12" s="88">
        <v>15</v>
      </c>
      <c r="Q12" s="89">
        <v>43568</v>
      </c>
      <c r="R12" s="88"/>
      <c r="S12" s="88" t="e">
        <f>VLOOKUP($S$11,hamchuigoi3,M12,0)</f>
        <v>#VALUE!</v>
      </c>
      <c r="T12" s="3" t="str">
        <f t="shared" ref="T12" si="1">$N$6&amp;" "&amp;O12</f>
        <v>Lắp đặt lan can đúc sẵn bằng cần cẩu Phải tuyến</v>
      </c>
    </row>
    <row r="13" spans="1:20" ht="14.25" outlineLevel="2">
      <c r="A13" s="81">
        <f>SUBTOTAL(103,$B$12:B13)</f>
        <v>2</v>
      </c>
      <c r="B13" s="78">
        <f>Q13</f>
        <v>43569</v>
      </c>
      <c r="C13" s="571" t="str">
        <f t="shared" si="0"/>
        <v>Lắp đặt lan can đúc sẵn bằng cần cẩu Trái tuyến</v>
      </c>
      <c r="D13" s="572"/>
      <c r="E13" s="573"/>
      <c r="F13" s="2">
        <f>P13</f>
        <v>15</v>
      </c>
      <c r="G13" s="1">
        <f>P13</f>
        <v>15</v>
      </c>
      <c r="H13" s="381">
        <f>P13</f>
        <v>15</v>
      </c>
      <c r="I13" s="107">
        <f>P13</f>
        <v>15</v>
      </c>
      <c r="J13" s="107">
        <f>P13</f>
        <v>15</v>
      </c>
      <c r="K13" s="701"/>
      <c r="N13" s="118"/>
      <c r="O13" s="118" t="s">
        <v>396</v>
      </c>
      <c r="P13" s="88">
        <v>15</v>
      </c>
      <c r="Q13" s="89">
        <v>43569</v>
      </c>
      <c r="R13" s="88"/>
      <c r="S13" s="88" t="e">
        <f>VLOOKUP($S$11,hamchuigoi3,M13,0)</f>
        <v>#VALUE!</v>
      </c>
      <c r="T13" s="3" t="str">
        <f t="shared" ref="T13:T15" si="2">$N$6&amp;" "&amp;O13</f>
        <v>Lắp đặt lan can đúc sẵn bằng cần cẩu Trái tuyến</v>
      </c>
    </row>
    <row r="14" spans="1:20" ht="24.75" customHeight="1" outlineLevel="2">
      <c r="A14" s="81">
        <f>SUBTOTAL(103,$B$12:B14)</f>
        <v>3</v>
      </c>
      <c r="B14" s="78">
        <f>Q14</f>
        <v>43570</v>
      </c>
      <c r="C14" s="571" t="str">
        <f t="shared" si="0"/>
        <v>Lắp đặt lan can đúc sẵn bằng cần cẩu dải phân cách phải tuyến</v>
      </c>
      <c r="D14" s="572"/>
      <c r="E14" s="573"/>
      <c r="F14" s="2">
        <f>P14</f>
        <v>9</v>
      </c>
      <c r="G14" s="1">
        <f>P14</f>
        <v>9</v>
      </c>
      <c r="H14" s="381">
        <f>P14</f>
        <v>9</v>
      </c>
      <c r="I14" s="107">
        <f>P14</f>
        <v>9</v>
      </c>
      <c r="J14" s="107">
        <f>P14</f>
        <v>9</v>
      </c>
      <c r="K14" s="701"/>
      <c r="N14" s="118"/>
      <c r="O14" s="118" t="s">
        <v>756</v>
      </c>
      <c r="P14" s="88">
        <v>9</v>
      </c>
      <c r="Q14" s="89">
        <v>43570</v>
      </c>
      <c r="R14" s="88"/>
      <c r="S14" s="88" t="e">
        <f>VLOOKUP($S$11,hamchuigoi3,M14,0)</f>
        <v>#VALUE!</v>
      </c>
      <c r="T14" s="3" t="str">
        <f t="shared" si="2"/>
        <v>Lắp đặt lan can đúc sẵn bằng cần cẩu dải phân cách phải tuyến</v>
      </c>
    </row>
    <row r="15" spans="1:20" ht="24.75" customHeight="1" outlineLevel="2">
      <c r="A15" s="81">
        <f>SUBTOTAL(103,$B$12:B15)</f>
        <v>4</v>
      </c>
      <c r="B15" s="78">
        <f>Q15</f>
        <v>43571</v>
      </c>
      <c r="C15" s="571" t="str">
        <f t="shared" si="0"/>
        <v>Lắp đặt lan can đúc sẵn bằng cần cẩu dải phân cách giữa trái tuyến</v>
      </c>
      <c r="D15" s="572"/>
      <c r="E15" s="573"/>
      <c r="F15" s="2">
        <f>P15</f>
        <v>9</v>
      </c>
      <c r="G15" s="1">
        <f>P15</f>
        <v>9</v>
      </c>
      <c r="H15" s="381">
        <f>P15</f>
        <v>9</v>
      </c>
      <c r="I15" s="107">
        <f>P15</f>
        <v>9</v>
      </c>
      <c r="J15" s="107">
        <f>P15</f>
        <v>9</v>
      </c>
      <c r="K15" s="702"/>
      <c r="N15" s="118"/>
      <c r="O15" s="118" t="s">
        <v>755</v>
      </c>
      <c r="P15" s="88">
        <v>9</v>
      </c>
      <c r="Q15" s="89">
        <v>43571</v>
      </c>
      <c r="R15" s="88"/>
      <c r="S15" s="88" t="e">
        <f>VLOOKUP($S$11,hamchuigoi3,M15,0)</f>
        <v>#VALUE!</v>
      </c>
      <c r="T15" s="3" t="str">
        <f t="shared" si="2"/>
        <v>Lắp đặt lan can đúc sẵn bằng cần cẩu dải phân cách giữa trái tuyến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48</v>
      </c>
      <c r="G17" s="79">
        <f>ROUND(SUM(G12:G16),2)</f>
        <v>48</v>
      </c>
      <c r="H17" s="79">
        <f>ROUND(SUM(H12:H16),2)</f>
        <v>48</v>
      </c>
      <c r="I17" s="79">
        <f>ROUND(SUM(I12:I16),2)</f>
        <v>48</v>
      </c>
      <c r="J17" s="79">
        <f>ROUND(SUM(J12:J16),2)</f>
        <v>48</v>
      </c>
      <c r="K17" s="80"/>
      <c r="N17" s="118"/>
      <c r="O17" s="118"/>
      <c r="P17" s="90">
        <f>SUM(P12:P12)</f>
        <v>15</v>
      </c>
    </row>
    <row r="18" spans="1:20" s="175" customFormat="1" ht="18" customHeight="1" thickTop="1" thickBot="1">
      <c r="A18" s="253"/>
      <c r="B18" s="253"/>
      <c r="C18" s="253"/>
      <c r="D18" s="253"/>
      <c r="E18" s="253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>
        <v>906</v>
      </c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>
        <v>360</v>
      </c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348</v>
      </c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f>+M20-M21</f>
        <v>546</v>
      </c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53"/>
      <c r="B28" s="253"/>
      <c r="C28" s="253"/>
      <c r="D28" s="253"/>
      <c r="E28" s="253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4" t="str">
        <f>A5</f>
        <v>Hạng mục C.I.2.2. Lan can, dải phân cách</v>
      </c>
      <c r="B34" s="255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4" t="str">
        <f>A6</f>
        <v>Mục C.I.2.2.10. Lắp đặt lan can đúc sẵn bằng cần cẩu</v>
      </c>
      <c r="B35" s="255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48</v>
      </c>
      <c r="B36" s="640"/>
      <c r="C36" s="640"/>
      <c r="D36" s="640"/>
      <c r="E36" s="131" t="str">
        <f>E7</f>
        <v>(cái)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Lắp đặt lan can đúc sẵn bằng cần cẩu</v>
      </c>
      <c r="E40" s="624"/>
      <c r="F40" s="624"/>
      <c r="G40" s="624"/>
      <c r="H40" s="625">
        <f t="shared" ref="H40:H63" si="3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4">DATE(M40,L40,1)</f>
        <v>42948</v>
      </c>
      <c r="P40" s="103">
        <f t="shared" ref="P40:P64" si="5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6">"Tháng "&amp;IF(L41&lt;10,0&amp;L41&amp;"/"&amp;M41,L41&amp;"/"&amp;M41)</f>
        <v>Tháng 09/2017</v>
      </c>
      <c r="C41" s="567"/>
      <c r="D41" s="568" t="str">
        <f>D40</f>
        <v>Lắp đặt lan can đúc sẵn bằng cần cẩu</v>
      </c>
      <c r="E41" s="568"/>
      <c r="F41" s="568"/>
      <c r="G41" s="568"/>
      <c r="H41" s="569">
        <f t="shared" si="3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4"/>
        <v>42979</v>
      </c>
      <c r="P41" s="103">
        <f t="shared" si="5"/>
        <v>43008</v>
      </c>
    </row>
    <row r="42" spans="1:20" s="5" customFormat="1" ht="17.100000000000001" customHeight="1">
      <c r="A42" s="104">
        <f>A41+1</f>
        <v>3</v>
      </c>
      <c r="B42" s="567" t="str">
        <f t="shared" si="6"/>
        <v>Tháng 10/2017</v>
      </c>
      <c r="C42" s="567"/>
      <c r="D42" s="568" t="str">
        <f t="shared" ref="D42:D64" si="7">D41</f>
        <v>Lắp đặt lan can đúc sẵn bằng cần cẩu</v>
      </c>
      <c r="E42" s="568"/>
      <c r="F42" s="568"/>
      <c r="G42" s="568"/>
      <c r="H42" s="569">
        <f t="shared" si="3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4"/>
        <v>43009</v>
      </c>
      <c r="P42" s="103">
        <f t="shared" si="5"/>
        <v>43039</v>
      </c>
    </row>
    <row r="43" spans="1:20" s="5" customFormat="1" ht="17.100000000000001" customHeight="1">
      <c r="A43" s="104">
        <f t="shared" ref="A43:A65" si="8">A42+1</f>
        <v>4</v>
      </c>
      <c r="B43" s="567" t="str">
        <f t="shared" si="6"/>
        <v>Tháng 11/2017</v>
      </c>
      <c r="C43" s="567"/>
      <c r="D43" s="568" t="str">
        <f t="shared" si="7"/>
        <v>Lắp đặt lan can đúc sẵn bằng cần cẩu</v>
      </c>
      <c r="E43" s="568"/>
      <c r="F43" s="568"/>
      <c r="G43" s="568"/>
      <c r="H43" s="569">
        <f t="shared" si="3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4"/>
        <v>43040</v>
      </c>
      <c r="P43" s="103">
        <f t="shared" si="5"/>
        <v>43069</v>
      </c>
    </row>
    <row r="44" spans="1:20" s="5" customFormat="1" ht="17.100000000000001" customHeight="1">
      <c r="A44" s="104">
        <f t="shared" si="8"/>
        <v>5</v>
      </c>
      <c r="B44" s="567" t="str">
        <f t="shared" si="6"/>
        <v>Tháng 12/2017</v>
      </c>
      <c r="C44" s="567"/>
      <c r="D44" s="568" t="str">
        <f t="shared" si="7"/>
        <v>Lắp đặt lan can đúc sẵn bằng cần cẩu</v>
      </c>
      <c r="E44" s="568"/>
      <c r="F44" s="568"/>
      <c r="G44" s="568"/>
      <c r="H44" s="569">
        <f t="shared" si="3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4"/>
        <v>43070</v>
      </c>
      <c r="P44" s="103">
        <f t="shared" si="5"/>
        <v>43100</v>
      </c>
    </row>
    <row r="45" spans="1:20" s="5" customFormat="1" ht="17.100000000000001" customHeight="1">
      <c r="A45" s="104">
        <f t="shared" si="8"/>
        <v>6</v>
      </c>
      <c r="B45" s="567" t="str">
        <f t="shared" si="6"/>
        <v>Tháng 01/2018</v>
      </c>
      <c r="C45" s="567"/>
      <c r="D45" s="568" t="str">
        <f t="shared" si="7"/>
        <v>Lắp đặt lan can đúc sẵn bằng cần cẩu</v>
      </c>
      <c r="E45" s="568"/>
      <c r="F45" s="568"/>
      <c r="G45" s="568"/>
      <c r="H45" s="569">
        <f t="shared" si="3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4"/>
        <v>43101</v>
      </c>
      <c r="P45" s="103">
        <f t="shared" si="5"/>
        <v>43131</v>
      </c>
    </row>
    <row r="46" spans="1:20" s="5" customFormat="1" ht="17.100000000000001" customHeight="1">
      <c r="A46" s="104">
        <f t="shared" si="8"/>
        <v>7</v>
      </c>
      <c r="B46" s="567" t="str">
        <f t="shared" si="6"/>
        <v>Tháng 02/2018</v>
      </c>
      <c r="C46" s="567"/>
      <c r="D46" s="568" t="str">
        <f t="shared" si="7"/>
        <v>Lắp đặt lan can đúc sẵn bằng cần cẩu</v>
      </c>
      <c r="E46" s="568"/>
      <c r="F46" s="568"/>
      <c r="G46" s="568"/>
      <c r="H46" s="569">
        <f t="shared" si="3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4"/>
        <v>43132</v>
      </c>
      <c r="P46" s="103">
        <f t="shared" si="5"/>
        <v>43159</v>
      </c>
    </row>
    <row r="47" spans="1:20" s="5" customFormat="1" ht="17.100000000000001" customHeight="1">
      <c r="A47" s="104">
        <f t="shared" si="8"/>
        <v>8</v>
      </c>
      <c r="B47" s="567" t="str">
        <f t="shared" si="6"/>
        <v>Tháng 03/2018</v>
      </c>
      <c r="C47" s="567"/>
      <c r="D47" s="568" t="str">
        <f t="shared" si="7"/>
        <v>Lắp đặt lan can đúc sẵn bằng cần cẩu</v>
      </c>
      <c r="E47" s="568"/>
      <c r="F47" s="568"/>
      <c r="G47" s="568"/>
      <c r="H47" s="569">
        <f t="shared" si="3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4"/>
        <v>43160</v>
      </c>
      <c r="P47" s="103">
        <f t="shared" si="5"/>
        <v>43190</v>
      </c>
    </row>
    <row r="48" spans="1:20" s="5" customFormat="1" ht="17.100000000000001" customHeight="1">
      <c r="A48" s="104">
        <f t="shared" si="8"/>
        <v>9</v>
      </c>
      <c r="B48" s="567" t="str">
        <f t="shared" si="6"/>
        <v>Tháng 04/2018</v>
      </c>
      <c r="C48" s="567"/>
      <c r="D48" s="568" t="str">
        <f t="shared" si="7"/>
        <v>Lắp đặt lan can đúc sẵn bằng cần cẩu</v>
      </c>
      <c r="E48" s="568"/>
      <c r="F48" s="568"/>
      <c r="G48" s="568"/>
      <c r="H48" s="569">
        <f t="shared" si="3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4"/>
        <v>43191</v>
      </c>
      <c r="P48" s="103">
        <f t="shared" si="5"/>
        <v>43220</v>
      </c>
    </row>
    <row r="49" spans="1:16" s="5" customFormat="1" ht="17.100000000000001" customHeight="1">
      <c r="A49" s="104">
        <f t="shared" si="8"/>
        <v>10</v>
      </c>
      <c r="B49" s="567" t="str">
        <f t="shared" si="6"/>
        <v>Tháng 05/2018</v>
      </c>
      <c r="C49" s="567"/>
      <c r="D49" s="568" t="str">
        <f t="shared" si="7"/>
        <v>Lắp đặt lan can đúc sẵn bằng cần cẩu</v>
      </c>
      <c r="E49" s="568"/>
      <c r="F49" s="568"/>
      <c r="G49" s="568"/>
      <c r="H49" s="569">
        <f t="shared" si="3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4"/>
        <v>43221</v>
      </c>
      <c r="P49" s="103">
        <f t="shared" si="5"/>
        <v>43251</v>
      </c>
    </row>
    <row r="50" spans="1:16" s="5" customFormat="1" ht="17.100000000000001" customHeight="1">
      <c r="A50" s="104">
        <f t="shared" si="8"/>
        <v>11</v>
      </c>
      <c r="B50" s="567" t="str">
        <f t="shared" si="6"/>
        <v>Tháng 06/2018</v>
      </c>
      <c r="C50" s="567"/>
      <c r="D50" s="568" t="str">
        <f t="shared" si="7"/>
        <v>Lắp đặt lan can đúc sẵn bằng cần cẩu</v>
      </c>
      <c r="E50" s="568"/>
      <c r="F50" s="568"/>
      <c r="G50" s="568"/>
      <c r="H50" s="569">
        <f t="shared" si="3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4"/>
        <v>43252</v>
      </c>
      <c r="P50" s="103">
        <f t="shared" si="5"/>
        <v>43281</v>
      </c>
    </row>
    <row r="51" spans="1:16" s="5" customFormat="1" ht="17.100000000000001" customHeight="1">
      <c r="A51" s="104">
        <f t="shared" si="8"/>
        <v>12</v>
      </c>
      <c r="B51" s="567" t="str">
        <f t="shared" si="6"/>
        <v>Tháng 07/2018</v>
      </c>
      <c r="C51" s="567"/>
      <c r="D51" s="568" t="str">
        <f t="shared" si="7"/>
        <v>Lắp đặt lan can đúc sẵn bằng cần cẩu</v>
      </c>
      <c r="E51" s="568"/>
      <c r="F51" s="568"/>
      <c r="G51" s="568"/>
      <c r="H51" s="569">
        <f t="shared" si="3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4"/>
        <v>43282</v>
      </c>
      <c r="P51" s="103">
        <f t="shared" si="5"/>
        <v>43312</v>
      </c>
    </row>
    <row r="52" spans="1:16" s="5" customFormat="1" ht="17.100000000000001" customHeight="1">
      <c r="A52" s="104">
        <f t="shared" si="8"/>
        <v>13</v>
      </c>
      <c r="B52" s="567" t="str">
        <f t="shared" si="6"/>
        <v>Tháng 08/2018</v>
      </c>
      <c r="C52" s="567"/>
      <c r="D52" s="568" t="str">
        <f t="shared" si="7"/>
        <v>Lắp đặt lan can đúc sẵn bằng cần cẩu</v>
      </c>
      <c r="E52" s="568"/>
      <c r="F52" s="568"/>
      <c r="G52" s="568"/>
      <c r="H52" s="569">
        <f t="shared" si="3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4"/>
        <v>43313</v>
      </c>
      <c r="P52" s="103">
        <f t="shared" si="5"/>
        <v>43343</v>
      </c>
    </row>
    <row r="53" spans="1:16" s="5" customFormat="1" ht="17.100000000000001" customHeight="1">
      <c r="A53" s="104">
        <f t="shared" si="8"/>
        <v>14</v>
      </c>
      <c r="B53" s="567" t="str">
        <f t="shared" si="6"/>
        <v>Tháng 09/2018</v>
      </c>
      <c r="C53" s="567"/>
      <c r="D53" s="568" t="str">
        <f t="shared" si="7"/>
        <v>Lắp đặt lan can đúc sẵn bằng cần cẩu</v>
      </c>
      <c r="E53" s="568"/>
      <c r="F53" s="568"/>
      <c r="G53" s="568"/>
      <c r="H53" s="569">
        <f t="shared" si="3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4"/>
        <v>43344</v>
      </c>
      <c r="P53" s="103">
        <f t="shared" si="5"/>
        <v>43373</v>
      </c>
    </row>
    <row r="54" spans="1:16" s="5" customFormat="1" ht="17.100000000000001" customHeight="1">
      <c r="A54" s="104">
        <f t="shared" si="8"/>
        <v>15</v>
      </c>
      <c r="B54" s="567" t="str">
        <f t="shared" si="6"/>
        <v>Tháng 10/2018</v>
      </c>
      <c r="C54" s="567"/>
      <c r="D54" s="568" t="str">
        <f t="shared" si="7"/>
        <v>Lắp đặt lan can đúc sẵn bằng cần cẩu</v>
      </c>
      <c r="E54" s="568"/>
      <c r="F54" s="568"/>
      <c r="G54" s="568"/>
      <c r="H54" s="569">
        <f t="shared" si="3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4"/>
        <v>43374</v>
      </c>
      <c r="P54" s="103">
        <f t="shared" si="5"/>
        <v>43404</v>
      </c>
    </row>
    <row r="55" spans="1:16" s="5" customFormat="1" ht="17.100000000000001" customHeight="1">
      <c r="A55" s="104">
        <f t="shared" si="8"/>
        <v>16</v>
      </c>
      <c r="B55" s="567" t="str">
        <f t="shared" si="6"/>
        <v>Tháng 11/2018</v>
      </c>
      <c r="C55" s="567"/>
      <c r="D55" s="568" t="str">
        <f t="shared" si="7"/>
        <v>Lắp đặt lan can đúc sẵn bằng cần cẩu</v>
      </c>
      <c r="E55" s="568"/>
      <c r="F55" s="568"/>
      <c r="G55" s="568"/>
      <c r="H55" s="569">
        <f t="shared" si="3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4"/>
        <v>43405</v>
      </c>
      <c r="P55" s="103">
        <f t="shared" si="5"/>
        <v>43434</v>
      </c>
    </row>
    <row r="56" spans="1:16" s="5" customFormat="1" ht="17.100000000000001" customHeight="1">
      <c r="A56" s="104">
        <f t="shared" si="8"/>
        <v>17</v>
      </c>
      <c r="B56" s="567" t="str">
        <f t="shared" si="6"/>
        <v>Tháng 12/2018</v>
      </c>
      <c r="C56" s="567"/>
      <c r="D56" s="568" t="str">
        <f t="shared" si="7"/>
        <v>Lắp đặt lan can đúc sẵn bằng cần cẩu</v>
      </c>
      <c r="E56" s="568"/>
      <c r="F56" s="568"/>
      <c r="G56" s="568"/>
      <c r="H56" s="569">
        <f t="shared" si="3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4"/>
        <v>43435</v>
      </c>
      <c r="P56" s="103">
        <f t="shared" si="5"/>
        <v>43465</v>
      </c>
    </row>
    <row r="57" spans="1:16" s="5" customFormat="1" ht="17.100000000000001" customHeight="1">
      <c r="A57" s="104">
        <f t="shared" si="8"/>
        <v>18</v>
      </c>
      <c r="B57" s="567" t="str">
        <f t="shared" si="6"/>
        <v>Tháng 01/2019</v>
      </c>
      <c r="C57" s="567"/>
      <c r="D57" s="568" t="str">
        <f t="shared" si="7"/>
        <v>Lắp đặt lan can đúc sẵn bằng cần cẩu</v>
      </c>
      <c r="E57" s="568"/>
      <c r="F57" s="568"/>
      <c r="G57" s="568"/>
      <c r="H57" s="569">
        <f t="shared" si="3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4"/>
        <v>43466</v>
      </c>
      <c r="P57" s="103">
        <f t="shared" si="5"/>
        <v>43496</v>
      </c>
    </row>
    <row r="58" spans="1:16" s="5" customFormat="1" ht="17.100000000000001" customHeight="1">
      <c r="A58" s="104">
        <f t="shared" si="8"/>
        <v>19</v>
      </c>
      <c r="B58" s="567" t="str">
        <f t="shared" si="6"/>
        <v>Tháng 02/2019</v>
      </c>
      <c r="C58" s="567"/>
      <c r="D58" s="568" t="str">
        <f t="shared" si="7"/>
        <v>Lắp đặt lan can đúc sẵn bằng cần cẩu</v>
      </c>
      <c r="E58" s="568"/>
      <c r="F58" s="568"/>
      <c r="G58" s="568"/>
      <c r="H58" s="569">
        <f t="shared" si="3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4"/>
        <v>43497</v>
      </c>
      <c r="P58" s="103">
        <f t="shared" si="5"/>
        <v>43524</v>
      </c>
    </row>
    <row r="59" spans="1:16" s="5" customFormat="1" ht="17.100000000000001" customHeight="1">
      <c r="A59" s="104">
        <f t="shared" si="8"/>
        <v>20</v>
      </c>
      <c r="B59" s="567" t="str">
        <f t="shared" si="6"/>
        <v>Tháng 03/2019</v>
      </c>
      <c r="C59" s="567"/>
      <c r="D59" s="568" t="str">
        <f t="shared" si="7"/>
        <v>Lắp đặt lan can đúc sẵn bằng cần cẩu</v>
      </c>
      <c r="E59" s="568"/>
      <c r="F59" s="568"/>
      <c r="G59" s="568"/>
      <c r="H59" s="569">
        <f t="shared" si="3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4"/>
        <v>43525</v>
      </c>
      <c r="P59" s="103">
        <f t="shared" si="5"/>
        <v>43555</v>
      </c>
    </row>
    <row r="60" spans="1:16" s="5" customFormat="1" ht="17.100000000000001" customHeight="1">
      <c r="A60" s="104">
        <f t="shared" si="8"/>
        <v>21</v>
      </c>
      <c r="B60" s="567" t="str">
        <f t="shared" si="6"/>
        <v>Tháng 04/2019</v>
      </c>
      <c r="C60" s="567"/>
      <c r="D60" s="568" t="str">
        <f t="shared" si="7"/>
        <v>Lắp đặt lan can đúc sẵn bằng cần cẩu</v>
      </c>
      <c r="E60" s="568"/>
      <c r="F60" s="568"/>
      <c r="G60" s="568"/>
      <c r="H60" s="569">
        <f t="shared" si="3"/>
        <v>48</v>
      </c>
      <c r="I60" s="569"/>
      <c r="J60" s="567"/>
      <c r="K60" s="570"/>
      <c r="L60">
        <v>4</v>
      </c>
      <c r="M60" s="101">
        <v>2019</v>
      </c>
      <c r="N60"/>
      <c r="O60" s="103">
        <f t="shared" si="4"/>
        <v>43556</v>
      </c>
      <c r="P60" s="103">
        <f t="shared" si="5"/>
        <v>43585</v>
      </c>
    </row>
    <row r="61" spans="1:16" s="5" customFormat="1" ht="17.100000000000001" customHeight="1">
      <c r="A61" s="104">
        <f t="shared" si="8"/>
        <v>22</v>
      </c>
      <c r="B61" s="567" t="str">
        <f t="shared" si="6"/>
        <v>Tháng 05/2019</v>
      </c>
      <c r="C61" s="567"/>
      <c r="D61" s="568" t="str">
        <f t="shared" si="7"/>
        <v>Lắp đặt lan can đúc sẵn bằng cần cẩu</v>
      </c>
      <c r="E61" s="568"/>
      <c r="F61" s="568"/>
      <c r="G61" s="568"/>
      <c r="H61" s="569">
        <f t="shared" si="3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4"/>
        <v>43586</v>
      </c>
      <c r="P61" s="103">
        <f t="shared" si="5"/>
        <v>43616</v>
      </c>
    </row>
    <row r="62" spans="1:16" s="5" customFormat="1" ht="17.100000000000001" customHeight="1">
      <c r="A62" s="104">
        <f t="shared" si="8"/>
        <v>23</v>
      </c>
      <c r="B62" s="567" t="str">
        <f t="shared" si="6"/>
        <v>Tháng 06/2019</v>
      </c>
      <c r="C62" s="567"/>
      <c r="D62" s="568" t="str">
        <f t="shared" si="7"/>
        <v>Lắp đặt lan can đúc sẵn bằng cần cẩu</v>
      </c>
      <c r="E62" s="568"/>
      <c r="F62" s="568"/>
      <c r="G62" s="568"/>
      <c r="H62" s="569">
        <f t="shared" si="3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4"/>
        <v>43617</v>
      </c>
      <c r="P62" s="103">
        <f t="shared" si="5"/>
        <v>43646</v>
      </c>
    </row>
    <row r="63" spans="1:16" s="5" customFormat="1" ht="17.100000000000001" customHeight="1">
      <c r="A63" s="104">
        <f t="shared" si="8"/>
        <v>24</v>
      </c>
      <c r="B63" s="567" t="str">
        <f t="shared" si="6"/>
        <v>Tháng 07/2019</v>
      </c>
      <c r="C63" s="567"/>
      <c r="D63" s="568" t="str">
        <f t="shared" si="7"/>
        <v>Lắp đặt lan can đúc sẵn bằng cần cẩu</v>
      </c>
      <c r="E63" s="568"/>
      <c r="F63" s="568"/>
      <c r="G63" s="568"/>
      <c r="H63" s="569">
        <f t="shared" si="3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4"/>
        <v>43647</v>
      </c>
      <c r="P63" s="103">
        <f t="shared" si="5"/>
        <v>43677</v>
      </c>
    </row>
    <row r="64" spans="1:16" s="5" customFormat="1" ht="17.100000000000001" customHeight="1">
      <c r="A64" s="104">
        <f t="shared" si="8"/>
        <v>25</v>
      </c>
      <c r="B64" s="567" t="str">
        <f t="shared" si="6"/>
        <v>Tháng 08/2019</v>
      </c>
      <c r="C64" s="567"/>
      <c r="D64" s="568" t="str">
        <f t="shared" si="7"/>
        <v>Lắp đặt lan can đúc sẵn bằng cần cẩu</v>
      </c>
      <c r="E64" s="568"/>
      <c r="F64" s="568"/>
      <c r="G64" s="568"/>
      <c r="H64" s="569">
        <f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4"/>
        <v>43678</v>
      </c>
      <c r="P64" s="103">
        <f t="shared" si="5"/>
        <v>43708</v>
      </c>
    </row>
    <row r="65" spans="1:20" s="5" customFormat="1" ht="17.100000000000001" customHeight="1">
      <c r="A65" s="104">
        <f t="shared" si="8"/>
        <v>26</v>
      </c>
      <c r="B65" s="616" t="str">
        <f t="shared" si="6"/>
        <v>Tháng 09/2019</v>
      </c>
      <c r="C65" s="616"/>
      <c r="D65" s="652" t="str">
        <f>D63</f>
        <v>Lắp đặt lan can đúc sẵn bằng cần cẩu</v>
      </c>
      <c r="E65" s="652"/>
      <c r="F65" s="652"/>
      <c r="G65" s="652"/>
      <c r="H65" s="615">
        <f>+SUMIFS($I$12:$I$35,$B$12:$B$35,"&gt;="&amp;$O65,$B$12:$B$35,"&lt;="&amp;$P65)</f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9">SUM(H40:I65)</f>
        <v>48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I9:I11"/>
    <mergeCell ref="J9:J11"/>
    <mergeCell ref="K9:K11"/>
    <mergeCell ref="C12:E12"/>
    <mergeCell ref="C16:E16"/>
    <mergeCell ref="A17:E17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5:C65"/>
    <mergeCell ref="D65:G65"/>
    <mergeCell ref="H65:I65"/>
    <mergeCell ref="J65:K65"/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rgb="FF92D050"/>
  </sheetPr>
  <dimension ref="A1:T74"/>
  <sheetViews>
    <sheetView view="pageBreakPreview" topLeftCell="A8" zoomScaleSheetLayoutView="100" workbookViewId="0">
      <selection activeCell="F12" sqref="F1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C.I.2.3. Phủ mặt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400</v>
      </c>
      <c r="N5" s="245" t="str">
        <f>'PHAN KHAI'!C59</f>
        <v>Phủ mặt cầu</v>
      </c>
      <c r="Q5" s="17"/>
    </row>
    <row r="6" spans="1:20" s="16" customFormat="1" ht="15.75" customHeight="1">
      <c r="A6" s="91" t="str">
        <f>L6&amp;M6&amp;". "&amp;N6</f>
        <v>Mục C.I.2.3.1. Lớp phòng nước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C.I.2.3.</v>
      </c>
      <c r="M6" s="16">
        <v>1</v>
      </c>
      <c r="N6" s="245" t="str">
        <f>THKLQT!C60</f>
        <v>Lớp phòng nước</v>
      </c>
      <c r="Q6" s="17"/>
    </row>
    <row r="7" spans="1:20" s="178" customFormat="1" ht="18.75" customHeight="1">
      <c r="A7" s="634">
        <f>I14</f>
        <v>414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THKLQT!D60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43597</v>
      </c>
      <c r="C12" s="571" t="str">
        <f>T12</f>
        <v>Lớp phòng nước mặt cầu</v>
      </c>
      <c r="D12" s="572"/>
      <c r="E12" s="573"/>
      <c r="F12" s="2">
        <f>'[1]Ban mat cau'!$G$30</f>
        <v>414</v>
      </c>
      <c r="G12" s="1">
        <f>P12</f>
        <v>414</v>
      </c>
      <c r="H12" s="381">
        <f>P12</f>
        <v>414</v>
      </c>
      <c r="I12" s="107">
        <f>P12</f>
        <v>414</v>
      </c>
      <c r="J12" s="107">
        <f>P12</f>
        <v>414</v>
      </c>
      <c r="K12" s="403" t="s">
        <v>677</v>
      </c>
      <c r="L12" s="4" t="s">
        <v>745</v>
      </c>
      <c r="N12" s="118"/>
      <c r="O12" s="118" t="s">
        <v>401</v>
      </c>
      <c r="P12" s="88">
        <v>414</v>
      </c>
      <c r="Q12" s="89">
        <v>43597</v>
      </c>
      <c r="R12" s="88"/>
      <c r="S12" s="88" t="e">
        <f>VLOOKUP($S$11,hamchuigoi3,M12,0)</f>
        <v>#VALUE!</v>
      </c>
      <c r="T12" s="3" t="str">
        <f t="shared" ref="T12" si="0">$N$6&amp;" "&amp;O12</f>
        <v>Lớp phòng nước mặt cầu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414</v>
      </c>
      <c r="G14" s="79">
        <f>ROUND(SUM(G12:G13),2)</f>
        <v>414</v>
      </c>
      <c r="H14" s="79">
        <f>ROUND(SUM(H12:H13),2)</f>
        <v>414</v>
      </c>
      <c r="I14" s="79">
        <f>ROUND(SUM(I12:I13),2)</f>
        <v>414</v>
      </c>
      <c r="J14" s="79">
        <f>ROUND(SUM(J12:J13),2)</f>
        <v>414</v>
      </c>
      <c r="K14" s="80"/>
      <c r="N14" s="118"/>
      <c r="O14" s="118"/>
      <c r="P14" s="90">
        <f>SUM(P12:P12)</f>
        <v>414</v>
      </c>
    </row>
    <row r="15" spans="1:20" s="175" customFormat="1" ht="18" customHeight="1" thickTop="1" thickBot="1">
      <c r="A15" s="253"/>
      <c r="B15" s="253"/>
      <c r="C15" s="253"/>
      <c r="D15" s="253"/>
      <c r="E15" s="253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53"/>
      <c r="B25" s="253"/>
      <c r="C25" s="253"/>
      <c r="D25" s="253"/>
      <c r="E25" s="253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4" t="str">
        <f>A5</f>
        <v>Hạng mục C.I.2.3. Phủ mặt cầu</v>
      </c>
      <c r="B31" s="255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A6</f>
        <v>Mục C.I.2.3.1. Lớp phòng nước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414</v>
      </c>
      <c r="B33" s="640"/>
      <c r="C33" s="640"/>
      <c r="D33" s="640"/>
      <c r="E33" s="131" t="str">
        <f>E7</f>
        <v>(m2)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Lớp phòng nước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Lớp phòng nước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20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Lớp phòng nước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20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Lớp phòng nước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20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Lớp phòng nước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20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Lớp phòng nước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20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Lớp phòng nước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20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Lớp phòng nước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20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Lớp phòng nước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20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Lớp phòng nước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20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Lớp phòng nước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20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Lớp phòng nước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Lớp phòng nước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Lớp phòng nước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Lớp phòng nước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Lớp phòng nước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Lớp phòng nước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Lớp phòng nước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Lớp phòng nước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Lớp phòng nước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Lớp phòng nước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Lớp phòng nước</v>
      </c>
      <c r="E58" s="568"/>
      <c r="F58" s="568"/>
      <c r="G58" s="568"/>
      <c r="H58" s="569">
        <f t="shared" si="1"/>
        <v>414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Lớp phòng nước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Lớp phòng nước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Lớp phòng nước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Lớp phòng nước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414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3:E13"/>
    <mergeCell ref="A14:E14"/>
    <mergeCell ref="A16:E16"/>
    <mergeCell ref="F16:K16"/>
    <mergeCell ref="A17:E17"/>
    <mergeCell ref="F17:K17"/>
    <mergeCell ref="I9:I11"/>
    <mergeCell ref="J9:J11"/>
    <mergeCell ref="K9:K11"/>
    <mergeCell ref="C12:E12"/>
    <mergeCell ref="A30:K30"/>
    <mergeCell ref="A33:D33"/>
    <mergeCell ref="A35:A36"/>
    <mergeCell ref="B35:C36"/>
    <mergeCell ref="D35:G36"/>
    <mergeCell ref="H35:I36"/>
    <mergeCell ref="J35:K36"/>
    <mergeCell ref="A18:E24"/>
    <mergeCell ref="F18:K24"/>
    <mergeCell ref="A26:K26"/>
    <mergeCell ref="A27:K27"/>
    <mergeCell ref="A28:K28"/>
    <mergeCell ref="A29:K29"/>
    <mergeCell ref="B39:C39"/>
    <mergeCell ref="D39:G39"/>
    <mergeCell ref="H39:I39"/>
    <mergeCell ref="J39:K39"/>
    <mergeCell ref="B40:C40"/>
    <mergeCell ref="D40:G40"/>
    <mergeCell ref="H40:I40"/>
    <mergeCell ref="J40:K40"/>
    <mergeCell ref="B37:C37"/>
    <mergeCell ref="D37:G37"/>
    <mergeCell ref="H37:I37"/>
    <mergeCell ref="J37:K37"/>
    <mergeCell ref="B38:C38"/>
    <mergeCell ref="D38:G38"/>
    <mergeCell ref="H38:I38"/>
    <mergeCell ref="J38:K38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A65:E65"/>
    <mergeCell ref="F65:K65"/>
    <mergeCell ref="A66:E66"/>
    <mergeCell ref="F66:K66"/>
    <mergeCell ref="A67:E73"/>
    <mergeCell ref="F67:K73"/>
    <mergeCell ref="B61:C61"/>
    <mergeCell ref="D61:G61"/>
    <mergeCell ref="H61:I61"/>
    <mergeCell ref="J61:K61"/>
    <mergeCell ref="A63:G63"/>
    <mergeCell ref="H63:I63"/>
    <mergeCell ref="J63:K63"/>
    <mergeCell ref="B62:C62"/>
    <mergeCell ref="D62:G62"/>
    <mergeCell ref="H62:I62"/>
    <mergeCell ref="J62:K62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>
    <tabColor rgb="FF92D050"/>
  </sheetPr>
  <dimension ref="A1:T74"/>
  <sheetViews>
    <sheetView view="pageBreakPreview" topLeftCell="A53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71093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C.I.3.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205</v>
      </c>
      <c r="N5" s="245" t="str">
        <f>'PHAN KHAI'!C61</f>
        <v>PHỤ TRỢ THI CÔNG</v>
      </c>
      <c r="Q5" s="17"/>
    </row>
    <row r="6" spans="1:20" s="16" customFormat="1" ht="15.75" customHeight="1">
      <c r="A6" s="91" t="str">
        <f>L6&amp;M6&amp;". "&amp;N6</f>
        <v>Mục C.I.3.1. Bệ đúc dầm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C.I.3.</v>
      </c>
      <c r="M6" s="16">
        <v>1</v>
      </c>
      <c r="N6" s="245" t="str">
        <f>THKLQT!C67</f>
        <v>Bệ đúc dầm</v>
      </c>
      <c r="Q6" s="17"/>
    </row>
    <row r="7" spans="1:20" s="178" customFormat="1" ht="18.75" customHeight="1">
      <c r="A7" s="634">
        <f>I14</f>
        <v>1</v>
      </c>
      <c r="B7" s="635"/>
      <c r="C7" s="635"/>
      <c r="D7" s="635"/>
      <c r="E7" s="106" t="str">
        <f>"("&amp;L7&amp;")"</f>
        <v>(Trọn gói)</v>
      </c>
      <c r="F7" s="113"/>
      <c r="G7" s="113"/>
      <c r="H7" s="113"/>
      <c r="I7" s="113"/>
      <c r="J7" s="113"/>
      <c r="K7" s="114"/>
      <c r="L7" s="26" t="str">
        <f>THKLQT!D67</f>
        <v>Trọn gói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43289</v>
      </c>
      <c r="C12" s="571" t="str">
        <f>T12</f>
        <v>Bệ đúc dầm</v>
      </c>
      <c r="D12" s="572"/>
      <c r="E12" s="573"/>
      <c r="F12" s="2">
        <f>P12</f>
        <v>1</v>
      </c>
      <c r="G12" s="1">
        <f>P12</f>
        <v>1</v>
      </c>
      <c r="H12" s="31">
        <f>P12</f>
        <v>1</v>
      </c>
      <c r="I12" s="107">
        <f>P12</f>
        <v>1</v>
      </c>
      <c r="J12" s="107">
        <f>P12</f>
        <v>1</v>
      </c>
      <c r="K12" s="82"/>
      <c r="N12" s="118"/>
      <c r="O12" s="118"/>
      <c r="P12" s="88">
        <v>1</v>
      </c>
      <c r="Q12" s="89">
        <v>43289</v>
      </c>
      <c r="R12" s="88"/>
      <c r="S12" s="88" t="e">
        <f>VLOOKUP($S$11,hamchuigoi3,M12,0)</f>
        <v>#VALUE!</v>
      </c>
      <c r="T12" s="3" t="str">
        <f>N6</f>
        <v>Bệ đúc dầm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collapsed="1" thickBot="1">
      <c r="A14" s="574" t="s">
        <v>4</v>
      </c>
      <c r="B14" s="575"/>
      <c r="C14" s="575"/>
      <c r="D14" s="575"/>
      <c r="E14" s="575"/>
      <c r="F14" s="79">
        <f>ROUND(SUM(F12:F13),2)</f>
        <v>1</v>
      </c>
      <c r="G14" s="79">
        <f t="shared" ref="G14:J14" si="0">ROUND(SUM(G12:G13),2)</f>
        <v>1</v>
      </c>
      <c r="H14" s="79">
        <f t="shared" si="0"/>
        <v>1</v>
      </c>
      <c r="I14" s="79">
        <f t="shared" si="0"/>
        <v>1</v>
      </c>
      <c r="J14" s="79">
        <f t="shared" si="0"/>
        <v>1</v>
      </c>
      <c r="K14" s="80"/>
      <c r="N14" s="118"/>
      <c r="O14" s="118"/>
      <c r="P14" s="90">
        <f>SUM(P12:P12)</f>
        <v>1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C.I.3. PHỤ TRỢ THI CÔNG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C.I.3.1. Bệ đúc dầm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1</v>
      </c>
      <c r="B33" s="640"/>
      <c r="C33" s="640"/>
      <c r="D33" s="640"/>
      <c r="E33" s="131" t="str">
        <f>E7</f>
        <v>(Trọn gói)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Bệ đúc dầm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Bệ đúc dầm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Bệ đúc dầm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Bệ đúc dầm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Bệ đúc dầm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Bệ đúc dầm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Bệ đúc dầm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Bệ đúc dầm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Bệ đúc dầm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Bệ đúc dầm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Bệ đúc dầm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Bệ đúc dầm</v>
      </c>
      <c r="E48" s="568"/>
      <c r="F48" s="568"/>
      <c r="G48" s="568"/>
      <c r="H48" s="569">
        <f t="shared" si="1"/>
        <v>1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Bệ đúc dầm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Bệ đúc dầm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Bệ đúc dầm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Bệ đúc dầm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Bệ đúc dầm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Bệ đúc dầm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Bệ đúc dầm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Bệ đúc dầm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Bệ đúc dầm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Bệ đúc dầm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Bệ đúc dầm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Bệ đúc dầm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Bệ đúc dầm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Bệ đúc dầm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1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rgb="FF92D050"/>
  </sheetPr>
  <dimension ref="A1:T74"/>
  <sheetViews>
    <sheetView view="pageBreakPreview" topLeftCell="A59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C.I.3.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205</v>
      </c>
      <c r="N5" s="245" t="str">
        <f>'PHAN KHAI'!C61</f>
        <v>PHỤ TRỢ THI CÔNG</v>
      </c>
      <c r="Q5" s="17"/>
    </row>
    <row r="6" spans="1:20" s="16" customFormat="1" ht="15.75" customHeight="1">
      <c r="A6" s="91" t="str">
        <f>L6&amp;M6&amp;". "&amp;N6</f>
        <v>Mục C.I.3.2. Bãi đúc và chứa dầm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C.I.3.</v>
      </c>
      <c r="M6" s="16">
        <v>2</v>
      </c>
      <c r="N6" s="245" t="str">
        <f>THKLQT!C81</f>
        <v>Bãi đúc và chứa dầm</v>
      </c>
      <c r="Q6" s="17"/>
    </row>
    <row r="7" spans="1:20" s="178" customFormat="1" ht="18.75" customHeight="1">
      <c r="A7" s="634">
        <f>I14</f>
        <v>1</v>
      </c>
      <c r="B7" s="635"/>
      <c r="C7" s="635"/>
      <c r="D7" s="635"/>
      <c r="E7" s="106" t="str">
        <f>"("&amp;L7&amp;")"</f>
        <v>(Trọn gói)</v>
      </c>
      <c r="F7" s="113"/>
      <c r="G7" s="113"/>
      <c r="H7" s="113"/>
      <c r="I7" s="113"/>
      <c r="J7" s="113"/>
      <c r="K7" s="114"/>
      <c r="L7" s="26" t="str">
        <f>THKLQT!D81</f>
        <v>Trọn gói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43277</v>
      </c>
      <c r="C12" s="571" t="str">
        <f>T12</f>
        <v>Bãi đúc và chứa dầm</v>
      </c>
      <c r="D12" s="572"/>
      <c r="E12" s="573"/>
      <c r="F12" s="2">
        <f>P12</f>
        <v>1</v>
      </c>
      <c r="G12" s="1">
        <f>P12</f>
        <v>1</v>
      </c>
      <c r="H12" s="381">
        <f>P12</f>
        <v>1</v>
      </c>
      <c r="I12" s="107">
        <f>P12</f>
        <v>1</v>
      </c>
      <c r="J12" s="107">
        <f>P12</f>
        <v>1</v>
      </c>
      <c r="K12" s="403" t="s">
        <v>677</v>
      </c>
      <c r="L12" s="410" t="s">
        <v>782</v>
      </c>
      <c r="N12" s="118"/>
      <c r="O12" s="118"/>
      <c r="P12" s="88">
        <v>1</v>
      </c>
      <c r="Q12" s="89">
        <v>43277</v>
      </c>
      <c r="R12" s="88"/>
      <c r="S12" s="88" t="e">
        <f>VLOOKUP($S$11,hamchuigoi3,M12,0)</f>
        <v>#VALUE!</v>
      </c>
      <c r="T12" s="3" t="str">
        <f>N6</f>
        <v>Bãi đúc và chứa dầm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collapsed="1" thickBot="1">
      <c r="A14" s="574" t="s">
        <v>4</v>
      </c>
      <c r="B14" s="575"/>
      <c r="C14" s="575"/>
      <c r="D14" s="575"/>
      <c r="E14" s="575"/>
      <c r="F14" s="79">
        <f>ROUND(SUM(F12:F13),2)</f>
        <v>1</v>
      </c>
      <c r="G14" s="79">
        <f t="shared" ref="G14:J14" si="0">ROUND(SUM(G12:G13),2)</f>
        <v>1</v>
      </c>
      <c r="H14" s="79">
        <f t="shared" si="0"/>
        <v>1</v>
      </c>
      <c r="I14" s="79">
        <f t="shared" si="0"/>
        <v>1</v>
      </c>
      <c r="J14" s="79">
        <f t="shared" si="0"/>
        <v>1</v>
      </c>
      <c r="K14" s="80"/>
      <c r="N14" s="118"/>
      <c r="O14" s="118"/>
      <c r="P14" s="90">
        <f>SUM(P12:P12)</f>
        <v>1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C.I.3. PHỤ TRỢ THI CÔNG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C.I.3.2. Bãi đúc và chứa dầm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1</v>
      </c>
      <c r="B33" s="640"/>
      <c r="C33" s="640"/>
      <c r="D33" s="640"/>
      <c r="E33" s="131" t="str">
        <f>E7</f>
        <v>(Trọn gói)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Bãi đúc và chứa dầm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Bãi đúc và chứa dầm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Bãi đúc và chứa dầm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Bãi đúc và chứa dầm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Bãi đúc và chứa dầm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Bãi đúc và chứa dầm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Bãi đúc và chứa dầm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Bãi đúc và chứa dầm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Bãi đúc và chứa dầm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Bãi đúc và chứa dầm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Bãi đúc và chứa dầm</v>
      </c>
      <c r="E47" s="568"/>
      <c r="F47" s="568"/>
      <c r="G47" s="568"/>
      <c r="H47" s="569">
        <f t="shared" si="1"/>
        <v>1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Bãi đúc và chứa dầm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Bãi đúc và chứa dầm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Bãi đúc và chứa dầm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Bãi đúc và chứa dầm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Bãi đúc và chứa dầm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Bãi đúc và chứa dầm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Bãi đúc và chứa dầm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Bãi đúc và chứa dầm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Bãi đúc và chứa dầm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Bãi đúc và chứa dầm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Bãi đúc và chứa dầm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Bãi đúc và chứa dầm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Bãi đúc và chứa dầm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Bãi đúc và chứa dầm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Bãi đúc và chứa dầm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1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>
    <tabColor rgb="FF92D050"/>
  </sheetPr>
  <dimension ref="A1:T74"/>
  <sheetViews>
    <sheetView view="pageBreakPreview" topLeftCell="A59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C.I.3. Bản mặt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205</v>
      </c>
      <c r="N5" s="245" t="str">
        <f>THKLQT!C92</f>
        <v>Bản mặt cầu</v>
      </c>
      <c r="Q5" s="17"/>
    </row>
    <row r="6" spans="1:20" s="16" customFormat="1" ht="15.75" customHeight="1">
      <c r="A6" s="91" t="str">
        <f>L6&amp;M6&amp;". "&amp;N6</f>
        <v>Mục C.I.3.3. Sản xuất và lắp đặt ván khuôn thép bản để lại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C.I.3.</v>
      </c>
      <c r="M6" s="16">
        <v>3</v>
      </c>
      <c r="N6" s="245" t="str">
        <f>THKLQT!C93</f>
        <v>Sản xuất và lắp đặt ván khuôn thép bản để lại</v>
      </c>
      <c r="Q6" s="17"/>
    </row>
    <row r="7" spans="1:20" s="178" customFormat="1" ht="18.75" customHeight="1">
      <c r="A7" s="634">
        <f>I14</f>
        <v>0.26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THKLQT!D93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8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43445</v>
      </c>
      <c r="C12" s="571" t="str">
        <f>T12</f>
        <v>Sản xuất và lắp đặt ván khuôn thép bản để lại</v>
      </c>
      <c r="D12" s="572"/>
      <c r="E12" s="573"/>
      <c r="F12" s="2">
        <f>P12</f>
        <v>0.26</v>
      </c>
      <c r="G12" s="1">
        <f>P12</f>
        <v>0.26</v>
      </c>
      <c r="H12" s="295">
        <f>P12</f>
        <v>0.26</v>
      </c>
      <c r="I12" s="107">
        <f>P12</f>
        <v>0.26</v>
      </c>
      <c r="J12" s="107">
        <f>P12</f>
        <v>0.26</v>
      </c>
      <c r="K12" s="82"/>
      <c r="N12" s="118"/>
      <c r="O12" s="118"/>
      <c r="P12" s="88">
        <v>0.26</v>
      </c>
      <c r="Q12" s="89">
        <v>43445</v>
      </c>
      <c r="R12" s="88"/>
      <c r="S12" s="88" t="e">
        <f>VLOOKUP($S$11,hamchuigoi3,M12,0)</f>
        <v>#VALUE!</v>
      </c>
      <c r="T12" s="3" t="str">
        <f>N6</f>
        <v>Sản xuất và lắp đặt ván khuôn thép bản để lại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collapsed="1" thickBot="1">
      <c r="A14" s="574" t="s">
        <v>4</v>
      </c>
      <c r="B14" s="575"/>
      <c r="C14" s="575"/>
      <c r="D14" s="575"/>
      <c r="E14" s="575"/>
      <c r="F14" s="79">
        <f>ROUND(SUM(F12:F13),2)</f>
        <v>0.26</v>
      </c>
      <c r="G14" s="79">
        <f t="shared" ref="G14:J14" si="0">ROUND(SUM(G12:G13),2)</f>
        <v>0.26</v>
      </c>
      <c r="H14" s="79">
        <f t="shared" si="0"/>
        <v>0.26</v>
      </c>
      <c r="I14" s="79">
        <f t="shared" si="0"/>
        <v>0.26</v>
      </c>
      <c r="J14" s="79">
        <f t="shared" si="0"/>
        <v>0.26</v>
      </c>
      <c r="K14" s="80"/>
      <c r="N14" s="118"/>
      <c r="O14" s="118"/>
      <c r="P14" s="90">
        <f>SUM(P12:P12)</f>
        <v>0.26</v>
      </c>
    </row>
    <row r="15" spans="1:20" s="175" customFormat="1" ht="18" customHeight="1" thickTop="1" thickBot="1">
      <c r="A15" s="288"/>
      <c r="B15" s="288"/>
      <c r="C15" s="288"/>
      <c r="D15" s="288"/>
      <c r="E15" s="288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88"/>
      <c r="B25" s="288"/>
      <c r="C25" s="288"/>
      <c r="D25" s="288"/>
      <c r="E25" s="288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89" t="str">
        <f>A5</f>
        <v>Hạng mục C.I.3. Bản mặt cầu</v>
      </c>
      <c r="B31" s="290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89" t="str">
        <f>A6</f>
        <v>Mục C.I.3.3. Sản xuất và lắp đặt ván khuôn thép bản để lại</v>
      </c>
      <c r="B32" s="29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0.26</v>
      </c>
      <c r="B33" s="640"/>
      <c r="C33" s="640"/>
      <c r="D33" s="640"/>
      <c r="E33" s="131" t="str">
        <f>E7</f>
        <v>(T)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Sản xuất và lắp đặt ván khuôn thép bản để lại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Sản xuất và lắp đặt ván khuôn thép bản để lại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Sản xuất và lắp đặt ván khuôn thép bản để lại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Sản xuất và lắp đặt ván khuôn thép bản để lại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Sản xuất và lắp đặt ván khuôn thép bản để lại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Sản xuất và lắp đặt ván khuôn thép bản để lại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Sản xuất và lắp đặt ván khuôn thép bản để lại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Sản xuất và lắp đặt ván khuôn thép bản để lại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Sản xuất và lắp đặt ván khuôn thép bản để lại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Sản xuất và lắp đặt ván khuôn thép bản để lại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Sản xuất và lắp đặt ván khuôn thép bản để lại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Sản xuất và lắp đặt ván khuôn thép bản để lại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Sản xuất và lắp đặt ván khuôn thép bản để lại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Sản xuất và lắp đặt ván khuôn thép bản để lại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Sản xuất và lắp đặt ván khuôn thép bản để lại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Sản xuất và lắp đặt ván khuôn thép bản để lại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Sản xuất và lắp đặt ván khuôn thép bản để lại</v>
      </c>
      <c r="E53" s="568"/>
      <c r="F53" s="568"/>
      <c r="G53" s="568"/>
      <c r="H53" s="569">
        <f t="shared" si="1"/>
        <v>0.26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Sản xuất và lắp đặt ván khuôn thép bản để lại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Sản xuất và lắp đặt ván khuôn thép bản để lại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Sản xuất và lắp đặt ván khuôn thép bản để lại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Sản xuất và lắp đặt ván khuôn thép bản để lại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Sản xuất và lắp đặt ván khuôn thép bản để lại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Sản xuất và lắp đặt ván khuôn thép bản để lại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Sản xuất và lắp đặt ván khuôn thép bản để lại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Sản xuất và lắp đặt ván khuôn thép bản để lại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Sản xuất và lắp đặt ván khuôn thép bản để lại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0.26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C13:E13"/>
    <mergeCell ref="A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A65:E65"/>
    <mergeCell ref="F65:K65"/>
    <mergeCell ref="A66:E66"/>
    <mergeCell ref="F66:K66"/>
    <mergeCell ref="A67:E73"/>
    <mergeCell ref="F67:K73"/>
    <mergeCell ref="B62:C62"/>
    <mergeCell ref="D62:G62"/>
    <mergeCell ref="H62:I62"/>
    <mergeCell ref="J62:K62"/>
    <mergeCell ref="A63:G63"/>
    <mergeCell ref="H63:I63"/>
    <mergeCell ref="J63:K6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92D050"/>
  </sheetPr>
  <dimension ref="A1:T74"/>
  <sheetViews>
    <sheetView view="pageBreakPreview" topLeftCell="A56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C.I.3. Bản mặt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205</v>
      </c>
      <c r="N5" s="245" t="str">
        <f>THKLQT!C92</f>
        <v>Bản mặt cầu</v>
      </c>
      <c r="Q5" s="17"/>
    </row>
    <row r="6" spans="1:20" s="16" customFormat="1" ht="15.75" customHeight="1">
      <c r="A6" s="91" t="str">
        <f>L6&amp;M6&amp;". "&amp;N6</f>
        <v>Mục C.I.3.4. SX+LD ván khuôn bản mặt cầu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C.I.3.</v>
      </c>
      <c r="M6" s="16">
        <v>4</v>
      </c>
      <c r="N6" s="245" t="str">
        <f>THKLQT!C95</f>
        <v>SX+LD ván khuôn bản mặt cầu</v>
      </c>
      <c r="Q6" s="17"/>
    </row>
    <row r="7" spans="1:20" s="178" customFormat="1" ht="18.75" customHeight="1">
      <c r="A7" s="634">
        <f>I14</f>
        <v>0.43</v>
      </c>
      <c r="B7" s="635"/>
      <c r="C7" s="635"/>
      <c r="D7" s="635"/>
      <c r="E7" s="106" t="str">
        <f>"("&amp;L7&amp;")"</f>
        <v>(100m2)</v>
      </c>
      <c r="F7" s="113"/>
      <c r="G7" s="113"/>
      <c r="H7" s="113"/>
      <c r="I7" s="113"/>
      <c r="J7" s="113"/>
      <c r="K7" s="114"/>
      <c r="L7" s="26" t="str">
        <f>THKLQT!D95</f>
        <v>100m2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8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43445</v>
      </c>
      <c r="C12" s="571" t="str">
        <f>T12</f>
        <v>SX+LD ván khuôn bản mặt cầu</v>
      </c>
      <c r="D12" s="572"/>
      <c r="E12" s="573"/>
      <c r="F12" s="2">
        <f>P12</f>
        <v>0.43</v>
      </c>
      <c r="G12" s="1">
        <f>P12</f>
        <v>0.43</v>
      </c>
      <c r="H12" s="295">
        <f>P12</f>
        <v>0.43</v>
      </c>
      <c r="I12" s="107">
        <f>P12</f>
        <v>0.43</v>
      </c>
      <c r="J12" s="107">
        <f>P12</f>
        <v>0.43</v>
      </c>
      <c r="K12" s="82"/>
      <c r="N12" s="118"/>
      <c r="O12" s="118"/>
      <c r="P12" s="88">
        <v>0.43</v>
      </c>
      <c r="Q12" s="89">
        <v>43445</v>
      </c>
      <c r="R12" s="88"/>
      <c r="S12" s="88" t="e">
        <f>VLOOKUP($S$11,hamchuigoi3,M12,0)</f>
        <v>#VALUE!</v>
      </c>
      <c r="T12" s="3" t="str">
        <f>N6</f>
        <v>SX+LD ván khuôn bản mặt cầu</v>
      </c>
    </row>
    <row r="13" spans="1:20" ht="14.25" hidden="1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collapsed="1" thickBot="1">
      <c r="A14" s="574" t="s">
        <v>4</v>
      </c>
      <c r="B14" s="575"/>
      <c r="C14" s="575"/>
      <c r="D14" s="575"/>
      <c r="E14" s="575"/>
      <c r="F14" s="79">
        <f>ROUND(SUM(F12:F13),2)</f>
        <v>0.43</v>
      </c>
      <c r="G14" s="79">
        <f t="shared" ref="G14:J14" si="0">ROUND(SUM(G12:G13),2)</f>
        <v>0.43</v>
      </c>
      <c r="H14" s="79">
        <f t="shared" si="0"/>
        <v>0.43</v>
      </c>
      <c r="I14" s="79">
        <f t="shared" si="0"/>
        <v>0.43</v>
      </c>
      <c r="J14" s="79">
        <f t="shared" si="0"/>
        <v>0.43</v>
      </c>
      <c r="K14" s="80"/>
      <c r="N14" s="118"/>
      <c r="O14" s="118"/>
      <c r="P14" s="90">
        <f>SUM(P12:P12)</f>
        <v>0.43</v>
      </c>
    </row>
    <row r="15" spans="1:20" s="175" customFormat="1" ht="18" customHeight="1" thickTop="1" thickBot="1">
      <c r="A15" s="288"/>
      <c r="B15" s="288"/>
      <c r="C15" s="288"/>
      <c r="D15" s="288"/>
      <c r="E15" s="288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88"/>
      <c r="B25" s="288"/>
      <c r="C25" s="288"/>
      <c r="D25" s="288"/>
      <c r="E25" s="288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89" t="str">
        <f>A5</f>
        <v>Hạng mục C.I.3. Bản mặt cầu</v>
      </c>
      <c r="B31" s="290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89" t="str">
        <f>A6</f>
        <v>Mục C.I.3.4. SX+LD ván khuôn bản mặt cầu</v>
      </c>
      <c r="B32" s="29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16" s="175" customFormat="1" ht="15.95" customHeight="1">
      <c r="A33" s="639">
        <f>A7</f>
        <v>0.43</v>
      </c>
      <c r="B33" s="640"/>
      <c r="C33" s="640"/>
      <c r="D33" s="640"/>
      <c r="E33" s="131" t="str">
        <f>E7</f>
        <v>(100m2)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16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</row>
    <row r="35" spans="1:16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16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16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SX+LD ván khuôn bản mặt cầu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16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SX+LD ván khuôn bản mặt cầu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16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SX+LD ván khuôn bản mặt cầu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16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SX+LD ván khuôn bản mặt cầu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16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SX+LD ván khuôn bản mặt cầu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16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SX+LD ván khuôn bản mặt cầu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16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SX+LD ván khuôn bản mặt cầu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16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SX+LD ván khuôn bản mặt cầu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16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SX+LD ván khuôn bản mặt cầu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16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SX+LD ván khuôn bản mặt cầu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16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SX+LD ván khuôn bản mặt cầu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16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SX+LD ván khuôn bản mặt cầu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SX+LD ván khuôn bản mặt cầu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SX+LD ván khuôn bản mặt cầu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SX+LD ván khuôn bản mặt cầu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SX+LD ván khuôn bản mặt cầu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SX+LD ván khuôn bản mặt cầu</v>
      </c>
      <c r="E53" s="568"/>
      <c r="F53" s="568"/>
      <c r="G53" s="568"/>
      <c r="H53" s="569">
        <f t="shared" si="1"/>
        <v>0.43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SX+LD ván khuôn bản mặt cầu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SX+LD ván khuôn bản mặt cầu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SX+LD ván khuôn bản mặt cầu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SX+LD ván khuôn bản mặt cầu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SX+LD ván khuôn bản mặt cầu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SX+LD ván khuôn bản mặt cầu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SX+LD ván khuôn bản mặt cầu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SX+LD ván khuôn bản mặt cầu</v>
      </c>
      <c r="E61" s="568"/>
      <c r="F61" s="568"/>
      <c r="G61" s="568"/>
      <c r="H61" s="569">
        <f t="shared" ref="H61:H62" si="7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SX+LD ván khuôn bản mặt cầu</v>
      </c>
      <c r="E62" s="652"/>
      <c r="F62" s="652"/>
      <c r="G62" s="652"/>
      <c r="H62" s="615">
        <f t="shared" si="7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8">SUM(H37:I62)</f>
        <v>0.43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C13:E13"/>
    <mergeCell ref="A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A65:E65"/>
    <mergeCell ref="F65:K65"/>
    <mergeCell ref="A66:E66"/>
    <mergeCell ref="F66:K66"/>
    <mergeCell ref="A67:E73"/>
    <mergeCell ref="F67:K73"/>
    <mergeCell ref="B62:C62"/>
    <mergeCell ref="D62:G62"/>
    <mergeCell ref="H62:I62"/>
    <mergeCell ref="J62:K62"/>
    <mergeCell ref="A63:G63"/>
    <mergeCell ref="H63:I63"/>
    <mergeCell ref="J63:K6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FFFF00"/>
  </sheetPr>
  <dimension ref="A1:T81"/>
  <sheetViews>
    <sheetView view="pageBreakPreview" topLeftCell="A7" zoomScaleSheetLayoutView="100" workbookViewId="0">
      <selection activeCell="F19" sqref="F19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C.II.1.1.1. Bê tông bệ, thân mố loại 30MPa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336</v>
      </c>
      <c r="N6" s="245" t="str">
        <f>THKLQT!C99</f>
        <v>Bê tông bệ, thân mố loại 30MPa</v>
      </c>
      <c r="Q6" s="17"/>
    </row>
    <row r="7" spans="1:20" s="178" customFormat="1" ht="18.75" customHeight="1">
      <c r="A7" s="634">
        <f>I21</f>
        <v>1312.04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THKLQT!D99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s="430" customFormat="1" ht="14.25" outlineLevel="2">
      <c r="A12" s="424">
        <f>SUBTOTAL(103,$B$12:B12)</f>
        <v>1</v>
      </c>
      <c r="B12" s="425">
        <f>Q12</f>
        <v>43358</v>
      </c>
      <c r="C12" s="706" t="str">
        <f>T12</f>
        <v>Bê tông bệ, thân mố loại 30MPa ,bệ móng A1L</v>
      </c>
      <c r="D12" s="707"/>
      <c r="E12" s="708"/>
      <c r="F12" s="426">
        <f>'[2]THKL MO M1L'!$I$83</f>
        <v>120.27000000000001</v>
      </c>
      <c r="G12" s="427">
        <f>H12</f>
        <v>120</v>
      </c>
      <c r="H12" s="428">
        <v>120</v>
      </c>
      <c r="I12" s="429">
        <f>H12</f>
        <v>120</v>
      </c>
      <c r="J12" s="429">
        <f>I12</f>
        <v>120</v>
      </c>
      <c r="K12" s="703" t="s">
        <v>680</v>
      </c>
      <c r="L12" s="430" t="s">
        <v>712</v>
      </c>
      <c r="N12" s="431"/>
      <c r="O12" s="431" t="s">
        <v>367</v>
      </c>
      <c r="P12" s="432">
        <v>120.27</v>
      </c>
      <c r="Q12" s="433">
        <v>43358</v>
      </c>
      <c r="R12" s="432"/>
      <c r="S12" s="432" t="e">
        <f t="shared" ref="S12:S19" si="0">VLOOKUP($S$11,hamchuigoi3,M12,0)</f>
        <v>#VALUE!</v>
      </c>
      <c r="T12" s="434" t="str">
        <f t="shared" ref="T12:T18" si="1">$N$6&amp;" "&amp;O12</f>
        <v>Bê tông bệ, thân mố loại 30MPa ,bệ móng A1L</v>
      </c>
    </row>
    <row r="13" spans="1:20" s="430" customFormat="1" ht="14.25" outlineLevel="2">
      <c r="A13" s="424">
        <f>SUBTOTAL(103,$B$12:B13)</f>
        <v>2</v>
      </c>
      <c r="B13" s="425">
        <f>Q13</f>
        <v>43372</v>
      </c>
      <c r="C13" s="706" t="str">
        <f>T13</f>
        <v>Bê tông bệ, thân mố loại 30MPa ,bệ móng A1R</v>
      </c>
      <c r="D13" s="707"/>
      <c r="E13" s="708"/>
      <c r="F13" s="426">
        <f>'[2]THKL MO M1R'!$I$83</f>
        <v>119.80500000000001</v>
      </c>
      <c r="G13" s="427">
        <f>F13</f>
        <v>119.80500000000001</v>
      </c>
      <c r="H13" s="428">
        <v>120.4</v>
      </c>
      <c r="I13" s="429">
        <f>G13</f>
        <v>119.80500000000001</v>
      </c>
      <c r="J13" s="429">
        <f t="shared" ref="J13" si="2">I13</f>
        <v>119.80500000000001</v>
      </c>
      <c r="K13" s="704"/>
      <c r="N13" s="431"/>
      <c r="O13" s="431" t="s">
        <v>366</v>
      </c>
      <c r="P13" s="432">
        <v>120.4</v>
      </c>
      <c r="Q13" s="433">
        <v>43372</v>
      </c>
      <c r="R13" s="432"/>
      <c r="S13" s="432" t="e">
        <f t="shared" si="0"/>
        <v>#VALUE!</v>
      </c>
      <c r="T13" s="434" t="str">
        <f t="shared" ref="T13" si="3">$N$6&amp;" "&amp;O13</f>
        <v>Bê tông bệ, thân mố loại 30MPa ,bệ móng A1R</v>
      </c>
    </row>
    <row r="14" spans="1:20" s="430" customFormat="1" ht="14.25" outlineLevel="2">
      <c r="A14" s="424">
        <f>SUBTOTAL(103,$B$12:B14)</f>
        <v>3</v>
      </c>
      <c r="B14" s="425">
        <f>Q14</f>
        <v>43330</v>
      </c>
      <c r="C14" s="706" t="str">
        <f>T14</f>
        <v>Bê tông bệ, thân mố loại 30MPa ,bệ móng A2L</v>
      </c>
      <c r="D14" s="707"/>
      <c r="E14" s="708"/>
      <c r="F14" s="426">
        <f>'[2]THKL MO M2L'!$I$83</f>
        <v>186.66</v>
      </c>
      <c r="G14" s="427">
        <f>P14</f>
        <v>186.66</v>
      </c>
      <c r="H14" s="428">
        <f t="shared" ref="H14" si="4">MIN(F14:G14)</f>
        <v>186.66</v>
      </c>
      <c r="I14" s="429">
        <f t="shared" ref="I14:J14" si="5">H14</f>
        <v>186.66</v>
      </c>
      <c r="J14" s="429">
        <f t="shared" si="5"/>
        <v>186.66</v>
      </c>
      <c r="K14" s="704"/>
      <c r="N14" s="431"/>
      <c r="O14" s="431" t="s">
        <v>365</v>
      </c>
      <c r="P14" s="432">
        <v>186.66</v>
      </c>
      <c r="Q14" s="433">
        <v>43330</v>
      </c>
      <c r="R14" s="432"/>
      <c r="S14" s="432" t="e">
        <f t="shared" si="0"/>
        <v>#VALUE!</v>
      </c>
      <c r="T14" s="434" t="str">
        <f t="shared" ref="T14" si="6">$N$6&amp;" "&amp;O14</f>
        <v>Bê tông bệ, thân mố loại 30MPa ,bệ móng A2L</v>
      </c>
    </row>
    <row r="15" spans="1:20" s="430" customFormat="1" ht="14.25" outlineLevel="2">
      <c r="A15" s="424">
        <f>SUBTOTAL(103,$B$12:B15)</f>
        <v>4</v>
      </c>
      <c r="B15" s="425">
        <f>Q15</f>
        <v>43332</v>
      </c>
      <c r="C15" s="706" t="str">
        <f>T15</f>
        <v>Bê tông bệ, thân mố loại 30MPa ,bệ móng A2R</v>
      </c>
      <c r="D15" s="707"/>
      <c r="E15" s="708"/>
      <c r="F15" s="426">
        <f>'[2]THKL MO M2R'!$I$83</f>
        <v>185.88</v>
      </c>
      <c r="G15" s="427">
        <f>H15</f>
        <v>185.6</v>
      </c>
      <c r="H15" s="428">
        <v>185.6</v>
      </c>
      <c r="I15" s="429">
        <f t="shared" ref="I15:J15" si="7">H15</f>
        <v>185.6</v>
      </c>
      <c r="J15" s="429">
        <f t="shared" si="7"/>
        <v>185.6</v>
      </c>
      <c r="K15" s="704"/>
      <c r="N15" s="431"/>
      <c r="O15" s="431" t="s">
        <v>368</v>
      </c>
      <c r="P15" s="432">
        <v>185.9</v>
      </c>
      <c r="Q15" s="433">
        <v>43332</v>
      </c>
      <c r="R15" s="432"/>
      <c r="S15" s="432" t="e">
        <f t="shared" si="0"/>
        <v>#VALUE!</v>
      </c>
      <c r="T15" s="434" t="str">
        <f t="shared" ref="T15" si="8">$N$6&amp;" "&amp;O15</f>
        <v>Bê tông bệ, thân mố loại 30MPa ,bệ móng A2R</v>
      </c>
    </row>
    <row r="16" spans="1:20" s="430" customFormat="1" ht="14.25" outlineLevel="2">
      <c r="A16" s="424">
        <f>SUBTOTAL(103,$B$12:B16)</f>
        <v>5</v>
      </c>
      <c r="B16" s="425">
        <f>Q16</f>
        <v>43399</v>
      </c>
      <c r="C16" s="706" t="str">
        <f>T16</f>
        <v>Bê tông bệ, thân mố loại 30MPa ,thân A1L</v>
      </c>
      <c r="D16" s="707"/>
      <c r="E16" s="708"/>
      <c r="F16" s="426">
        <f>'[2]THKL MO M1L'!$I$84+'[2]THKL MO M1L'!$I$85+'[2]THKL MO M1L'!$I$86</f>
        <v>134.191</v>
      </c>
      <c r="G16" s="427">
        <v>134.19</v>
      </c>
      <c r="H16" s="428">
        <v>140</v>
      </c>
      <c r="I16" s="429">
        <f>G16</f>
        <v>134.19</v>
      </c>
      <c r="J16" s="429">
        <f t="shared" ref="J16" si="9">I16</f>
        <v>134.19</v>
      </c>
      <c r="K16" s="704"/>
      <c r="N16" s="431"/>
      <c r="O16" s="431" t="s">
        <v>355</v>
      </c>
      <c r="P16" s="432">
        <v>140</v>
      </c>
      <c r="Q16" s="433">
        <v>43399</v>
      </c>
      <c r="R16" s="432"/>
      <c r="S16" s="432" t="e">
        <f t="shared" si="0"/>
        <v>#VALUE!</v>
      </c>
      <c r="T16" s="434" t="str">
        <f t="shared" ref="T16" si="10">$N$6&amp;" "&amp;O16</f>
        <v>Bê tông bệ, thân mố loại 30MPa ,thân A1L</v>
      </c>
    </row>
    <row r="17" spans="1:20" s="430" customFormat="1" ht="14.25" outlineLevel="2">
      <c r="A17" s="424">
        <f>SUBTOTAL(103,$B$12:B17)</f>
        <v>6</v>
      </c>
      <c r="B17" s="425">
        <f t="shared" ref="B17:B19" si="11">Q17</f>
        <v>43413</v>
      </c>
      <c r="C17" s="706" t="str">
        <f t="shared" ref="C17:C19" si="12">T17</f>
        <v>Bê tông bệ, thân mố loại 30MPa ,thân A1R</v>
      </c>
      <c r="D17" s="707"/>
      <c r="E17" s="708"/>
      <c r="F17" s="426">
        <f>'[2]THKL MO M1R'!$I$84+'[2]THKL MO M1R'!$I$85+'[2]THKL MO M1R'!$I$86</f>
        <v>139.349335</v>
      </c>
      <c r="G17" s="427">
        <f>F17</f>
        <v>139.349335</v>
      </c>
      <c r="H17" s="428">
        <v>139.6</v>
      </c>
      <c r="I17" s="429">
        <f>G17</f>
        <v>139.349335</v>
      </c>
      <c r="J17" s="429">
        <f t="shared" ref="J17" si="13">I17</f>
        <v>139.349335</v>
      </c>
      <c r="K17" s="704"/>
      <c r="N17" s="431"/>
      <c r="O17" s="431" t="s">
        <v>356</v>
      </c>
      <c r="P17" s="432">
        <v>139.6</v>
      </c>
      <c r="Q17" s="433">
        <v>43413</v>
      </c>
      <c r="R17" s="432"/>
      <c r="S17" s="432" t="e">
        <f t="shared" si="0"/>
        <v>#VALUE!</v>
      </c>
      <c r="T17" s="434" t="str">
        <f t="shared" si="1"/>
        <v>Bê tông bệ, thân mố loại 30MPa ,thân A1R</v>
      </c>
    </row>
    <row r="18" spans="1:20" s="430" customFormat="1" ht="14.25" outlineLevel="2">
      <c r="A18" s="424">
        <f>SUBTOTAL(103,$B$12:B18)</f>
        <v>7</v>
      </c>
      <c r="B18" s="425">
        <f t="shared" si="11"/>
        <v>43379</v>
      </c>
      <c r="C18" s="706" t="str">
        <f t="shared" si="12"/>
        <v>Bê tông bệ, thân mố loại 30MPa ,thân A2L</v>
      </c>
      <c r="D18" s="707"/>
      <c r="E18" s="708"/>
      <c r="F18" s="426">
        <f>'[2]THKL MO M2L'!$I$84+'[2]THKL MO M2L'!$I$85+'[2]THKL MO M2L'!$I$86</f>
        <v>209.91916500000002</v>
      </c>
      <c r="G18" s="427">
        <f>H18</f>
        <v>209.5</v>
      </c>
      <c r="H18" s="428">
        <v>209.5</v>
      </c>
      <c r="I18" s="429">
        <f t="shared" ref="I18:J18" si="14">H18</f>
        <v>209.5</v>
      </c>
      <c r="J18" s="429">
        <f t="shared" si="14"/>
        <v>209.5</v>
      </c>
      <c r="K18" s="704"/>
      <c r="N18" s="431"/>
      <c r="O18" s="431" t="s">
        <v>357</v>
      </c>
      <c r="P18" s="432">
        <v>209.92</v>
      </c>
      <c r="Q18" s="433">
        <v>43379</v>
      </c>
      <c r="R18" s="432"/>
      <c r="S18" s="432" t="e">
        <f t="shared" si="0"/>
        <v>#VALUE!</v>
      </c>
      <c r="T18" s="434" t="str">
        <f t="shared" si="1"/>
        <v>Bê tông bệ, thân mố loại 30MPa ,thân A2L</v>
      </c>
    </row>
    <row r="19" spans="1:20" s="430" customFormat="1" ht="14.25" outlineLevel="2">
      <c r="A19" s="424">
        <f>SUBTOTAL(103,$B$12:B19)</f>
        <v>8</v>
      </c>
      <c r="B19" s="425">
        <f t="shared" si="11"/>
        <v>43381</v>
      </c>
      <c r="C19" s="706" t="str">
        <f t="shared" si="12"/>
        <v>Bê tông bệ, thân mố loại 30MPa ,thân A2R</v>
      </c>
      <c r="D19" s="707"/>
      <c r="E19" s="708"/>
      <c r="F19" s="426">
        <f>'[2]THKL MO M2R'!$I$84+'[2]THKL MO M2R'!$I$85+'[2]THKL MO M2R'!$I$86</f>
        <v>216.93108999999998</v>
      </c>
      <c r="G19" s="427">
        <f>F19</f>
        <v>216.93108999999998</v>
      </c>
      <c r="H19" s="428">
        <v>218.6</v>
      </c>
      <c r="I19" s="429">
        <f>G19</f>
        <v>216.93108999999998</v>
      </c>
      <c r="J19" s="429">
        <f t="shared" ref="J19" si="15">I19</f>
        <v>216.93108999999998</v>
      </c>
      <c r="K19" s="705"/>
      <c r="N19" s="431"/>
      <c r="O19" s="431" t="s">
        <v>358</v>
      </c>
      <c r="P19" s="432">
        <v>218.6</v>
      </c>
      <c r="Q19" s="433">
        <v>43381</v>
      </c>
      <c r="R19" s="432"/>
      <c r="S19" s="432" t="e">
        <f t="shared" si="0"/>
        <v>#VALUE!</v>
      </c>
      <c r="T19" s="434" t="str">
        <f>$N$6&amp;" "&amp;O19</f>
        <v>Bê tông bệ, thân mố loại 30MPa ,thân A2R</v>
      </c>
    </row>
    <row r="20" spans="1:20" ht="14.25" outlineLevel="2">
      <c r="A20" s="81"/>
      <c r="B20" s="78"/>
      <c r="C20" s="571"/>
      <c r="D20" s="572"/>
      <c r="E20" s="573"/>
      <c r="F20" s="27"/>
      <c r="G20" s="33"/>
      <c r="H20" s="31"/>
      <c r="I20" s="107"/>
      <c r="J20" s="107"/>
      <c r="K20" s="82"/>
      <c r="N20" s="118"/>
      <c r="O20" s="118"/>
      <c r="P20" s="88"/>
      <c r="Q20" s="89"/>
      <c r="R20" s="88"/>
      <c r="S20" s="88"/>
      <c r="T20" s="3"/>
    </row>
    <row r="21" spans="1:20" thickBot="1">
      <c r="A21" s="574" t="s">
        <v>4</v>
      </c>
      <c r="B21" s="575"/>
      <c r="C21" s="575"/>
      <c r="D21" s="575"/>
      <c r="E21" s="575"/>
      <c r="F21" s="79">
        <f>'[2]THKL MO M1'!$K$29+'[2]THKL MO M2'!$K$29</f>
        <v>1313.0055900000002</v>
      </c>
      <c r="G21" s="79">
        <f t="shared" ref="G21:J21" si="16">ROUND(SUM(G12:G20),2)</f>
        <v>1312.04</v>
      </c>
      <c r="H21" s="79">
        <f t="shared" si="16"/>
        <v>1320.36</v>
      </c>
      <c r="I21" s="79">
        <f t="shared" si="16"/>
        <v>1312.04</v>
      </c>
      <c r="J21" s="79">
        <f t="shared" si="16"/>
        <v>1312.04</v>
      </c>
      <c r="K21" s="80"/>
      <c r="N21" s="118"/>
      <c r="O21" s="118"/>
      <c r="P21" s="90">
        <f>SUM(P12:P12)</f>
        <v>120.27</v>
      </c>
    </row>
    <row r="22" spans="1:20" s="175" customFormat="1" ht="18" customHeight="1" thickTop="1" thickBot="1">
      <c r="A22" s="227"/>
      <c r="B22" s="227"/>
      <c r="C22" s="227"/>
      <c r="D22" s="227"/>
      <c r="E22" s="227"/>
      <c r="F22" s="116"/>
      <c r="G22" s="116"/>
      <c r="H22" s="116"/>
      <c r="I22" s="116"/>
      <c r="J22" s="116"/>
      <c r="K22" s="117"/>
      <c r="L22" s="4"/>
      <c r="M22" s="4" t="s">
        <v>353</v>
      </c>
      <c r="N22" s="118" t="s">
        <v>354</v>
      </c>
      <c r="O22" s="118" t="s">
        <v>351</v>
      </c>
      <c r="P22" s="119" t="s">
        <v>352</v>
      </c>
      <c r="Q22" s="120"/>
      <c r="R22" s="120"/>
      <c r="S22" s="120"/>
      <c r="T22" s="121"/>
    </row>
    <row r="23" spans="1:20" s="5" customFormat="1" ht="13.9" customHeight="1" thickTop="1">
      <c r="A23" s="578" t="s">
        <v>68</v>
      </c>
      <c r="B23" s="579"/>
      <c r="C23" s="579"/>
      <c r="D23" s="579"/>
      <c r="E23" s="579"/>
      <c r="F23" s="580" t="s">
        <v>69</v>
      </c>
      <c r="G23" s="580"/>
      <c r="H23" s="580"/>
      <c r="I23" s="581"/>
      <c r="J23" s="581"/>
      <c r="K23" s="582"/>
      <c r="L23" s="4"/>
      <c r="M23" s="4">
        <v>149.16999999999999</v>
      </c>
      <c r="N23" s="4">
        <v>149.11699999999999</v>
      </c>
      <c r="O23" s="4">
        <v>0</v>
      </c>
      <c r="P23" s="4">
        <v>0</v>
      </c>
    </row>
    <row r="24" spans="1:20" s="5" customFormat="1" ht="13.9" customHeight="1">
      <c r="A24" s="583" t="s">
        <v>5</v>
      </c>
      <c r="B24" s="584"/>
      <c r="C24" s="584"/>
      <c r="D24" s="584"/>
      <c r="E24" s="584"/>
      <c r="F24" s="585" t="s">
        <v>6</v>
      </c>
      <c r="G24" s="585"/>
      <c r="H24" s="585"/>
      <c r="I24" s="586"/>
      <c r="J24" s="586"/>
      <c r="K24" s="587"/>
      <c r="L24" s="4"/>
      <c r="M24" s="4">
        <v>0</v>
      </c>
      <c r="N24" s="4"/>
      <c r="O24" s="4">
        <v>10.151999999999999</v>
      </c>
      <c r="P24" s="4">
        <v>0</v>
      </c>
    </row>
    <row r="25" spans="1:20" s="5" customFormat="1" ht="13.9" customHeight="1">
      <c r="A25" s="583" t="s">
        <v>836</v>
      </c>
      <c r="B25" s="584"/>
      <c r="C25" s="584"/>
      <c r="D25" s="584"/>
      <c r="E25" s="584"/>
      <c r="F25" s="590" t="s">
        <v>837</v>
      </c>
      <c r="G25" s="590"/>
      <c r="H25" s="590"/>
      <c r="I25" s="591"/>
      <c r="J25" s="591"/>
      <c r="K25" s="592"/>
      <c r="L25" s="4"/>
      <c r="M25" s="4">
        <v>0</v>
      </c>
      <c r="N25" s="4">
        <v>8.4559999999999995</v>
      </c>
      <c r="O25" s="4">
        <v>9.2609999999999992</v>
      </c>
      <c r="P25" s="4">
        <v>0</v>
      </c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>
        <v>4</v>
      </c>
      <c r="N26" s="4">
        <v>4</v>
      </c>
      <c r="O26" s="4">
        <v>4</v>
      </c>
      <c r="P26" s="4">
        <v>4</v>
      </c>
    </row>
    <row r="27" spans="1:20" s="5" customFormat="1" ht="13.9" customHeight="1">
      <c r="A27" s="583"/>
      <c r="B27" s="584"/>
      <c r="C27" s="584"/>
      <c r="D27" s="584"/>
      <c r="E27" s="584"/>
      <c r="F27" s="590"/>
      <c r="G27" s="590"/>
      <c r="H27" s="590"/>
      <c r="I27" s="591"/>
      <c r="J27" s="591"/>
      <c r="K27" s="592"/>
      <c r="L27" s="4"/>
      <c r="M27" s="4">
        <v>0</v>
      </c>
      <c r="N27" s="4">
        <v>0</v>
      </c>
      <c r="O27" s="4">
        <v>309</v>
      </c>
      <c r="P27" s="4">
        <v>309</v>
      </c>
    </row>
    <row r="28" spans="1:20" s="5" customFormat="1" ht="13.9" customHeight="1">
      <c r="A28" s="583"/>
      <c r="B28" s="584"/>
      <c r="C28" s="584"/>
      <c r="D28" s="584"/>
      <c r="E28" s="584"/>
      <c r="F28" s="590"/>
      <c r="G28" s="590"/>
      <c r="H28" s="590"/>
      <c r="I28" s="591"/>
      <c r="J28" s="591"/>
      <c r="K28" s="592"/>
      <c r="L28" s="4"/>
      <c r="M28" s="4">
        <v>2300.7199999999998</v>
      </c>
      <c r="N28" s="4">
        <v>3002.72</v>
      </c>
      <c r="O28" s="4">
        <v>562.11</v>
      </c>
      <c r="P28" s="4">
        <v>562.11</v>
      </c>
    </row>
    <row r="29" spans="1:20" s="5" customFormat="1" ht="13.9" customHeight="1">
      <c r="A29" s="583"/>
      <c r="B29" s="584"/>
      <c r="C29" s="584"/>
      <c r="D29" s="584"/>
      <c r="E29" s="584"/>
      <c r="F29" s="590"/>
      <c r="G29" s="590"/>
      <c r="H29" s="590"/>
      <c r="I29" s="591"/>
      <c r="J29" s="591"/>
      <c r="K29" s="592"/>
      <c r="L29" s="4"/>
      <c r="M29" s="4">
        <v>6369.45</v>
      </c>
      <c r="N29" s="4">
        <v>6905.47</v>
      </c>
      <c r="O29" s="4">
        <v>6119.16</v>
      </c>
      <c r="P29" s="4">
        <v>9046.5499999999993</v>
      </c>
    </row>
    <row r="30" spans="1:20" s="5" customFormat="1" ht="13.9" customHeight="1">
      <c r="A30" s="583"/>
      <c r="B30" s="584"/>
      <c r="C30" s="584"/>
      <c r="D30" s="584"/>
      <c r="E30" s="584"/>
      <c r="F30" s="590"/>
      <c r="G30" s="590"/>
      <c r="H30" s="590"/>
      <c r="I30" s="591"/>
      <c r="J30" s="591"/>
      <c r="K30" s="592"/>
      <c r="L30" s="4"/>
      <c r="M30" s="4">
        <v>7896.36</v>
      </c>
      <c r="N30" s="4">
        <v>7805.84</v>
      </c>
      <c r="O30" s="4">
        <v>1921.33</v>
      </c>
      <c r="P30" s="4">
        <v>13505.69</v>
      </c>
    </row>
    <row r="31" spans="1:20" s="5" customFormat="1" ht="13.9" customHeight="1" thickBot="1">
      <c r="A31" s="588"/>
      <c r="B31" s="589"/>
      <c r="C31" s="589"/>
      <c r="D31" s="589"/>
      <c r="E31" s="589"/>
      <c r="F31" s="593"/>
      <c r="G31" s="593"/>
      <c r="H31" s="593"/>
      <c r="I31" s="594"/>
      <c r="J31" s="594"/>
      <c r="K31" s="595"/>
      <c r="L31" s="4"/>
      <c r="M31" s="4">
        <v>140</v>
      </c>
      <c r="N31" s="4">
        <v>139.6</v>
      </c>
      <c r="O31" s="4">
        <v>218.6</v>
      </c>
      <c r="P31" s="4">
        <v>209.5</v>
      </c>
    </row>
    <row r="32" spans="1:20" s="175" customFormat="1" ht="18" customHeight="1" thickTop="1">
      <c r="A32" s="227"/>
      <c r="B32" s="227"/>
      <c r="C32" s="227"/>
      <c r="D32" s="227"/>
      <c r="E32" s="227"/>
      <c r="F32" s="116"/>
      <c r="G32" s="116"/>
      <c r="H32" s="116"/>
      <c r="I32" s="116"/>
      <c r="J32" s="116"/>
      <c r="K32" s="117"/>
      <c r="L32" s="118"/>
      <c r="M32" s="118"/>
      <c r="N32" s="118"/>
      <c r="O32" s="118"/>
      <c r="P32" s="119"/>
      <c r="Q32" s="120"/>
      <c r="R32" s="120"/>
      <c r="S32" s="120"/>
      <c r="T32" s="121"/>
    </row>
    <row r="33" spans="1:20" s="111" customFormat="1" ht="48" customHeight="1">
      <c r="A33" s="596" t="s">
        <v>87</v>
      </c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108"/>
      <c r="M33" s="109"/>
      <c r="N33" s="110"/>
    </row>
    <row r="34" spans="1:20" s="112" customFormat="1" ht="18" customHeight="1">
      <c r="A34" s="597" t="s">
        <v>599</v>
      </c>
      <c r="B34" s="597"/>
      <c r="C34" s="597"/>
      <c r="D34" s="597"/>
      <c r="E34" s="597"/>
      <c r="F34" s="597"/>
      <c r="G34" s="597"/>
      <c r="H34" s="597"/>
      <c r="I34" s="597"/>
      <c r="J34" s="597"/>
      <c r="K34" s="597"/>
    </row>
    <row r="35" spans="1:20" s="175" customFormat="1" ht="20.100000000000001" customHeight="1">
      <c r="A35" s="598" t="s">
        <v>90</v>
      </c>
      <c r="B35" s="598"/>
      <c r="C35" s="598"/>
      <c r="D35" s="598"/>
      <c r="E35" s="598"/>
      <c r="F35" s="598"/>
      <c r="G35" s="598"/>
      <c r="H35" s="598"/>
      <c r="I35" s="598"/>
      <c r="J35" s="598"/>
      <c r="K35" s="598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599" t="s">
        <v>91</v>
      </c>
      <c r="B36" s="599"/>
      <c r="C36" s="599"/>
      <c r="D36" s="599"/>
      <c r="E36" s="599"/>
      <c r="F36" s="599"/>
      <c r="G36" s="599"/>
      <c r="H36" s="599"/>
      <c r="I36" s="599"/>
      <c r="J36" s="599"/>
      <c r="K36" s="599"/>
      <c r="L36" s="123"/>
      <c r="M36" s="124"/>
      <c r="N36" s="123"/>
      <c r="O36" s="123"/>
      <c r="P36" s="123"/>
      <c r="Q36" s="123"/>
      <c r="R36" s="123"/>
      <c r="S36" s="123"/>
      <c r="T36" s="123"/>
    </row>
    <row r="37" spans="1:20" s="175" customFormat="1" ht="15.95" customHeight="1">
      <c r="A37" s="600" t="str">
        <f>A4</f>
        <v>PHẦN C.: CẦU VƯỢT</v>
      </c>
      <c r="B37" s="601"/>
      <c r="C37" s="601"/>
      <c r="D37" s="601"/>
      <c r="E37" s="601"/>
      <c r="F37" s="601"/>
      <c r="G37" s="601"/>
      <c r="H37" s="601"/>
      <c r="I37" s="601"/>
      <c r="J37" s="601"/>
      <c r="K37" s="602"/>
      <c r="L37" s="123"/>
      <c r="M37" s="124"/>
      <c r="N37" s="123"/>
      <c r="O37" s="123"/>
      <c r="P37" s="123"/>
      <c r="Q37" s="123"/>
      <c r="R37" s="123"/>
      <c r="S37" s="123"/>
      <c r="T37" s="123"/>
    </row>
    <row r="38" spans="1:20" s="175" customFormat="1" ht="15.95" customHeight="1">
      <c r="A38" s="228" t="str">
        <f>A5</f>
        <v>Hạng mục C.II. HỆ MẶT CẦU, LAN CAN, THẢM MẶT CẦU, THOÁT NƯỚC, KHE CO GIÃN</v>
      </c>
      <c r="B38" s="229"/>
      <c r="C38" s="127"/>
      <c r="D38" s="127"/>
      <c r="E38" s="128"/>
      <c r="F38" s="129"/>
      <c r="G38" s="129"/>
      <c r="H38" s="129"/>
      <c r="I38" s="129"/>
      <c r="J38" s="129"/>
      <c r="K38" s="130"/>
      <c r="L38" s="123"/>
      <c r="M38" s="124"/>
      <c r="N38" s="123"/>
      <c r="O38" s="123"/>
      <c r="P38" s="123"/>
      <c r="Q38" s="123"/>
      <c r="R38" s="123"/>
      <c r="S38" s="123"/>
      <c r="T38" s="123"/>
    </row>
    <row r="39" spans="1:20" s="175" customFormat="1" ht="15.95" customHeight="1">
      <c r="A39" s="228" t="str">
        <f>A6</f>
        <v>Mục C.II.1.1.1. Bê tông bệ, thân mố loại 30MPa</v>
      </c>
      <c r="B39" s="229"/>
      <c r="C39" s="127"/>
      <c r="D39" s="127"/>
      <c r="E39" s="128"/>
      <c r="F39" s="129"/>
      <c r="G39" s="129"/>
      <c r="H39" s="129"/>
      <c r="I39" s="129"/>
      <c r="J39" s="129"/>
      <c r="K39" s="130"/>
      <c r="L39" s="123"/>
      <c r="M39" s="124"/>
      <c r="N39" s="123"/>
      <c r="O39" s="123"/>
      <c r="P39" s="123"/>
      <c r="Q39" s="123"/>
      <c r="R39" s="123"/>
      <c r="S39" s="123"/>
      <c r="T39" s="123"/>
    </row>
    <row r="40" spans="1:20" s="175" customFormat="1" ht="15.95" customHeight="1">
      <c r="A40" s="639">
        <f>A7</f>
        <v>1312.04</v>
      </c>
      <c r="B40" s="640"/>
      <c r="C40" s="640"/>
      <c r="D40" s="640"/>
      <c r="E40" s="131" t="str">
        <f>E7</f>
        <v>(m3)</v>
      </c>
      <c r="F40" s="132"/>
      <c r="G40" s="132"/>
      <c r="H40" s="132"/>
      <c r="I40" s="132"/>
      <c r="J40" s="132"/>
      <c r="K40" s="133"/>
      <c r="L40" s="173"/>
      <c r="M40" s="135"/>
      <c r="N40" s="174"/>
      <c r="P40" s="174"/>
    </row>
    <row r="41" spans="1:20" s="5" customFormat="1" ht="13.5" customHeight="1" thickBot="1">
      <c r="A41" s="28"/>
      <c r="B41" s="28"/>
      <c r="C41" s="28"/>
      <c r="D41" s="28"/>
      <c r="E41" s="28"/>
      <c r="F41" s="30"/>
      <c r="G41" s="30"/>
      <c r="H41" s="30"/>
      <c r="I41" s="30"/>
      <c r="J41" s="30"/>
      <c r="K41" s="8"/>
      <c r="L41" s="23"/>
      <c r="M41" s="9"/>
      <c r="N41" s="4"/>
      <c r="O41" s="4"/>
      <c r="P41" s="4"/>
      <c r="R41" s="4"/>
      <c r="S41" s="4"/>
      <c r="T41" s="4"/>
    </row>
    <row r="42" spans="1:20" s="5" customFormat="1" ht="21.6" customHeight="1" thickTop="1">
      <c r="A42" s="576" t="s">
        <v>3</v>
      </c>
      <c r="B42" s="641" t="s">
        <v>84</v>
      </c>
      <c r="C42" s="641"/>
      <c r="D42" s="643" t="s">
        <v>96</v>
      </c>
      <c r="E42" s="643"/>
      <c r="F42" s="643"/>
      <c r="G42" s="643"/>
      <c r="H42" s="641" t="s">
        <v>89</v>
      </c>
      <c r="I42" s="641"/>
      <c r="J42" s="641" t="s">
        <v>85</v>
      </c>
      <c r="K42" s="645"/>
      <c r="L42"/>
      <c r="M42" s="94"/>
      <c r="N42" s="94"/>
      <c r="O42" s="95"/>
      <c r="P42" s="96"/>
    </row>
    <row r="43" spans="1:20" s="5" customFormat="1" ht="21.6" customHeight="1">
      <c r="A43" s="577"/>
      <c r="B43" s="642"/>
      <c r="C43" s="642"/>
      <c r="D43" s="644"/>
      <c r="E43" s="644"/>
      <c r="F43" s="644"/>
      <c r="G43" s="644"/>
      <c r="H43" s="642"/>
      <c r="I43" s="642"/>
      <c r="J43" s="642"/>
      <c r="K43" s="646"/>
      <c r="L43"/>
      <c r="M43" s="97"/>
      <c r="N43" s="97"/>
      <c r="O43" s="98"/>
      <c r="P43" s="99"/>
    </row>
    <row r="44" spans="1:20" s="5" customFormat="1" ht="17.100000000000001" customHeight="1">
      <c r="A44" s="100">
        <v>1</v>
      </c>
      <c r="B44" s="623" t="str">
        <f>"Tháng "&amp;IF(L44&lt;10,0&amp;L44&amp;"/"&amp;M44,L44&amp;"/"&amp;M44)</f>
        <v>Tháng 08/2017</v>
      </c>
      <c r="C44" s="623"/>
      <c r="D44" s="624" t="str">
        <f>N6</f>
        <v>Bê tông bệ, thân mố loại 30MPa</v>
      </c>
      <c r="E44" s="624"/>
      <c r="F44" s="624"/>
      <c r="G44" s="624"/>
      <c r="H44" s="625">
        <f t="shared" ref="H44:H67" si="17">+SUMIFS($I$12:$I$20,$B$12:$B$20,"&gt;="&amp;$O44,$B$12:$B$20,"&lt;="&amp;$P44)</f>
        <v>0</v>
      </c>
      <c r="I44" s="625"/>
      <c r="J44" s="623"/>
      <c r="K44" s="626"/>
      <c r="L44">
        <v>8</v>
      </c>
      <c r="M44" s="101">
        <v>2017</v>
      </c>
      <c r="N44" s="97"/>
      <c r="O44" s="103">
        <f t="shared" ref="O44:O68" si="18">DATE(M44,L44,1)</f>
        <v>42948</v>
      </c>
      <c r="P44" s="103">
        <f t="shared" ref="P44:P68" si="19">DATE(M44,L44+1,0)</f>
        <v>42978</v>
      </c>
    </row>
    <row r="45" spans="1:20" s="5" customFormat="1" ht="17.100000000000001" customHeight="1">
      <c r="A45" s="104">
        <v>2</v>
      </c>
      <c r="B45" s="567" t="str">
        <f t="shared" ref="B45:B69" si="20">"Tháng "&amp;IF(L45&lt;10,0&amp;L45&amp;"/"&amp;M45,L45&amp;"/"&amp;M45)</f>
        <v>Tháng 09/2017</v>
      </c>
      <c r="C45" s="567"/>
      <c r="D45" s="568" t="str">
        <f>D44</f>
        <v>Bê tông bệ, thân mố loại 30MPa</v>
      </c>
      <c r="E45" s="568"/>
      <c r="F45" s="568"/>
      <c r="G45" s="568"/>
      <c r="H45" s="569">
        <f t="shared" si="17"/>
        <v>0</v>
      </c>
      <c r="I45" s="569"/>
      <c r="J45" s="567"/>
      <c r="K45" s="570"/>
      <c r="L45">
        <v>9</v>
      </c>
      <c r="M45" s="101">
        <v>2017</v>
      </c>
      <c r="N45"/>
      <c r="O45" s="103">
        <f t="shared" si="18"/>
        <v>42979</v>
      </c>
      <c r="P45" s="103">
        <f t="shared" si="19"/>
        <v>43008</v>
      </c>
    </row>
    <row r="46" spans="1:20" s="5" customFormat="1" ht="17.100000000000001" customHeight="1">
      <c r="A46" s="104">
        <f>A45+1</f>
        <v>3</v>
      </c>
      <c r="B46" s="567" t="str">
        <f t="shared" si="20"/>
        <v>Tháng 10/2017</v>
      </c>
      <c r="C46" s="567"/>
      <c r="D46" s="568" t="str">
        <f t="shared" ref="D46:D68" si="21">D45</f>
        <v>Bê tông bệ, thân mố loại 30MPa</v>
      </c>
      <c r="E46" s="568"/>
      <c r="F46" s="568"/>
      <c r="G46" s="568"/>
      <c r="H46" s="569">
        <f t="shared" si="17"/>
        <v>0</v>
      </c>
      <c r="I46" s="569"/>
      <c r="J46" s="567"/>
      <c r="K46" s="570"/>
      <c r="L46">
        <v>10</v>
      </c>
      <c r="M46" s="101">
        <v>2017</v>
      </c>
      <c r="N46"/>
      <c r="O46" s="103">
        <f t="shared" si="18"/>
        <v>43009</v>
      </c>
      <c r="P46" s="103">
        <f t="shared" si="19"/>
        <v>43039</v>
      </c>
    </row>
    <row r="47" spans="1:20" s="5" customFormat="1" ht="17.100000000000001" customHeight="1">
      <c r="A47" s="104">
        <f t="shared" ref="A47:A69" si="22">A46+1</f>
        <v>4</v>
      </c>
      <c r="B47" s="567" t="str">
        <f t="shared" si="20"/>
        <v>Tháng 11/2017</v>
      </c>
      <c r="C47" s="567"/>
      <c r="D47" s="568" t="str">
        <f t="shared" si="21"/>
        <v>Bê tông bệ, thân mố loại 30MPa</v>
      </c>
      <c r="E47" s="568"/>
      <c r="F47" s="568"/>
      <c r="G47" s="568"/>
      <c r="H47" s="569">
        <f t="shared" si="17"/>
        <v>0</v>
      </c>
      <c r="I47" s="569"/>
      <c r="J47" s="567"/>
      <c r="K47" s="570"/>
      <c r="L47">
        <v>11</v>
      </c>
      <c r="M47" s="101">
        <v>2017</v>
      </c>
      <c r="N47"/>
      <c r="O47" s="103">
        <f t="shared" si="18"/>
        <v>43040</v>
      </c>
      <c r="P47" s="103">
        <f t="shared" si="19"/>
        <v>43069</v>
      </c>
    </row>
    <row r="48" spans="1:20" s="5" customFormat="1" ht="17.100000000000001" customHeight="1">
      <c r="A48" s="104">
        <f t="shared" si="22"/>
        <v>5</v>
      </c>
      <c r="B48" s="567" t="str">
        <f t="shared" si="20"/>
        <v>Tháng 12/2017</v>
      </c>
      <c r="C48" s="567"/>
      <c r="D48" s="568" t="str">
        <f t="shared" si="21"/>
        <v>Bê tông bệ, thân mố loại 30MPa</v>
      </c>
      <c r="E48" s="568"/>
      <c r="F48" s="568"/>
      <c r="G48" s="568"/>
      <c r="H48" s="569">
        <f t="shared" si="17"/>
        <v>0</v>
      </c>
      <c r="I48" s="569"/>
      <c r="J48" s="567"/>
      <c r="K48" s="570"/>
      <c r="L48">
        <v>12</v>
      </c>
      <c r="M48" s="101">
        <v>2017</v>
      </c>
      <c r="N48"/>
      <c r="O48" s="103">
        <f t="shared" si="18"/>
        <v>43070</v>
      </c>
      <c r="P48" s="103">
        <f t="shared" si="19"/>
        <v>43100</v>
      </c>
    </row>
    <row r="49" spans="1:16" s="5" customFormat="1" ht="17.100000000000001" customHeight="1">
      <c r="A49" s="104">
        <f t="shared" si="22"/>
        <v>6</v>
      </c>
      <c r="B49" s="567" t="str">
        <f t="shared" si="20"/>
        <v>Tháng 01/2018</v>
      </c>
      <c r="C49" s="567"/>
      <c r="D49" s="568" t="str">
        <f t="shared" si="21"/>
        <v>Bê tông bệ, thân mố loại 30MPa</v>
      </c>
      <c r="E49" s="568"/>
      <c r="F49" s="568"/>
      <c r="G49" s="568"/>
      <c r="H49" s="569">
        <f t="shared" si="17"/>
        <v>0</v>
      </c>
      <c r="I49" s="569"/>
      <c r="J49" s="567"/>
      <c r="K49" s="570"/>
      <c r="L49">
        <v>1</v>
      </c>
      <c r="M49" s="101">
        <v>2018</v>
      </c>
      <c r="N49"/>
      <c r="O49" s="103">
        <f t="shared" si="18"/>
        <v>43101</v>
      </c>
      <c r="P49" s="103">
        <f t="shared" si="19"/>
        <v>43131</v>
      </c>
    </row>
    <row r="50" spans="1:16" s="5" customFormat="1" ht="17.100000000000001" customHeight="1">
      <c r="A50" s="104">
        <f t="shared" si="22"/>
        <v>7</v>
      </c>
      <c r="B50" s="567" t="str">
        <f t="shared" si="20"/>
        <v>Tháng 02/2018</v>
      </c>
      <c r="C50" s="567"/>
      <c r="D50" s="568" t="str">
        <f t="shared" si="21"/>
        <v>Bê tông bệ, thân mố loại 30MPa</v>
      </c>
      <c r="E50" s="568"/>
      <c r="F50" s="568"/>
      <c r="G50" s="568"/>
      <c r="H50" s="569">
        <f t="shared" si="17"/>
        <v>0</v>
      </c>
      <c r="I50" s="569"/>
      <c r="J50" s="567"/>
      <c r="K50" s="570"/>
      <c r="L50">
        <v>2</v>
      </c>
      <c r="M50" s="101">
        <v>2018</v>
      </c>
      <c r="N50"/>
      <c r="O50" s="103">
        <f t="shared" si="18"/>
        <v>43132</v>
      </c>
      <c r="P50" s="103">
        <f t="shared" si="19"/>
        <v>43159</v>
      </c>
    </row>
    <row r="51" spans="1:16" s="5" customFormat="1" ht="17.100000000000001" customHeight="1">
      <c r="A51" s="104">
        <f t="shared" si="22"/>
        <v>8</v>
      </c>
      <c r="B51" s="567" t="str">
        <f t="shared" si="20"/>
        <v>Tháng 03/2018</v>
      </c>
      <c r="C51" s="567"/>
      <c r="D51" s="568" t="str">
        <f t="shared" si="21"/>
        <v>Bê tông bệ, thân mố loại 30MPa</v>
      </c>
      <c r="E51" s="568"/>
      <c r="F51" s="568"/>
      <c r="G51" s="568"/>
      <c r="H51" s="569">
        <f t="shared" si="17"/>
        <v>0</v>
      </c>
      <c r="I51" s="569"/>
      <c r="J51" s="567"/>
      <c r="K51" s="570"/>
      <c r="L51">
        <v>3</v>
      </c>
      <c r="M51" s="101">
        <v>2018</v>
      </c>
      <c r="N51"/>
      <c r="O51" s="103">
        <f t="shared" si="18"/>
        <v>43160</v>
      </c>
      <c r="P51" s="103">
        <f t="shared" si="19"/>
        <v>43190</v>
      </c>
    </row>
    <row r="52" spans="1:16" s="5" customFormat="1" ht="17.100000000000001" customHeight="1">
      <c r="A52" s="104">
        <f t="shared" si="22"/>
        <v>9</v>
      </c>
      <c r="B52" s="567" t="str">
        <f t="shared" si="20"/>
        <v>Tháng 04/2018</v>
      </c>
      <c r="C52" s="567"/>
      <c r="D52" s="568" t="str">
        <f t="shared" si="21"/>
        <v>Bê tông bệ, thân mố loại 30MPa</v>
      </c>
      <c r="E52" s="568"/>
      <c r="F52" s="568"/>
      <c r="G52" s="568"/>
      <c r="H52" s="569">
        <f t="shared" si="17"/>
        <v>0</v>
      </c>
      <c r="I52" s="569"/>
      <c r="J52" s="567"/>
      <c r="K52" s="570"/>
      <c r="L52">
        <v>4</v>
      </c>
      <c r="M52" s="101">
        <v>2018</v>
      </c>
      <c r="N52"/>
      <c r="O52" s="103">
        <f t="shared" si="18"/>
        <v>43191</v>
      </c>
      <c r="P52" s="103">
        <f t="shared" si="19"/>
        <v>43220</v>
      </c>
    </row>
    <row r="53" spans="1:16" s="5" customFormat="1" ht="17.100000000000001" customHeight="1">
      <c r="A53" s="104">
        <f t="shared" si="22"/>
        <v>10</v>
      </c>
      <c r="B53" s="567" t="str">
        <f t="shared" si="20"/>
        <v>Tháng 05/2018</v>
      </c>
      <c r="C53" s="567"/>
      <c r="D53" s="568" t="str">
        <f t="shared" si="21"/>
        <v>Bê tông bệ, thân mố loại 30MPa</v>
      </c>
      <c r="E53" s="568"/>
      <c r="F53" s="568"/>
      <c r="G53" s="568"/>
      <c r="H53" s="569">
        <f t="shared" si="17"/>
        <v>0</v>
      </c>
      <c r="I53" s="569"/>
      <c r="J53" s="567"/>
      <c r="K53" s="570"/>
      <c r="L53">
        <v>5</v>
      </c>
      <c r="M53" s="101">
        <v>2018</v>
      </c>
      <c r="N53"/>
      <c r="O53" s="103">
        <f t="shared" si="18"/>
        <v>43221</v>
      </c>
      <c r="P53" s="103">
        <f t="shared" si="19"/>
        <v>43251</v>
      </c>
    </row>
    <row r="54" spans="1:16" s="5" customFormat="1" ht="17.100000000000001" customHeight="1">
      <c r="A54" s="104">
        <f t="shared" si="22"/>
        <v>11</v>
      </c>
      <c r="B54" s="567" t="str">
        <f t="shared" si="20"/>
        <v>Tháng 06/2018</v>
      </c>
      <c r="C54" s="567"/>
      <c r="D54" s="568" t="str">
        <f t="shared" si="21"/>
        <v>Bê tông bệ, thân mố loại 30MPa</v>
      </c>
      <c r="E54" s="568"/>
      <c r="F54" s="568"/>
      <c r="G54" s="568"/>
      <c r="H54" s="569">
        <f t="shared" si="17"/>
        <v>0</v>
      </c>
      <c r="I54" s="569"/>
      <c r="J54" s="567"/>
      <c r="K54" s="570"/>
      <c r="L54">
        <v>6</v>
      </c>
      <c r="M54" s="101">
        <v>2018</v>
      </c>
      <c r="N54"/>
      <c r="O54" s="103">
        <f t="shared" si="18"/>
        <v>43252</v>
      </c>
      <c r="P54" s="103">
        <f t="shared" si="19"/>
        <v>43281</v>
      </c>
    </row>
    <row r="55" spans="1:16" s="5" customFormat="1" ht="17.100000000000001" customHeight="1">
      <c r="A55" s="104">
        <f t="shared" si="22"/>
        <v>12</v>
      </c>
      <c r="B55" s="567" t="str">
        <f t="shared" si="20"/>
        <v>Tháng 07/2018</v>
      </c>
      <c r="C55" s="567"/>
      <c r="D55" s="568" t="str">
        <f t="shared" si="21"/>
        <v>Bê tông bệ, thân mố loại 30MPa</v>
      </c>
      <c r="E55" s="568"/>
      <c r="F55" s="568"/>
      <c r="G55" s="568"/>
      <c r="H55" s="569">
        <f t="shared" si="17"/>
        <v>0</v>
      </c>
      <c r="I55" s="569"/>
      <c r="J55" s="567"/>
      <c r="K55" s="570"/>
      <c r="L55">
        <v>7</v>
      </c>
      <c r="M55" s="101">
        <v>2018</v>
      </c>
      <c r="N55"/>
      <c r="O55" s="103">
        <f t="shared" si="18"/>
        <v>43282</v>
      </c>
      <c r="P55" s="103">
        <f t="shared" si="19"/>
        <v>43312</v>
      </c>
    </row>
    <row r="56" spans="1:16" s="5" customFormat="1" ht="17.100000000000001" customHeight="1">
      <c r="A56" s="104">
        <f t="shared" si="22"/>
        <v>13</v>
      </c>
      <c r="B56" s="567" t="str">
        <f t="shared" si="20"/>
        <v>Tháng 08/2018</v>
      </c>
      <c r="C56" s="567"/>
      <c r="D56" s="568" t="str">
        <f t="shared" si="21"/>
        <v>Bê tông bệ, thân mố loại 30MPa</v>
      </c>
      <c r="E56" s="568"/>
      <c r="F56" s="568"/>
      <c r="G56" s="568"/>
      <c r="H56" s="569">
        <f t="shared" si="17"/>
        <v>372.26</v>
      </c>
      <c r="I56" s="569"/>
      <c r="J56" s="567"/>
      <c r="K56" s="570"/>
      <c r="L56">
        <v>8</v>
      </c>
      <c r="M56" s="101">
        <v>2018</v>
      </c>
      <c r="N56"/>
      <c r="O56" s="103">
        <f t="shared" si="18"/>
        <v>43313</v>
      </c>
      <c r="P56" s="103">
        <f t="shared" si="19"/>
        <v>43343</v>
      </c>
    </row>
    <row r="57" spans="1:16" s="5" customFormat="1" ht="17.100000000000001" customHeight="1">
      <c r="A57" s="104">
        <f t="shared" si="22"/>
        <v>14</v>
      </c>
      <c r="B57" s="567" t="str">
        <f t="shared" si="20"/>
        <v>Tháng 09/2018</v>
      </c>
      <c r="C57" s="567"/>
      <c r="D57" s="568" t="str">
        <f t="shared" si="21"/>
        <v>Bê tông bệ, thân mố loại 30MPa</v>
      </c>
      <c r="E57" s="568"/>
      <c r="F57" s="568"/>
      <c r="G57" s="568"/>
      <c r="H57" s="569">
        <f t="shared" si="17"/>
        <v>239.80500000000001</v>
      </c>
      <c r="I57" s="569"/>
      <c r="J57" s="567"/>
      <c r="K57" s="570"/>
      <c r="L57">
        <v>9</v>
      </c>
      <c r="M57" s="101">
        <v>2018</v>
      </c>
      <c r="N57"/>
      <c r="O57" s="103">
        <f t="shared" si="18"/>
        <v>43344</v>
      </c>
      <c r="P57" s="103">
        <f t="shared" si="19"/>
        <v>43373</v>
      </c>
    </row>
    <row r="58" spans="1:16" s="5" customFormat="1" ht="17.100000000000001" customHeight="1">
      <c r="A58" s="104">
        <f t="shared" si="22"/>
        <v>15</v>
      </c>
      <c r="B58" s="567" t="str">
        <f t="shared" si="20"/>
        <v>Tháng 10/2018</v>
      </c>
      <c r="C58" s="567"/>
      <c r="D58" s="568" t="str">
        <f t="shared" si="21"/>
        <v>Bê tông bệ, thân mố loại 30MPa</v>
      </c>
      <c r="E58" s="568"/>
      <c r="F58" s="568"/>
      <c r="G58" s="568"/>
      <c r="H58" s="569">
        <f t="shared" si="17"/>
        <v>560.62108999999998</v>
      </c>
      <c r="I58" s="569"/>
      <c r="J58" s="567"/>
      <c r="K58" s="570"/>
      <c r="L58">
        <v>10</v>
      </c>
      <c r="M58" s="101">
        <v>2018</v>
      </c>
      <c r="N58"/>
      <c r="O58" s="103">
        <f t="shared" si="18"/>
        <v>43374</v>
      </c>
      <c r="P58" s="103">
        <f t="shared" si="19"/>
        <v>43404</v>
      </c>
    </row>
    <row r="59" spans="1:16" s="5" customFormat="1" ht="17.100000000000001" customHeight="1">
      <c r="A59" s="104">
        <f t="shared" si="22"/>
        <v>16</v>
      </c>
      <c r="B59" s="567" t="str">
        <f t="shared" si="20"/>
        <v>Tháng 11/2018</v>
      </c>
      <c r="C59" s="567"/>
      <c r="D59" s="568" t="str">
        <f t="shared" si="21"/>
        <v>Bê tông bệ, thân mố loại 30MPa</v>
      </c>
      <c r="E59" s="568"/>
      <c r="F59" s="568"/>
      <c r="G59" s="568"/>
      <c r="H59" s="569">
        <f t="shared" si="17"/>
        <v>139.349335</v>
      </c>
      <c r="I59" s="569"/>
      <c r="J59" s="567"/>
      <c r="K59" s="570"/>
      <c r="L59">
        <v>11</v>
      </c>
      <c r="M59" s="101">
        <v>2018</v>
      </c>
      <c r="N59"/>
      <c r="O59" s="103">
        <f t="shared" si="18"/>
        <v>43405</v>
      </c>
      <c r="P59" s="103">
        <f t="shared" si="19"/>
        <v>43434</v>
      </c>
    </row>
    <row r="60" spans="1:16" s="5" customFormat="1" ht="17.100000000000001" customHeight="1">
      <c r="A60" s="104">
        <f t="shared" si="22"/>
        <v>17</v>
      </c>
      <c r="B60" s="567" t="str">
        <f t="shared" si="20"/>
        <v>Tháng 12/2018</v>
      </c>
      <c r="C60" s="567"/>
      <c r="D60" s="568" t="str">
        <f t="shared" si="21"/>
        <v>Bê tông bệ, thân mố loại 30MPa</v>
      </c>
      <c r="E60" s="568"/>
      <c r="F60" s="568"/>
      <c r="G60" s="568"/>
      <c r="H60" s="569">
        <f t="shared" si="17"/>
        <v>0</v>
      </c>
      <c r="I60" s="569"/>
      <c r="J60" s="567"/>
      <c r="K60" s="570"/>
      <c r="L60">
        <v>12</v>
      </c>
      <c r="M60" s="101">
        <v>2018</v>
      </c>
      <c r="N60"/>
      <c r="O60" s="103">
        <f t="shared" si="18"/>
        <v>43435</v>
      </c>
      <c r="P60" s="103">
        <f t="shared" si="19"/>
        <v>43465</v>
      </c>
    </row>
    <row r="61" spans="1:16" s="5" customFormat="1" ht="17.100000000000001" customHeight="1">
      <c r="A61" s="104">
        <f t="shared" si="22"/>
        <v>18</v>
      </c>
      <c r="B61" s="567" t="str">
        <f t="shared" si="20"/>
        <v>Tháng 01/2019</v>
      </c>
      <c r="C61" s="567"/>
      <c r="D61" s="568" t="str">
        <f t="shared" si="21"/>
        <v>Bê tông bệ, thân mố loại 30MPa</v>
      </c>
      <c r="E61" s="568"/>
      <c r="F61" s="568"/>
      <c r="G61" s="568"/>
      <c r="H61" s="569">
        <f t="shared" si="17"/>
        <v>0</v>
      </c>
      <c r="I61" s="569"/>
      <c r="J61" s="567"/>
      <c r="K61" s="570"/>
      <c r="L61">
        <v>1</v>
      </c>
      <c r="M61" s="101">
        <v>2019</v>
      </c>
      <c r="N61"/>
      <c r="O61" s="103">
        <f t="shared" si="18"/>
        <v>43466</v>
      </c>
      <c r="P61" s="103">
        <f t="shared" si="19"/>
        <v>43496</v>
      </c>
    </row>
    <row r="62" spans="1:16" s="5" customFormat="1" ht="17.100000000000001" customHeight="1">
      <c r="A62" s="104">
        <f t="shared" si="22"/>
        <v>19</v>
      </c>
      <c r="B62" s="567" t="str">
        <f t="shared" si="20"/>
        <v>Tháng 02/2019</v>
      </c>
      <c r="C62" s="567"/>
      <c r="D62" s="568" t="str">
        <f t="shared" si="21"/>
        <v>Bê tông bệ, thân mố loại 30MPa</v>
      </c>
      <c r="E62" s="568"/>
      <c r="F62" s="568"/>
      <c r="G62" s="568"/>
      <c r="H62" s="569">
        <f t="shared" si="17"/>
        <v>0</v>
      </c>
      <c r="I62" s="569"/>
      <c r="J62" s="567"/>
      <c r="K62" s="570"/>
      <c r="L62">
        <v>2</v>
      </c>
      <c r="M62" s="101">
        <v>2019</v>
      </c>
      <c r="N62"/>
      <c r="O62" s="103">
        <f t="shared" si="18"/>
        <v>43497</v>
      </c>
      <c r="P62" s="103">
        <f t="shared" si="19"/>
        <v>43524</v>
      </c>
    </row>
    <row r="63" spans="1:16" s="5" customFormat="1" ht="17.100000000000001" customHeight="1">
      <c r="A63" s="104">
        <f t="shared" si="22"/>
        <v>20</v>
      </c>
      <c r="B63" s="567" t="str">
        <f t="shared" si="20"/>
        <v>Tháng 03/2019</v>
      </c>
      <c r="C63" s="567"/>
      <c r="D63" s="568" t="str">
        <f t="shared" si="21"/>
        <v>Bê tông bệ, thân mố loại 30MPa</v>
      </c>
      <c r="E63" s="568"/>
      <c r="F63" s="568"/>
      <c r="G63" s="568"/>
      <c r="H63" s="569">
        <f t="shared" si="17"/>
        <v>0</v>
      </c>
      <c r="I63" s="569"/>
      <c r="J63" s="567"/>
      <c r="K63" s="570"/>
      <c r="L63">
        <v>3</v>
      </c>
      <c r="M63" s="101">
        <v>2019</v>
      </c>
      <c r="N63"/>
      <c r="O63" s="103">
        <f t="shared" si="18"/>
        <v>43525</v>
      </c>
      <c r="P63" s="103">
        <f t="shared" si="19"/>
        <v>43555</v>
      </c>
    </row>
    <row r="64" spans="1:16" s="5" customFormat="1" ht="17.100000000000001" customHeight="1">
      <c r="A64" s="104">
        <f t="shared" si="22"/>
        <v>21</v>
      </c>
      <c r="B64" s="567" t="str">
        <f t="shared" si="20"/>
        <v>Tháng 04/2019</v>
      </c>
      <c r="C64" s="567"/>
      <c r="D64" s="568" t="str">
        <f t="shared" si="21"/>
        <v>Bê tông bệ, thân mố loại 30MPa</v>
      </c>
      <c r="E64" s="568"/>
      <c r="F64" s="568"/>
      <c r="G64" s="568"/>
      <c r="H64" s="569">
        <f t="shared" si="17"/>
        <v>0</v>
      </c>
      <c r="I64" s="569"/>
      <c r="J64" s="567"/>
      <c r="K64" s="570"/>
      <c r="L64">
        <v>4</v>
      </c>
      <c r="M64" s="101">
        <v>2019</v>
      </c>
      <c r="N64"/>
      <c r="O64" s="103">
        <f t="shared" si="18"/>
        <v>43556</v>
      </c>
      <c r="P64" s="103">
        <f t="shared" si="19"/>
        <v>43585</v>
      </c>
    </row>
    <row r="65" spans="1:16" s="5" customFormat="1" ht="17.100000000000001" customHeight="1">
      <c r="A65" s="104">
        <f t="shared" si="22"/>
        <v>22</v>
      </c>
      <c r="B65" s="567" t="str">
        <f t="shared" si="20"/>
        <v>Tháng 05/2019</v>
      </c>
      <c r="C65" s="567"/>
      <c r="D65" s="568" t="str">
        <f t="shared" si="21"/>
        <v>Bê tông bệ, thân mố loại 30MPa</v>
      </c>
      <c r="E65" s="568"/>
      <c r="F65" s="568"/>
      <c r="G65" s="568"/>
      <c r="H65" s="569">
        <f t="shared" si="17"/>
        <v>0</v>
      </c>
      <c r="I65" s="569"/>
      <c r="J65" s="567"/>
      <c r="K65" s="570"/>
      <c r="L65">
        <v>5</v>
      </c>
      <c r="M65" s="101">
        <v>2019</v>
      </c>
      <c r="N65"/>
      <c r="O65" s="103">
        <f t="shared" si="18"/>
        <v>43586</v>
      </c>
      <c r="P65" s="103">
        <f t="shared" si="19"/>
        <v>43616</v>
      </c>
    </row>
    <row r="66" spans="1:16" s="5" customFormat="1" ht="17.100000000000001" customHeight="1">
      <c r="A66" s="104">
        <f t="shared" si="22"/>
        <v>23</v>
      </c>
      <c r="B66" s="567" t="str">
        <f t="shared" si="20"/>
        <v>Tháng 06/2019</v>
      </c>
      <c r="C66" s="567"/>
      <c r="D66" s="568" t="str">
        <f t="shared" si="21"/>
        <v>Bê tông bệ, thân mố loại 30MPa</v>
      </c>
      <c r="E66" s="568"/>
      <c r="F66" s="568"/>
      <c r="G66" s="568"/>
      <c r="H66" s="569">
        <f t="shared" si="17"/>
        <v>0</v>
      </c>
      <c r="I66" s="569"/>
      <c r="J66" s="567"/>
      <c r="K66" s="570"/>
      <c r="L66">
        <v>6</v>
      </c>
      <c r="M66" s="101">
        <v>2019</v>
      </c>
      <c r="N66"/>
      <c r="O66" s="103">
        <f t="shared" si="18"/>
        <v>43617</v>
      </c>
      <c r="P66" s="103">
        <f t="shared" si="19"/>
        <v>43646</v>
      </c>
    </row>
    <row r="67" spans="1:16" s="5" customFormat="1" ht="17.100000000000001" customHeight="1">
      <c r="A67" s="104">
        <f t="shared" si="22"/>
        <v>24</v>
      </c>
      <c r="B67" s="567" t="str">
        <f t="shared" si="20"/>
        <v>Tháng 07/2019</v>
      </c>
      <c r="C67" s="567"/>
      <c r="D67" s="568" t="str">
        <f t="shared" si="21"/>
        <v>Bê tông bệ, thân mố loại 30MPa</v>
      </c>
      <c r="E67" s="568"/>
      <c r="F67" s="568"/>
      <c r="G67" s="568"/>
      <c r="H67" s="569">
        <f t="shared" si="17"/>
        <v>0</v>
      </c>
      <c r="I67" s="569"/>
      <c r="J67" s="567"/>
      <c r="K67" s="570"/>
      <c r="L67">
        <v>7</v>
      </c>
      <c r="M67" s="101">
        <v>2019</v>
      </c>
      <c r="N67"/>
      <c r="O67" s="103">
        <f t="shared" si="18"/>
        <v>43647</v>
      </c>
      <c r="P67" s="103">
        <f t="shared" si="19"/>
        <v>43677</v>
      </c>
    </row>
    <row r="68" spans="1:16" s="5" customFormat="1" ht="17.100000000000001" customHeight="1">
      <c r="A68" s="104">
        <f t="shared" si="22"/>
        <v>25</v>
      </c>
      <c r="B68" s="567" t="str">
        <f t="shared" si="20"/>
        <v>Tháng 08/2019</v>
      </c>
      <c r="C68" s="567"/>
      <c r="D68" s="568" t="str">
        <f t="shared" si="21"/>
        <v>Bê tông bệ, thân mố loại 30MPa</v>
      </c>
      <c r="E68" s="568"/>
      <c r="F68" s="568"/>
      <c r="G68" s="568"/>
      <c r="H68" s="569">
        <f t="shared" ref="H68:H69" si="23">+SUMIFS($I$12:$I$35,$B$12:$B$35,"&gt;="&amp;$O68,$B$12:$B$35,"&lt;="&amp;$P68)</f>
        <v>0</v>
      </c>
      <c r="I68" s="569"/>
      <c r="J68" s="567"/>
      <c r="K68" s="570"/>
      <c r="L68">
        <v>8</v>
      </c>
      <c r="M68" s="101">
        <v>2019</v>
      </c>
      <c r="N68"/>
      <c r="O68" s="103">
        <f t="shared" si="18"/>
        <v>43678</v>
      </c>
      <c r="P68" s="103">
        <f t="shared" si="19"/>
        <v>43708</v>
      </c>
    </row>
    <row r="69" spans="1:16" s="5" customFormat="1" ht="17.100000000000001" customHeight="1">
      <c r="A69" s="104">
        <f t="shared" si="22"/>
        <v>26</v>
      </c>
      <c r="B69" s="616" t="str">
        <f t="shared" si="20"/>
        <v>Tháng 09/2019</v>
      </c>
      <c r="C69" s="616"/>
      <c r="D69" s="652" t="str">
        <f>D67</f>
        <v>Bê tông bệ, thân mố loại 30MPa</v>
      </c>
      <c r="E69" s="652"/>
      <c r="F69" s="652"/>
      <c r="G69" s="652"/>
      <c r="H69" s="615">
        <f t="shared" si="23"/>
        <v>0</v>
      </c>
      <c r="I69" s="615"/>
      <c r="J69" s="616"/>
      <c r="K69" s="617"/>
      <c r="L69">
        <v>9</v>
      </c>
      <c r="M69" s="101">
        <v>2019</v>
      </c>
      <c r="N69"/>
      <c r="O69" s="103">
        <f>DATE(M69,L69,1)</f>
        <v>43709</v>
      </c>
      <c r="P69" s="103">
        <f>DATE(M69,L69+1,0)</f>
        <v>43738</v>
      </c>
    </row>
    <row r="70" spans="1:16" s="5" customFormat="1" ht="21.6" customHeight="1" thickBot="1">
      <c r="A70" s="618" t="s">
        <v>86</v>
      </c>
      <c r="B70" s="619"/>
      <c r="C70" s="619"/>
      <c r="D70" s="619"/>
      <c r="E70" s="619"/>
      <c r="F70" s="619"/>
      <c r="G70" s="620"/>
      <c r="H70" s="621">
        <f t="shared" ref="H70" si="24">SUM(H44:I69)</f>
        <v>1312.035425</v>
      </c>
      <c r="I70" s="622"/>
      <c r="J70" s="621"/>
      <c r="K70" s="622"/>
      <c r="L70"/>
      <c r="M70"/>
      <c r="N70"/>
      <c r="O70"/>
      <c r="P70"/>
    </row>
    <row r="71" spans="1:16" s="5" customFormat="1" ht="18" customHeight="1" thickTop="1" thickBot="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4"/>
      <c r="M71" s="4"/>
      <c r="N71" s="4"/>
      <c r="O71" s="4"/>
      <c r="P71" s="20"/>
    </row>
    <row r="72" spans="1:16" s="5" customFormat="1" ht="13.9" customHeight="1" thickTop="1">
      <c r="A72" s="647" t="s">
        <v>68</v>
      </c>
      <c r="B72" s="648"/>
      <c r="C72" s="648"/>
      <c r="D72" s="648"/>
      <c r="E72" s="648"/>
      <c r="F72" s="649" t="s">
        <v>69</v>
      </c>
      <c r="G72" s="649"/>
      <c r="H72" s="649"/>
      <c r="I72" s="650"/>
      <c r="J72" s="650"/>
      <c r="K72" s="651"/>
      <c r="L72" s="4"/>
      <c r="M72" s="4"/>
      <c r="N72" s="4"/>
      <c r="O72" s="4"/>
      <c r="P72" s="4"/>
    </row>
    <row r="73" spans="1:16" s="5" customFormat="1" ht="13.9" customHeight="1">
      <c r="A73" s="583" t="s">
        <v>5</v>
      </c>
      <c r="B73" s="584"/>
      <c r="C73" s="584"/>
      <c r="D73" s="584"/>
      <c r="E73" s="584"/>
      <c r="F73" s="585" t="s">
        <v>6</v>
      </c>
      <c r="G73" s="585"/>
      <c r="H73" s="585"/>
      <c r="I73" s="586"/>
      <c r="J73" s="586"/>
      <c r="K73" s="587"/>
      <c r="L73" s="4"/>
      <c r="M73" s="4"/>
      <c r="N73" s="4"/>
      <c r="O73" s="4"/>
      <c r="P73" s="4"/>
    </row>
    <row r="74" spans="1:16" s="5" customFormat="1" ht="13.9" customHeight="1">
      <c r="A74" s="583" t="s">
        <v>836</v>
      </c>
      <c r="B74" s="584"/>
      <c r="C74" s="584"/>
      <c r="D74" s="584"/>
      <c r="E74" s="584"/>
      <c r="F74" s="590" t="s">
        <v>837</v>
      </c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16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16" s="5" customFormat="1" ht="13.9" customHeight="1">
      <c r="A76" s="583"/>
      <c r="B76" s="584"/>
      <c r="C76" s="584"/>
      <c r="D76" s="584"/>
      <c r="E76" s="584"/>
      <c r="F76" s="590"/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16" s="5" customFormat="1" ht="13.9" customHeight="1">
      <c r="A77" s="583"/>
      <c r="B77" s="584"/>
      <c r="C77" s="584"/>
      <c r="D77" s="584"/>
      <c r="E77" s="584"/>
      <c r="F77" s="590"/>
      <c r="G77" s="590"/>
      <c r="H77" s="590"/>
      <c r="I77" s="591"/>
      <c r="J77" s="591"/>
      <c r="K77" s="592"/>
      <c r="L77" s="4"/>
      <c r="M77" s="4"/>
      <c r="N77" s="4"/>
      <c r="O77" s="4"/>
      <c r="P77" s="4"/>
    </row>
    <row r="78" spans="1:16" s="5" customFormat="1" ht="13.9" customHeight="1">
      <c r="A78" s="583"/>
      <c r="B78" s="584"/>
      <c r="C78" s="584"/>
      <c r="D78" s="584"/>
      <c r="E78" s="584"/>
      <c r="F78" s="590"/>
      <c r="G78" s="590"/>
      <c r="H78" s="590"/>
      <c r="I78" s="591"/>
      <c r="J78" s="591"/>
      <c r="K78" s="592"/>
      <c r="L78" s="4"/>
      <c r="M78" s="4"/>
      <c r="N78" s="4"/>
      <c r="O78" s="4"/>
      <c r="P78" s="4"/>
    </row>
    <row r="79" spans="1:16" s="5" customFormat="1" ht="13.9" customHeight="1">
      <c r="A79" s="583"/>
      <c r="B79" s="584"/>
      <c r="C79" s="584"/>
      <c r="D79" s="584"/>
      <c r="E79" s="584"/>
      <c r="F79" s="590"/>
      <c r="G79" s="590"/>
      <c r="H79" s="590"/>
      <c r="I79" s="591"/>
      <c r="J79" s="591"/>
      <c r="K79" s="592"/>
      <c r="L79" s="4"/>
      <c r="M79" s="4"/>
      <c r="N79" s="4"/>
      <c r="O79" s="4"/>
      <c r="P79" s="4"/>
    </row>
    <row r="80" spans="1:16" s="5" customFormat="1" ht="13.9" customHeight="1" thickBot="1">
      <c r="A80" s="588"/>
      <c r="B80" s="589"/>
      <c r="C80" s="589"/>
      <c r="D80" s="589"/>
      <c r="E80" s="589"/>
      <c r="F80" s="593"/>
      <c r="G80" s="593"/>
      <c r="H80" s="593"/>
      <c r="I80" s="594"/>
      <c r="J80" s="594"/>
      <c r="K80" s="595"/>
      <c r="L80" s="4"/>
      <c r="M80" s="4"/>
      <c r="N80" s="4"/>
      <c r="O80" s="4"/>
      <c r="P80" s="4"/>
    </row>
    <row r="81" spans="1:20" s="5" customFormat="1" ht="15.75" thickTop="1">
      <c r="A81" s="4"/>
      <c r="B81" s="12"/>
      <c r="C81" s="10"/>
      <c r="D81" s="10"/>
      <c r="E81" s="10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R81" s="4"/>
      <c r="S81" s="4"/>
      <c r="T81" s="4"/>
    </row>
  </sheetData>
  <mergeCells count="154">
    <mergeCell ref="A72:E72"/>
    <mergeCell ref="F72:K72"/>
    <mergeCell ref="A73:E73"/>
    <mergeCell ref="F73:K73"/>
    <mergeCell ref="A74:E80"/>
    <mergeCell ref="F74:K80"/>
    <mergeCell ref="B68:C68"/>
    <mergeCell ref="D68:G68"/>
    <mergeCell ref="H68:I68"/>
    <mergeCell ref="J68:K68"/>
    <mergeCell ref="A70:G70"/>
    <mergeCell ref="H70:I70"/>
    <mergeCell ref="J70:K70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A37:K37"/>
    <mergeCell ref="A40:D40"/>
    <mergeCell ref="A42:A43"/>
    <mergeCell ref="B42:C43"/>
    <mergeCell ref="D42:G43"/>
    <mergeCell ref="H42:I43"/>
    <mergeCell ref="J42:K43"/>
    <mergeCell ref="A25:E31"/>
    <mergeCell ref="F25:K31"/>
    <mergeCell ref="A33:K33"/>
    <mergeCell ref="A34:K34"/>
    <mergeCell ref="A35:K35"/>
    <mergeCell ref="A36:K36"/>
    <mergeCell ref="C19:E19"/>
    <mergeCell ref="C20:E20"/>
    <mergeCell ref="A21:E21"/>
    <mergeCell ref="A23:E23"/>
    <mergeCell ref="F23:K23"/>
    <mergeCell ref="A24:E24"/>
    <mergeCell ref="F24:K24"/>
    <mergeCell ref="I9:I11"/>
    <mergeCell ref="J9:J11"/>
    <mergeCell ref="K9:K11"/>
    <mergeCell ref="C12:E12"/>
    <mergeCell ref="C17:E17"/>
    <mergeCell ref="C18:E18"/>
    <mergeCell ref="C16:E16"/>
    <mergeCell ref="C14:E14"/>
    <mergeCell ref="C13:E13"/>
    <mergeCell ref="C15:E15"/>
    <mergeCell ref="K12:K19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32" max="10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rgb="FFFFFF00"/>
  </sheetPr>
  <dimension ref="A1:T77"/>
  <sheetViews>
    <sheetView view="pageBreakPreview" topLeftCell="A61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C.II.1.1.2. Bê tông bản quá độ 25MPa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338</v>
      </c>
      <c r="N6" s="245" t="str">
        <f>THKLQT!C101</f>
        <v>Bê tông bản quá độ 25MPa</v>
      </c>
      <c r="Q6" s="17"/>
    </row>
    <row r="7" spans="1:20" s="178" customFormat="1" ht="18.75" customHeight="1">
      <c r="A7" s="634">
        <f>I17</f>
        <v>114.92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THKLQT!D101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43578</v>
      </c>
      <c r="C12" s="571" t="str">
        <f>T12</f>
        <v>Bê tông bản quá độ 25MPa A1P</v>
      </c>
      <c r="D12" s="572"/>
      <c r="E12" s="573"/>
      <c r="F12" s="2">
        <f>P12</f>
        <v>28.8</v>
      </c>
      <c r="G12" s="1">
        <f>P12</f>
        <v>28.8</v>
      </c>
      <c r="H12" s="295">
        <f>P12</f>
        <v>28.8</v>
      </c>
      <c r="I12" s="107">
        <f>P12</f>
        <v>28.8</v>
      </c>
      <c r="J12" s="107">
        <f>P12</f>
        <v>28.8</v>
      </c>
      <c r="K12" s="700" t="s">
        <v>682</v>
      </c>
      <c r="L12" s="4" t="s">
        <v>748</v>
      </c>
      <c r="N12" s="118"/>
      <c r="O12" s="118" t="s">
        <v>342</v>
      </c>
      <c r="P12" s="88">
        <v>28.8</v>
      </c>
      <c r="Q12" s="89">
        <v>43578</v>
      </c>
      <c r="R12" s="88"/>
      <c r="S12" s="88" t="e">
        <f>VLOOKUP($S$11,hamchuigoi3,M12,0)</f>
        <v>#VALUE!</v>
      </c>
      <c r="T12" s="3" t="str">
        <f t="shared" ref="T12:T14" si="0">$N$6&amp;" "&amp;O12</f>
        <v>Bê tông bản quá độ 25MPa A1P</v>
      </c>
    </row>
    <row r="13" spans="1:20" ht="14.25" outlineLevel="2">
      <c r="A13" s="81">
        <f>SUBTOTAL(103,$B$12:B13)</f>
        <v>2</v>
      </c>
      <c r="B13" s="78">
        <f t="shared" ref="B13:B15" si="1">Q13</f>
        <v>43579</v>
      </c>
      <c r="C13" s="571" t="str">
        <f t="shared" ref="C13:C15" si="2">T13</f>
        <v>Bê tông bản quá độ 25MPa A1T</v>
      </c>
      <c r="D13" s="572"/>
      <c r="E13" s="573"/>
      <c r="F13" s="2">
        <f t="shared" ref="F13:F15" si="3">P13</f>
        <v>28.92</v>
      </c>
      <c r="G13" s="1">
        <f t="shared" ref="G13:G15" si="4">P13</f>
        <v>28.92</v>
      </c>
      <c r="H13" s="295">
        <f t="shared" ref="H13:H15" si="5">P13</f>
        <v>28.92</v>
      </c>
      <c r="I13" s="107">
        <f t="shared" ref="I13:I15" si="6">P13</f>
        <v>28.92</v>
      </c>
      <c r="J13" s="107">
        <f t="shared" ref="J13:J15" si="7">P13</f>
        <v>28.92</v>
      </c>
      <c r="K13" s="701"/>
      <c r="N13" s="118"/>
      <c r="O13" s="118" t="s">
        <v>343</v>
      </c>
      <c r="P13" s="88">
        <v>28.92</v>
      </c>
      <c r="Q13" s="89">
        <v>43579</v>
      </c>
      <c r="R13" s="88"/>
      <c r="S13" s="88" t="e">
        <f>VLOOKUP($S$11,hamchuigoi3,M13,0)</f>
        <v>#VALUE!</v>
      </c>
      <c r="T13" s="3" t="str">
        <f t="shared" si="0"/>
        <v>Bê tông bản quá độ 25MPa A1T</v>
      </c>
    </row>
    <row r="14" spans="1:20" ht="14.25" outlineLevel="2">
      <c r="A14" s="81">
        <f>SUBTOTAL(103,$B$12:B14)</f>
        <v>3</v>
      </c>
      <c r="B14" s="78">
        <f t="shared" si="1"/>
        <v>43581</v>
      </c>
      <c r="C14" s="571" t="str">
        <f t="shared" si="2"/>
        <v>Bê tông bản quá độ 25MPa A2P</v>
      </c>
      <c r="D14" s="572"/>
      <c r="E14" s="573"/>
      <c r="F14" s="2">
        <f t="shared" si="3"/>
        <v>28.5</v>
      </c>
      <c r="G14" s="1">
        <f t="shared" si="4"/>
        <v>28.5</v>
      </c>
      <c r="H14" s="295">
        <f t="shared" si="5"/>
        <v>28.5</v>
      </c>
      <c r="I14" s="107">
        <f t="shared" si="6"/>
        <v>28.5</v>
      </c>
      <c r="J14" s="107">
        <f t="shared" si="7"/>
        <v>28.5</v>
      </c>
      <c r="K14" s="701"/>
      <c r="N14" s="118"/>
      <c r="O14" s="118" t="s">
        <v>344</v>
      </c>
      <c r="P14" s="88">
        <v>28.5</v>
      </c>
      <c r="Q14" s="89">
        <v>43581</v>
      </c>
      <c r="R14" s="88"/>
      <c r="S14" s="88" t="e">
        <f>VLOOKUP($S$11,hamchuigoi3,M14,0)</f>
        <v>#VALUE!</v>
      </c>
      <c r="T14" s="3" t="str">
        <f t="shared" si="0"/>
        <v>Bê tông bản quá độ 25MPa A2P</v>
      </c>
    </row>
    <row r="15" spans="1:20" ht="14.25" outlineLevel="2">
      <c r="A15" s="81">
        <f>SUBTOTAL(103,$B$12:B15)</f>
        <v>4</v>
      </c>
      <c r="B15" s="78">
        <f t="shared" si="1"/>
        <v>43582</v>
      </c>
      <c r="C15" s="571" t="str">
        <f t="shared" si="2"/>
        <v>Bê tông bản quá độ 25MPa A2T</v>
      </c>
      <c r="D15" s="572"/>
      <c r="E15" s="573"/>
      <c r="F15" s="2">
        <f t="shared" si="3"/>
        <v>28.7</v>
      </c>
      <c r="G15" s="1">
        <f t="shared" si="4"/>
        <v>28.7</v>
      </c>
      <c r="H15" s="295">
        <f t="shared" si="5"/>
        <v>28.7</v>
      </c>
      <c r="I15" s="107">
        <f t="shared" si="6"/>
        <v>28.7</v>
      </c>
      <c r="J15" s="107">
        <f t="shared" si="7"/>
        <v>28.7</v>
      </c>
      <c r="K15" s="702"/>
      <c r="N15" s="118"/>
      <c r="O15" s="118" t="s">
        <v>345</v>
      </c>
      <c r="P15" s="88">
        <v>28.7</v>
      </c>
      <c r="Q15" s="89">
        <v>43582</v>
      </c>
      <c r="R15" s="88"/>
      <c r="S15" s="88" t="e">
        <f>VLOOKUP($S$11,hamchuigoi3,M15,0)</f>
        <v>#VALUE!</v>
      </c>
      <c r="T15" s="3" t="str">
        <f>$N$6&amp;" "&amp;O15</f>
        <v>Bê tông bản quá độ 25MPa A2T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382">
        <f>'[1]Ban qua do'!$G$42</f>
        <v>114.92176111116</v>
      </c>
      <c r="G17" s="79">
        <f t="shared" ref="G17:J17" si="8">ROUND(SUM(G12:G16),2)</f>
        <v>114.92</v>
      </c>
      <c r="H17" s="79">
        <f t="shared" si="8"/>
        <v>114.92</v>
      </c>
      <c r="I17" s="79">
        <f t="shared" si="8"/>
        <v>114.92</v>
      </c>
      <c r="J17" s="79">
        <f t="shared" si="8"/>
        <v>114.92</v>
      </c>
      <c r="K17" s="80"/>
      <c r="N17" s="118"/>
      <c r="O17" s="118"/>
      <c r="P17" s="90">
        <f>SUM(P12:P12)</f>
        <v>28.8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C.II.1.1.2. Bê tông bản quá độ 25MPa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114.92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Bê tông bản quá độ 25MPa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Bê tông bản quá độ 25MPa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Bê tông bản quá độ 25MPa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Bê tông bản quá độ 25MPa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Bê tông bản quá độ 25MPa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Bê tông bản quá độ 25MPa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Bê tông bản quá độ 25MPa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Bê tông bản quá độ 25MPa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Bê tông bản quá độ 25MPa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Bê tông bản quá độ 25MPa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Bê tông bản quá độ 25MPa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Bê tông bản quá độ 25MPa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Bê tông bản quá độ 25MPa</v>
      </c>
      <c r="E52" s="568"/>
      <c r="F52" s="568"/>
      <c r="G52" s="568"/>
      <c r="H52" s="569">
        <f t="shared" si="9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Bê tông bản quá độ 25MPa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Bê tông bản quá độ 25MPa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Bê tông bản quá độ 25MPa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Bê tông bản quá độ 25MPa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Bê tông bản quá độ 25MPa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Bê tông bản quá độ 25MPa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Bê tông bản quá độ 25MPa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Bê tông bản quá độ 25MPa</v>
      </c>
      <c r="E60" s="568"/>
      <c r="F60" s="568"/>
      <c r="G60" s="568"/>
      <c r="H60" s="569">
        <f t="shared" si="9"/>
        <v>114.92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Bê tông bản quá độ 25MPa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Bê tông bản quá độ 25MPa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Bê tông bản quá độ 25MPa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Bê tông bản quá độ 25MPa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Bê tông bản quá độ 25MPa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114.92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70:E76"/>
    <mergeCell ref="F70:K76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K12:K15"/>
    <mergeCell ref="B65:C65"/>
    <mergeCell ref="D65:G65"/>
    <mergeCell ref="H65:I65"/>
    <mergeCell ref="J65:K6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I9:I11"/>
    <mergeCell ref="J9:J11"/>
    <mergeCell ref="K9:K11"/>
    <mergeCell ref="C12:E12"/>
    <mergeCell ref="C16:E16"/>
    <mergeCell ref="A17:E17"/>
    <mergeCell ref="C13:E13"/>
    <mergeCell ref="C14:E14"/>
    <mergeCell ref="C15:E15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>
    <tabColor rgb="FFFFC000"/>
  </sheetPr>
  <dimension ref="A1:T79"/>
  <sheetViews>
    <sheetView view="pageBreakPreview" zoomScaleSheetLayoutView="100" workbookViewId="0">
      <selection activeCell="A9" sqref="A9:F19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5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C.II.1.1.3. Đổ BT đệm đáy móng + tạo phẳng 10Mpa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337</v>
      </c>
      <c r="N6" s="245" t="str">
        <f>THKLQT!C102</f>
        <v>Đổ BT đệm đáy móng + tạo phẳng 10Mpa</v>
      </c>
      <c r="Q6" s="17"/>
    </row>
    <row r="7" spans="1:20" s="178" customFormat="1" ht="18.75" customHeight="1">
      <c r="A7" s="634">
        <f>I19</f>
        <v>57.01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THKLQT!D102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3" t="s">
        <v>72</v>
      </c>
      <c r="Q10" s="84" t="s">
        <v>71</v>
      </c>
      <c r="R10" s="83" t="s">
        <v>2</v>
      </c>
      <c r="S10" s="83" t="s">
        <v>73</v>
      </c>
      <c r="T10" s="83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9.25" customHeight="1" outlineLevel="2">
      <c r="A12" s="81">
        <f>SUBTOTAL(103,$B$12:B12)</f>
        <v>1</v>
      </c>
      <c r="B12" s="78">
        <v>43330</v>
      </c>
      <c r="C12" s="571" t="s">
        <v>684</v>
      </c>
      <c r="D12" s="572"/>
      <c r="E12" s="573"/>
      <c r="F12" s="2">
        <f>'[2]THKL MO M2'!$K$35</f>
        <v>19.404</v>
      </c>
      <c r="G12" s="1">
        <f>P12</f>
        <v>19.399999999999999</v>
      </c>
      <c r="H12" s="295">
        <f>MIN(F12:G12)</f>
        <v>19.399999999999999</v>
      </c>
      <c r="I12" s="107">
        <f>H12</f>
        <v>19.399999999999999</v>
      </c>
      <c r="J12" s="107">
        <f>P12</f>
        <v>19.399999999999999</v>
      </c>
      <c r="K12" s="703" t="s">
        <v>682</v>
      </c>
      <c r="L12" s="4" t="s">
        <v>708</v>
      </c>
      <c r="N12" s="118"/>
      <c r="O12" s="118" t="s">
        <v>367</v>
      </c>
      <c r="P12" s="88">
        <v>19.399999999999999</v>
      </c>
      <c r="Q12" s="89">
        <v>43358</v>
      </c>
      <c r="R12" s="88"/>
      <c r="S12" s="88" t="e">
        <f t="shared" ref="S12:S17" si="0">VLOOKUP($S$11,hamchuigoi3,M12,0)</f>
        <v>#VALUE!</v>
      </c>
      <c r="T12" s="3" t="str">
        <f t="shared" ref="T12:T16" si="1">$N$6&amp;" "&amp;O12</f>
        <v>Đổ BT đệm đáy móng + tạo phẳng 10Mpa ,bệ móng A1L</v>
      </c>
    </row>
    <row r="13" spans="1:20" ht="29.25" customHeight="1" outlineLevel="2">
      <c r="A13" s="81">
        <f>SUBTOTAL(103,$B$12:B13)</f>
        <v>2</v>
      </c>
      <c r="B13" s="78">
        <v>43358</v>
      </c>
      <c r="C13" s="571" t="s">
        <v>683</v>
      </c>
      <c r="D13" s="572"/>
      <c r="E13" s="573"/>
      <c r="F13" s="2">
        <f>'[2]THKL MO M1'!$K$35</f>
        <v>16.765000000000001</v>
      </c>
      <c r="G13" s="1">
        <f>F13</f>
        <v>16.765000000000001</v>
      </c>
      <c r="H13" s="295">
        <f t="shared" ref="H13:H17" si="2">MIN(F13:G13)</f>
        <v>16.765000000000001</v>
      </c>
      <c r="I13" s="107">
        <f t="shared" ref="I13:I17" si="3">H13</f>
        <v>16.765000000000001</v>
      </c>
      <c r="J13" s="107">
        <f>P13</f>
        <v>16.8</v>
      </c>
      <c r="K13" s="705"/>
      <c r="L13" s="4" t="s">
        <v>708</v>
      </c>
      <c r="N13" s="118"/>
      <c r="O13" s="118" t="s">
        <v>365</v>
      </c>
      <c r="P13" s="88">
        <v>16.8</v>
      </c>
      <c r="Q13" s="89">
        <v>43330</v>
      </c>
      <c r="R13" s="88"/>
      <c r="S13" s="88" t="e">
        <f t="shared" si="0"/>
        <v>#VALUE!</v>
      </c>
      <c r="T13" s="3" t="str">
        <f t="shared" si="1"/>
        <v>Đổ BT đệm đáy móng + tạo phẳng 10Mpa ,bệ móng A2L</v>
      </c>
    </row>
    <row r="14" spans="1:20" ht="14.25" outlineLevel="2">
      <c r="A14" s="81">
        <f>SUBTOTAL(103,$B$12:B14)</f>
        <v>3</v>
      </c>
      <c r="B14" s="78">
        <f>Q14</f>
        <v>43578</v>
      </c>
      <c r="C14" s="571" t="str">
        <f>T14</f>
        <v>Đổ BT đệm đáy móng + tạo phẳng 10Mpa A1P</v>
      </c>
      <c r="D14" s="572"/>
      <c r="E14" s="573"/>
      <c r="F14" s="416">
        <f>598727.264*(11248)*10^-9</f>
        <v>6.7344842654719992</v>
      </c>
      <c r="G14" s="1">
        <f>F14</f>
        <v>6.7344842654719992</v>
      </c>
      <c r="H14" s="295">
        <f t="shared" si="2"/>
        <v>6.7344842654719992</v>
      </c>
      <c r="I14" s="107">
        <f t="shared" si="3"/>
        <v>6.7344842654719992</v>
      </c>
      <c r="J14" s="107">
        <f>P14</f>
        <v>6.41</v>
      </c>
      <c r="K14" s="700" t="s">
        <v>685</v>
      </c>
      <c r="L14" s="4" t="s">
        <v>710</v>
      </c>
      <c r="N14" s="118"/>
      <c r="O14" s="118" t="s">
        <v>342</v>
      </c>
      <c r="P14" s="88">
        <v>6.41</v>
      </c>
      <c r="Q14" s="89">
        <v>43578</v>
      </c>
      <c r="R14" s="88"/>
      <c r="S14" s="88" t="e">
        <f t="shared" si="0"/>
        <v>#VALUE!</v>
      </c>
      <c r="T14" s="3" t="str">
        <f t="shared" ref="T14" si="4">$N$6&amp;" "&amp;O14</f>
        <v>Đổ BT đệm đáy móng + tạo phẳng 10Mpa A1P</v>
      </c>
    </row>
    <row r="15" spans="1:20" ht="14.25" outlineLevel="2">
      <c r="A15" s="81">
        <f>SUBTOTAL(103,$B$12:B15)</f>
        <v>4</v>
      </c>
      <c r="B15" s="78">
        <f t="shared" ref="B15:B17" si="5">Q15</f>
        <v>43579</v>
      </c>
      <c r="C15" s="571" t="str">
        <f t="shared" ref="C15:C17" si="6">T15</f>
        <v>Đổ BT đệm đáy móng + tạo phẳng 10Mpa A1T</v>
      </c>
      <c r="D15" s="572"/>
      <c r="E15" s="573"/>
      <c r="F15" s="416">
        <f>598727.264*(11294)*10^-9</f>
        <v>6.7620257196160001</v>
      </c>
      <c r="G15" s="1">
        <f t="shared" ref="G15" si="7">F15</f>
        <v>6.7620257196160001</v>
      </c>
      <c r="H15" s="295">
        <f t="shared" si="2"/>
        <v>6.7620257196160001</v>
      </c>
      <c r="I15" s="107">
        <f t="shared" si="3"/>
        <v>6.7620257196160001</v>
      </c>
      <c r="J15" s="107">
        <f t="shared" ref="J15:J17" si="8">P15</f>
        <v>6.44</v>
      </c>
      <c r="K15" s="701"/>
      <c r="L15" s="4" t="s">
        <v>710</v>
      </c>
      <c r="N15" s="118"/>
      <c r="O15" s="118" t="s">
        <v>343</v>
      </c>
      <c r="P15" s="88">
        <v>6.44</v>
      </c>
      <c r="Q15" s="89">
        <v>43579</v>
      </c>
      <c r="R15" s="88"/>
      <c r="S15" s="88" t="e">
        <f t="shared" si="0"/>
        <v>#VALUE!</v>
      </c>
      <c r="T15" s="3" t="str">
        <f t="shared" si="1"/>
        <v>Đổ BT đệm đáy móng + tạo phẳng 10Mpa A1T</v>
      </c>
    </row>
    <row r="16" spans="1:20" ht="14.25" outlineLevel="2">
      <c r="A16" s="81">
        <f>SUBTOTAL(103,$B$12:B16)</f>
        <v>5</v>
      </c>
      <c r="B16" s="78">
        <f t="shared" si="5"/>
        <v>43581</v>
      </c>
      <c r="C16" s="571" t="str">
        <f t="shared" si="6"/>
        <v>Đổ BT đệm đáy móng + tạo phẳng 10Mpa A2P</v>
      </c>
      <c r="D16" s="572"/>
      <c r="E16" s="573"/>
      <c r="F16" s="416">
        <f>598727.264*(1110)*10^-9</f>
        <v>0.66458726304000004</v>
      </c>
      <c r="G16" s="1">
        <f>598727.264*(11110)*10^-9</f>
        <v>6.6518599030400001</v>
      </c>
      <c r="H16" s="295">
        <f t="shared" si="2"/>
        <v>0.66458726304000004</v>
      </c>
      <c r="I16" s="107">
        <f t="shared" si="3"/>
        <v>0.66458726304000004</v>
      </c>
      <c r="J16" s="107">
        <f t="shared" si="8"/>
        <v>6.33</v>
      </c>
      <c r="K16" s="701"/>
      <c r="L16" s="4" t="s">
        <v>710</v>
      </c>
      <c r="N16" s="118"/>
      <c r="O16" s="118" t="s">
        <v>344</v>
      </c>
      <c r="P16" s="88">
        <v>6.33</v>
      </c>
      <c r="Q16" s="89">
        <v>43581</v>
      </c>
      <c r="R16" s="88"/>
      <c r="S16" s="88" t="e">
        <f t="shared" si="0"/>
        <v>#VALUE!</v>
      </c>
      <c r="T16" s="3" t="str">
        <f t="shared" si="1"/>
        <v>Đổ BT đệm đáy móng + tạo phẳng 10Mpa A2P</v>
      </c>
    </row>
    <row r="17" spans="1:20" ht="14.25" outlineLevel="2">
      <c r="A17" s="81">
        <f>SUBTOTAL(103,$B$12:B17)</f>
        <v>6</v>
      </c>
      <c r="B17" s="78">
        <f t="shared" si="5"/>
        <v>43582</v>
      </c>
      <c r="C17" s="571" t="str">
        <f t="shared" si="6"/>
        <v>Đổ BT đệm đáy móng + tạo phẳng 10Mpa A2T</v>
      </c>
      <c r="D17" s="572"/>
      <c r="E17" s="573"/>
      <c r="F17" s="416">
        <f>598727.264*(11158)*10^-9</f>
        <v>6.6805988117120005</v>
      </c>
      <c r="G17" s="1">
        <f t="shared" ref="G17" si="9">F17</f>
        <v>6.6805988117120005</v>
      </c>
      <c r="H17" s="295">
        <f t="shared" si="2"/>
        <v>6.6805988117120005</v>
      </c>
      <c r="I17" s="107">
        <f t="shared" si="3"/>
        <v>6.6805988117120005</v>
      </c>
      <c r="J17" s="107">
        <f t="shared" si="8"/>
        <v>6.36</v>
      </c>
      <c r="K17" s="702"/>
      <c r="L17" s="4" t="s">
        <v>710</v>
      </c>
      <c r="N17" s="118"/>
      <c r="O17" s="118" t="s">
        <v>345</v>
      </c>
      <c r="P17" s="88">
        <v>6.36</v>
      </c>
      <c r="Q17" s="89">
        <v>43582</v>
      </c>
      <c r="R17" s="88"/>
      <c r="S17" s="88" t="e">
        <f t="shared" si="0"/>
        <v>#VALUE!</v>
      </c>
      <c r="T17" s="3" t="str">
        <f>$N$6&amp;" "&amp;O17</f>
        <v>Đổ BT đệm đáy móng + tạo phẳng 10Mpa A2T</v>
      </c>
    </row>
    <row r="18" spans="1:20" ht="14.25" outlineLevel="2">
      <c r="A18" s="81"/>
      <c r="B18" s="78"/>
      <c r="C18" s="571"/>
      <c r="D18" s="572"/>
      <c r="E18" s="573"/>
      <c r="F18" s="27"/>
      <c r="G18" s="33"/>
      <c r="H18" s="31"/>
      <c r="I18" s="107"/>
      <c r="J18" s="107"/>
      <c r="K18" s="82"/>
      <c r="N18" s="118"/>
      <c r="O18" s="118"/>
      <c r="P18" s="83"/>
      <c r="Q18" s="89"/>
      <c r="R18" s="83"/>
      <c r="S18" s="83"/>
      <c r="T18" s="3"/>
    </row>
    <row r="19" spans="1:20" thickBot="1">
      <c r="A19" s="574" t="s">
        <v>4</v>
      </c>
      <c r="B19" s="575"/>
      <c r="C19" s="575"/>
      <c r="D19" s="575"/>
      <c r="E19" s="575"/>
      <c r="F19" s="79">
        <f>ROUND(SUM(F12:F18),2)</f>
        <v>57.01</v>
      </c>
      <c r="G19" s="79">
        <f>ROUND(SUM(G12:G18),2)</f>
        <v>62.99</v>
      </c>
      <c r="H19" s="79">
        <f>ROUND(SUM(H12:H18),2)</f>
        <v>57.01</v>
      </c>
      <c r="I19" s="79">
        <f>ROUND(SUM(I12:I18),2)</f>
        <v>57.01</v>
      </c>
      <c r="J19" s="79">
        <f>ROUND(SUM(J12:J18),2)</f>
        <v>61.74</v>
      </c>
      <c r="K19" s="80"/>
      <c r="N19" s="118"/>
      <c r="O19" s="118"/>
      <c r="P19" s="90">
        <f>SUM(P12:P17)</f>
        <v>61.739999999999995</v>
      </c>
    </row>
    <row r="20" spans="1:20" s="175" customFormat="1" ht="18" customHeight="1" thickTop="1" thickBot="1">
      <c r="A20" s="223"/>
      <c r="B20" s="223"/>
      <c r="C20" s="223"/>
      <c r="D20" s="223"/>
      <c r="E20" s="223"/>
      <c r="F20" s="116"/>
      <c r="G20" s="116"/>
      <c r="H20" s="116"/>
      <c r="I20" s="116"/>
      <c r="J20" s="116"/>
      <c r="K20" s="117"/>
      <c r="L20" s="4"/>
      <c r="M20" s="4"/>
      <c r="N20" s="118"/>
      <c r="O20" s="118"/>
      <c r="P20" s="119"/>
      <c r="Q20" s="120"/>
      <c r="R20" s="120"/>
      <c r="S20" s="120"/>
      <c r="T20" s="121"/>
    </row>
    <row r="21" spans="1:20" s="5" customFormat="1" ht="13.9" customHeight="1" thickTop="1">
      <c r="A21" s="578" t="s">
        <v>68</v>
      </c>
      <c r="B21" s="579"/>
      <c r="C21" s="579"/>
      <c r="D21" s="579"/>
      <c r="E21" s="579"/>
      <c r="F21" s="580" t="s">
        <v>69</v>
      </c>
      <c r="G21" s="580"/>
      <c r="H21" s="580"/>
      <c r="I21" s="581"/>
      <c r="J21" s="581"/>
      <c r="K21" s="582"/>
      <c r="L21" s="4"/>
      <c r="M21" s="4"/>
      <c r="N21" s="4"/>
      <c r="O21" s="4"/>
      <c r="P21" s="4"/>
    </row>
    <row r="22" spans="1:20" s="5" customFormat="1" ht="13.9" customHeight="1">
      <c r="A22" s="583" t="s">
        <v>5</v>
      </c>
      <c r="B22" s="584"/>
      <c r="C22" s="584"/>
      <c r="D22" s="584"/>
      <c r="E22" s="584"/>
      <c r="F22" s="585" t="s">
        <v>6</v>
      </c>
      <c r="G22" s="585"/>
      <c r="H22" s="585"/>
      <c r="I22" s="586"/>
      <c r="J22" s="586"/>
      <c r="K22" s="587"/>
      <c r="L22" s="4"/>
      <c r="M22" s="4"/>
      <c r="N22" s="4"/>
      <c r="O22" s="4"/>
      <c r="P22" s="4"/>
    </row>
    <row r="23" spans="1:20" s="5" customFormat="1" ht="13.9" customHeight="1">
      <c r="A23" s="583" t="s">
        <v>836</v>
      </c>
      <c r="B23" s="584"/>
      <c r="C23" s="584"/>
      <c r="D23" s="584"/>
      <c r="E23" s="584"/>
      <c r="F23" s="590" t="s">
        <v>837</v>
      </c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>
      <c r="A27" s="583"/>
      <c r="B27" s="584"/>
      <c r="C27" s="584"/>
      <c r="D27" s="584"/>
      <c r="E27" s="584"/>
      <c r="F27" s="590"/>
      <c r="G27" s="590"/>
      <c r="H27" s="590"/>
      <c r="I27" s="591"/>
      <c r="J27" s="591"/>
      <c r="K27" s="592"/>
      <c r="L27" s="4"/>
      <c r="M27" s="4"/>
      <c r="N27" s="4"/>
      <c r="O27" s="4"/>
      <c r="P27" s="4"/>
    </row>
    <row r="28" spans="1:20" s="5" customFormat="1" ht="13.9" customHeight="1">
      <c r="A28" s="583"/>
      <c r="B28" s="584"/>
      <c r="C28" s="584"/>
      <c r="D28" s="584"/>
      <c r="E28" s="584"/>
      <c r="F28" s="590"/>
      <c r="G28" s="590"/>
      <c r="H28" s="590"/>
      <c r="I28" s="591"/>
      <c r="J28" s="591"/>
      <c r="K28" s="592"/>
      <c r="L28" s="4"/>
      <c r="M28" s="4"/>
      <c r="N28" s="4"/>
      <c r="O28" s="4"/>
      <c r="P28" s="4"/>
    </row>
    <row r="29" spans="1:20" s="5" customFormat="1" ht="13.9" customHeight="1" thickBot="1">
      <c r="A29" s="588"/>
      <c r="B29" s="589"/>
      <c r="C29" s="589"/>
      <c r="D29" s="589"/>
      <c r="E29" s="589"/>
      <c r="F29" s="593"/>
      <c r="G29" s="593"/>
      <c r="H29" s="593"/>
      <c r="I29" s="594"/>
      <c r="J29" s="594"/>
      <c r="K29" s="595"/>
      <c r="L29" s="4"/>
      <c r="M29" s="4"/>
      <c r="N29" s="4"/>
      <c r="O29" s="4"/>
      <c r="P29" s="4"/>
    </row>
    <row r="30" spans="1:20" s="175" customFormat="1" ht="18" customHeight="1" thickTop="1">
      <c r="A30" s="223"/>
      <c r="B30" s="223"/>
      <c r="C30" s="223"/>
      <c r="D30" s="223"/>
      <c r="E30" s="223"/>
      <c r="F30" s="116"/>
      <c r="G30" s="116"/>
      <c r="H30" s="116"/>
      <c r="I30" s="116"/>
      <c r="J30" s="116"/>
      <c r="K30" s="117"/>
      <c r="L30" s="118"/>
      <c r="M30" s="118"/>
      <c r="N30" s="118"/>
      <c r="O30" s="118"/>
      <c r="P30" s="119"/>
      <c r="Q30" s="120"/>
      <c r="R30" s="120"/>
      <c r="S30" s="120"/>
      <c r="T30" s="121"/>
    </row>
    <row r="31" spans="1:20" s="111" customFormat="1" ht="48" customHeight="1">
      <c r="A31" s="596" t="s">
        <v>87</v>
      </c>
      <c r="B31" s="596"/>
      <c r="C31" s="596"/>
      <c r="D31" s="596"/>
      <c r="E31" s="596"/>
      <c r="F31" s="596"/>
      <c r="G31" s="596"/>
      <c r="H31" s="596"/>
      <c r="I31" s="596"/>
      <c r="J31" s="596"/>
      <c r="K31" s="596"/>
      <c r="L31" s="108"/>
      <c r="M31" s="109"/>
      <c r="N31" s="110"/>
    </row>
    <row r="32" spans="1:20" s="112" customFormat="1" ht="18" customHeight="1">
      <c r="A32" s="597" t="s">
        <v>599</v>
      </c>
      <c r="B32" s="597"/>
      <c r="C32" s="597"/>
      <c r="D32" s="597"/>
      <c r="E32" s="597"/>
      <c r="F32" s="597"/>
      <c r="G32" s="597"/>
      <c r="H32" s="597"/>
      <c r="I32" s="597"/>
      <c r="J32" s="597"/>
      <c r="K32" s="597"/>
    </row>
    <row r="33" spans="1:20" s="175" customFormat="1" ht="20.100000000000001" customHeight="1">
      <c r="A33" s="598" t="s">
        <v>90</v>
      </c>
      <c r="B33" s="598"/>
      <c r="C33" s="598"/>
      <c r="D33" s="598"/>
      <c r="E33" s="598"/>
      <c r="F33" s="598"/>
      <c r="G33" s="598"/>
      <c r="H33" s="598"/>
      <c r="I33" s="598"/>
      <c r="J33" s="598"/>
      <c r="K33" s="598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599" t="s">
        <v>91</v>
      </c>
      <c r="B34" s="599"/>
      <c r="C34" s="599"/>
      <c r="D34" s="599"/>
      <c r="E34" s="599"/>
      <c r="F34" s="599"/>
      <c r="G34" s="599"/>
      <c r="H34" s="599"/>
      <c r="I34" s="599"/>
      <c r="J34" s="599"/>
      <c r="K34" s="599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600" t="str">
        <f>A4</f>
        <v>PHẦN C.: CẦU VƯỢT</v>
      </c>
      <c r="B35" s="601"/>
      <c r="C35" s="601"/>
      <c r="D35" s="601"/>
      <c r="E35" s="601"/>
      <c r="F35" s="601"/>
      <c r="G35" s="601"/>
      <c r="H35" s="601"/>
      <c r="I35" s="601"/>
      <c r="J35" s="601"/>
      <c r="K35" s="602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224" t="str">
        <f>A5</f>
        <v>Hạng mục C.II. HỆ MẶT CẦU, LAN CAN, THẢM MẶT CẦU, THOÁT NƯỚC, KHE CO GIÃN</v>
      </c>
      <c r="B36" s="225"/>
      <c r="C36" s="127"/>
      <c r="D36" s="127"/>
      <c r="E36" s="128"/>
      <c r="F36" s="129"/>
      <c r="G36" s="129"/>
      <c r="H36" s="129"/>
      <c r="I36" s="129"/>
      <c r="J36" s="129"/>
      <c r="K36" s="130"/>
      <c r="L36" s="123"/>
      <c r="M36" s="124"/>
      <c r="N36" s="123"/>
      <c r="O36" s="123"/>
      <c r="P36" s="123"/>
      <c r="Q36" s="123"/>
      <c r="R36" s="123"/>
      <c r="S36" s="123"/>
      <c r="T36" s="123"/>
    </row>
    <row r="37" spans="1:20" s="175" customFormat="1" ht="15.95" customHeight="1">
      <c r="A37" s="224" t="str">
        <f>A6</f>
        <v>Mục C.II.1.1.3. Đổ BT đệm đáy móng + tạo phẳng 10Mpa</v>
      </c>
      <c r="B37" s="225"/>
      <c r="C37" s="127"/>
      <c r="D37" s="127"/>
      <c r="E37" s="128"/>
      <c r="F37" s="129"/>
      <c r="G37" s="129"/>
      <c r="H37" s="129"/>
      <c r="I37" s="129"/>
      <c r="J37" s="129"/>
      <c r="K37" s="130"/>
      <c r="L37" s="123"/>
      <c r="M37" s="124"/>
      <c r="N37" s="123"/>
      <c r="O37" s="123"/>
      <c r="P37" s="123"/>
      <c r="Q37" s="123"/>
      <c r="R37" s="123"/>
      <c r="S37" s="123"/>
      <c r="T37" s="123"/>
    </row>
    <row r="38" spans="1:20" s="175" customFormat="1" ht="15.95" customHeight="1">
      <c r="A38" s="639">
        <f>A7</f>
        <v>57.01</v>
      </c>
      <c r="B38" s="640"/>
      <c r="C38" s="640"/>
      <c r="D38" s="640"/>
      <c r="E38" s="131" t="str">
        <f>E7</f>
        <v>(m3)</v>
      </c>
      <c r="F38" s="132"/>
      <c r="G38" s="132"/>
      <c r="H38" s="132"/>
      <c r="I38" s="132"/>
      <c r="J38" s="132"/>
      <c r="K38" s="133"/>
      <c r="L38" s="173"/>
      <c r="M38" s="135"/>
      <c r="N38" s="174"/>
      <c r="P38" s="174"/>
    </row>
    <row r="39" spans="1:20" ht="13.5" customHeight="1" thickBot="1">
      <c r="A39" s="28"/>
      <c r="B39" s="28"/>
      <c r="C39" s="28"/>
      <c r="D39" s="28"/>
      <c r="E39" s="28"/>
      <c r="F39" s="30"/>
      <c r="G39" s="30"/>
      <c r="H39" s="30"/>
      <c r="I39" s="30"/>
      <c r="J39" s="30"/>
      <c r="K39" s="8"/>
      <c r="L39" s="23"/>
      <c r="M39" s="9"/>
    </row>
    <row r="40" spans="1:20" s="5" customFormat="1" ht="21.6" customHeight="1" thickTop="1">
      <c r="A40" s="576" t="s">
        <v>3</v>
      </c>
      <c r="B40" s="641" t="s">
        <v>84</v>
      </c>
      <c r="C40" s="641"/>
      <c r="D40" s="643" t="s">
        <v>96</v>
      </c>
      <c r="E40" s="643"/>
      <c r="F40" s="643"/>
      <c r="G40" s="643"/>
      <c r="H40" s="641" t="s">
        <v>89</v>
      </c>
      <c r="I40" s="641"/>
      <c r="J40" s="641" t="s">
        <v>85</v>
      </c>
      <c r="K40" s="645"/>
      <c r="L40"/>
      <c r="M40" s="94"/>
      <c r="N40" s="94"/>
      <c r="O40" s="95"/>
      <c r="P40" s="96"/>
    </row>
    <row r="41" spans="1:20" s="5" customFormat="1" ht="21.6" customHeight="1">
      <c r="A41" s="577"/>
      <c r="B41" s="642"/>
      <c r="C41" s="642"/>
      <c r="D41" s="644"/>
      <c r="E41" s="644"/>
      <c r="F41" s="644"/>
      <c r="G41" s="644"/>
      <c r="H41" s="642"/>
      <c r="I41" s="642"/>
      <c r="J41" s="642"/>
      <c r="K41" s="646"/>
      <c r="L41"/>
      <c r="M41" s="97"/>
      <c r="N41" s="97"/>
      <c r="O41" s="98"/>
      <c r="P41" s="99"/>
    </row>
    <row r="42" spans="1:20" s="5" customFormat="1" ht="17.100000000000001" customHeight="1">
      <c r="A42" s="100">
        <v>1</v>
      </c>
      <c r="B42" s="623" t="str">
        <f>"Tháng "&amp;IF(L42&lt;10,0&amp;L42&amp;"/"&amp;M42,L42&amp;"/"&amp;M42)</f>
        <v>Tháng 08/2017</v>
      </c>
      <c r="C42" s="623"/>
      <c r="D42" s="624" t="str">
        <f>N6</f>
        <v>Đổ BT đệm đáy móng + tạo phẳng 10Mpa</v>
      </c>
      <c r="E42" s="624"/>
      <c r="F42" s="624"/>
      <c r="G42" s="624"/>
      <c r="H42" s="625">
        <f t="shared" ref="H42:H65" si="10">+SUMIFS($I$12:$I$18,$B$12:$B$18,"&gt;="&amp;$O42,$B$12:$B$18,"&lt;="&amp;$P42)</f>
        <v>0</v>
      </c>
      <c r="I42" s="625"/>
      <c r="J42" s="623"/>
      <c r="K42" s="626"/>
      <c r="L42">
        <v>8</v>
      </c>
      <c r="M42" s="101">
        <v>2017</v>
      </c>
      <c r="N42" s="97"/>
      <c r="O42" s="103">
        <f t="shared" ref="O42:O66" si="11">DATE(M42,L42,1)</f>
        <v>42948</v>
      </c>
      <c r="P42" s="103">
        <f t="shared" ref="P42:P66" si="12">DATE(M42,L42+1,0)</f>
        <v>42978</v>
      </c>
    </row>
    <row r="43" spans="1:20" s="5" customFormat="1" ht="17.100000000000001" customHeight="1">
      <c r="A43" s="104">
        <v>2</v>
      </c>
      <c r="B43" s="567" t="str">
        <f t="shared" ref="B43:B67" si="13">"Tháng "&amp;IF(L43&lt;10,0&amp;L43&amp;"/"&amp;M43,L43&amp;"/"&amp;M43)</f>
        <v>Tháng 09/2017</v>
      </c>
      <c r="C43" s="567"/>
      <c r="D43" s="568" t="str">
        <f>D42</f>
        <v>Đổ BT đệm đáy móng + tạo phẳng 10Mpa</v>
      </c>
      <c r="E43" s="568"/>
      <c r="F43" s="568"/>
      <c r="G43" s="568"/>
      <c r="H43" s="569">
        <f t="shared" si="10"/>
        <v>0</v>
      </c>
      <c r="I43" s="569"/>
      <c r="J43" s="567"/>
      <c r="K43" s="570"/>
      <c r="L43">
        <v>9</v>
      </c>
      <c r="M43" s="101">
        <v>2017</v>
      </c>
      <c r="N43"/>
      <c r="O43" s="103">
        <f t="shared" si="11"/>
        <v>42979</v>
      </c>
      <c r="P43" s="103">
        <f t="shared" si="12"/>
        <v>43008</v>
      </c>
    </row>
    <row r="44" spans="1:20" s="5" customFormat="1" ht="17.100000000000001" customHeight="1">
      <c r="A44" s="104">
        <f>A43+1</f>
        <v>3</v>
      </c>
      <c r="B44" s="567" t="str">
        <f t="shared" si="13"/>
        <v>Tháng 10/2017</v>
      </c>
      <c r="C44" s="567"/>
      <c r="D44" s="568" t="str">
        <f t="shared" ref="D44:D66" si="14">D43</f>
        <v>Đổ BT đệm đáy móng + tạo phẳng 10Mpa</v>
      </c>
      <c r="E44" s="568"/>
      <c r="F44" s="568"/>
      <c r="G44" s="568"/>
      <c r="H44" s="569">
        <f t="shared" si="10"/>
        <v>0</v>
      </c>
      <c r="I44" s="569"/>
      <c r="J44" s="567"/>
      <c r="K44" s="570"/>
      <c r="L44">
        <v>10</v>
      </c>
      <c r="M44" s="101">
        <v>2017</v>
      </c>
      <c r="N44"/>
      <c r="O44" s="103">
        <f t="shared" si="11"/>
        <v>43009</v>
      </c>
      <c r="P44" s="103">
        <f t="shared" si="12"/>
        <v>43039</v>
      </c>
    </row>
    <row r="45" spans="1:20" s="5" customFormat="1" ht="17.100000000000001" customHeight="1">
      <c r="A45" s="104">
        <f t="shared" ref="A45:A67" si="15">A44+1</f>
        <v>4</v>
      </c>
      <c r="B45" s="567" t="str">
        <f t="shared" si="13"/>
        <v>Tháng 11/2017</v>
      </c>
      <c r="C45" s="567"/>
      <c r="D45" s="568" t="str">
        <f t="shared" si="14"/>
        <v>Đổ BT đệm đáy móng + tạo phẳng 10Mpa</v>
      </c>
      <c r="E45" s="568"/>
      <c r="F45" s="568"/>
      <c r="G45" s="568"/>
      <c r="H45" s="569">
        <f t="shared" si="10"/>
        <v>0</v>
      </c>
      <c r="I45" s="569"/>
      <c r="J45" s="567"/>
      <c r="K45" s="570"/>
      <c r="L45">
        <v>11</v>
      </c>
      <c r="M45" s="101">
        <v>2017</v>
      </c>
      <c r="N45"/>
      <c r="O45" s="103">
        <f t="shared" si="11"/>
        <v>43040</v>
      </c>
      <c r="P45" s="103">
        <f t="shared" si="12"/>
        <v>43069</v>
      </c>
    </row>
    <row r="46" spans="1:20" s="5" customFormat="1" ht="17.100000000000001" customHeight="1">
      <c r="A46" s="104">
        <f t="shared" si="15"/>
        <v>5</v>
      </c>
      <c r="B46" s="567" t="str">
        <f t="shared" si="13"/>
        <v>Tháng 12/2017</v>
      </c>
      <c r="C46" s="567"/>
      <c r="D46" s="568" t="str">
        <f t="shared" si="14"/>
        <v>Đổ BT đệm đáy móng + tạo phẳng 10Mpa</v>
      </c>
      <c r="E46" s="568"/>
      <c r="F46" s="568"/>
      <c r="G46" s="568"/>
      <c r="H46" s="569">
        <f t="shared" si="10"/>
        <v>0</v>
      </c>
      <c r="I46" s="569"/>
      <c r="J46" s="567"/>
      <c r="K46" s="570"/>
      <c r="L46">
        <v>12</v>
      </c>
      <c r="M46" s="101">
        <v>2017</v>
      </c>
      <c r="N46"/>
      <c r="O46" s="103">
        <f t="shared" si="11"/>
        <v>43070</v>
      </c>
      <c r="P46" s="103">
        <f t="shared" si="12"/>
        <v>43100</v>
      </c>
    </row>
    <row r="47" spans="1:20" s="5" customFormat="1" ht="17.100000000000001" customHeight="1">
      <c r="A47" s="104">
        <f t="shared" si="15"/>
        <v>6</v>
      </c>
      <c r="B47" s="567" t="str">
        <f t="shared" si="13"/>
        <v>Tháng 01/2018</v>
      </c>
      <c r="C47" s="567"/>
      <c r="D47" s="568" t="str">
        <f t="shared" si="14"/>
        <v>Đổ BT đệm đáy móng + tạo phẳng 10Mpa</v>
      </c>
      <c r="E47" s="568"/>
      <c r="F47" s="568"/>
      <c r="G47" s="568"/>
      <c r="H47" s="569">
        <f t="shared" si="10"/>
        <v>0</v>
      </c>
      <c r="I47" s="569"/>
      <c r="J47" s="567"/>
      <c r="K47" s="570"/>
      <c r="L47">
        <v>1</v>
      </c>
      <c r="M47" s="101">
        <v>2018</v>
      </c>
      <c r="N47"/>
      <c r="O47" s="103">
        <f t="shared" si="11"/>
        <v>43101</v>
      </c>
      <c r="P47" s="103">
        <f t="shared" si="12"/>
        <v>43131</v>
      </c>
    </row>
    <row r="48" spans="1:20" s="5" customFormat="1" ht="17.100000000000001" customHeight="1">
      <c r="A48" s="104">
        <f t="shared" si="15"/>
        <v>7</v>
      </c>
      <c r="B48" s="567" t="str">
        <f t="shared" si="13"/>
        <v>Tháng 02/2018</v>
      </c>
      <c r="C48" s="567"/>
      <c r="D48" s="568" t="str">
        <f t="shared" si="14"/>
        <v>Đổ BT đệm đáy móng + tạo phẳng 10Mpa</v>
      </c>
      <c r="E48" s="568"/>
      <c r="F48" s="568"/>
      <c r="G48" s="568"/>
      <c r="H48" s="569">
        <f t="shared" si="10"/>
        <v>0</v>
      </c>
      <c r="I48" s="569"/>
      <c r="J48" s="567"/>
      <c r="K48" s="570"/>
      <c r="L48">
        <v>2</v>
      </c>
      <c r="M48" s="101">
        <v>2018</v>
      </c>
      <c r="N48"/>
      <c r="O48" s="103">
        <f t="shared" si="11"/>
        <v>43132</v>
      </c>
      <c r="P48" s="103">
        <f t="shared" si="12"/>
        <v>43159</v>
      </c>
    </row>
    <row r="49" spans="1:16" s="5" customFormat="1" ht="17.100000000000001" customHeight="1">
      <c r="A49" s="104">
        <f t="shared" si="15"/>
        <v>8</v>
      </c>
      <c r="B49" s="567" t="str">
        <f t="shared" si="13"/>
        <v>Tháng 03/2018</v>
      </c>
      <c r="C49" s="567"/>
      <c r="D49" s="568" t="str">
        <f t="shared" si="14"/>
        <v>Đổ BT đệm đáy móng + tạo phẳng 10Mpa</v>
      </c>
      <c r="E49" s="568"/>
      <c r="F49" s="568"/>
      <c r="G49" s="568"/>
      <c r="H49" s="569">
        <f t="shared" si="10"/>
        <v>0</v>
      </c>
      <c r="I49" s="569"/>
      <c r="J49" s="567"/>
      <c r="K49" s="570"/>
      <c r="L49">
        <v>3</v>
      </c>
      <c r="M49" s="101">
        <v>2018</v>
      </c>
      <c r="N49"/>
      <c r="O49" s="103">
        <f t="shared" si="11"/>
        <v>43160</v>
      </c>
      <c r="P49" s="103">
        <f t="shared" si="12"/>
        <v>43190</v>
      </c>
    </row>
    <row r="50" spans="1:16" s="5" customFormat="1" ht="17.100000000000001" customHeight="1">
      <c r="A50" s="104">
        <f t="shared" si="15"/>
        <v>9</v>
      </c>
      <c r="B50" s="567" t="str">
        <f t="shared" si="13"/>
        <v>Tháng 04/2018</v>
      </c>
      <c r="C50" s="567"/>
      <c r="D50" s="568" t="str">
        <f t="shared" si="14"/>
        <v>Đổ BT đệm đáy móng + tạo phẳng 10Mpa</v>
      </c>
      <c r="E50" s="568"/>
      <c r="F50" s="568"/>
      <c r="G50" s="568"/>
      <c r="H50" s="569">
        <f t="shared" si="10"/>
        <v>0</v>
      </c>
      <c r="I50" s="569"/>
      <c r="J50" s="567"/>
      <c r="K50" s="570"/>
      <c r="L50">
        <v>4</v>
      </c>
      <c r="M50" s="101">
        <v>2018</v>
      </c>
      <c r="N50"/>
      <c r="O50" s="103">
        <f t="shared" si="11"/>
        <v>43191</v>
      </c>
      <c r="P50" s="103">
        <f t="shared" si="12"/>
        <v>43220</v>
      </c>
    </row>
    <row r="51" spans="1:16" s="5" customFormat="1" ht="17.100000000000001" customHeight="1">
      <c r="A51" s="104">
        <f t="shared" si="15"/>
        <v>10</v>
      </c>
      <c r="B51" s="567" t="str">
        <f t="shared" si="13"/>
        <v>Tháng 05/2018</v>
      </c>
      <c r="C51" s="567"/>
      <c r="D51" s="568" t="str">
        <f t="shared" si="14"/>
        <v>Đổ BT đệm đáy móng + tạo phẳng 10Mpa</v>
      </c>
      <c r="E51" s="568"/>
      <c r="F51" s="568"/>
      <c r="G51" s="568"/>
      <c r="H51" s="569">
        <f t="shared" si="10"/>
        <v>0</v>
      </c>
      <c r="I51" s="569"/>
      <c r="J51" s="567"/>
      <c r="K51" s="570"/>
      <c r="L51">
        <v>5</v>
      </c>
      <c r="M51" s="101">
        <v>2018</v>
      </c>
      <c r="N51"/>
      <c r="O51" s="103">
        <f t="shared" si="11"/>
        <v>43221</v>
      </c>
      <c r="P51" s="103">
        <f t="shared" si="12"/>
        <v>43251</v>
      </c>
    </row>
    <row r="52" spans="1:16" s="5" customFormat="1" ht="17.100000000000001" customHeight="1">
      <c r="A52" s="104">
        <f t="shared" si="15"/>
        <v>11</v>
      </c>
      <c r="B52" s="567" t="str">
        <f t="shared" si="13"/>
        <v>Tháng 06/2018</v>
      </c>
      <c r="C52" s="567"/>
      <c r="D52" s="568" t="str">
        <f t="shared" si="14"/>
        <v>Đổ BT đệm đáy móng + tạo phẳng 10Mpa</v>
      </c>
      <c r="E52" s="568"/>
      <c r="F52" s="568"/>
      <c r="G52" s="568"/>
      <c r="H52" s="569">
        <f t="shared" si="10"/>
        <v>0</v>
      </c>
      <c r="I52" s="569"/>
      <c r="J52" s="567"/>
      <c r="K52" s="570"/>
      <c r="L52">
        <v>6</v>
      </c>
      <c r="M52" s="101">
        <v>2018</v>
      </c>
      <c r="N52"/>
      <c r="O52" s="103">
        <f t="shared" si="11"/>
        <v>43252</v>
      </c>
      <c r="P52" s="103">
        <f t="shared" si="12"/>
        <v>43281</v>
      </c>
    </row>
    <row r="53" spans="1:16" s="5" customFormat="1" ht="17.100000000000001" customHeight="1">
      <c r="A53" s="104">
        <f t="shared" si="15"/>
        <v>12</v>
      </c>
      <c r="B53" s="567" t="str">
        <f t="shared" si="13"/>
        <v>Tháng 07/2018</v>
      </c>
      <c r="C53" s="567"/>
      <c r="D53" s="568" t="str">
        <f t="shared" si="14"/>
        <v>Đổ BT đệm đáy móng + tạo phẳng 10Mpa</v>
      </c>
      <c r="E53" s="568"/>
      <c r="F53" s="568"/>
      <c r="G53" s="568"/>
      <c r="H53" s="569">
        <f t="shared" si="10"/>
        <v>0</v>
      </c>
      <c r="I53" s="569"/>
      <c r="J53" s="567"/>
      <c r="K53" s="570"/>
      <c r="L53">
        <v>7</v>
      </c>
      <c r="M53" s="101">
        <v>2018</v>
      </c>
      <c r="N53"/>
      <c r="O53" s="103">
        <f t="shared" si="11"/>
        <v>43282</v>
      </c>
      <c r="P53" s="103">
        <f t="shared" si="12"/>
        <v>43312</v>
      </c>
    </row>
    <row r="54" spans="1:16" s="5" customFormat="1" ht="17.100000000000001" customHeight="1">
      <c r="A54" s="104">
        <f t="shared" si="15"/>
        <v>13</v>
      </c>
      <c r="B54" s="567" t="str">
        <f t="shared" si="13"/>
        <v>Tháng 08/2018</v>
      </c>
      <c r="C54" s="567"/>
      <c r="D54" s="568" t="str">
        <f t="shared" si="14"/>
        <v>Đổ BT đệm đáy móng + tạo phẳng 10Mpa</v>
      </c>
      <c r="E54" s="568"/>
      <c r="F54" s="568"/>
      <c r="G54" s="568"/>
      <c r="H54" s="569">
        <f t="shared" si="10"/>
        <v>19.399999999999999</v>
      </c>
      <c r="I54" s="569"/>
      <c r="J54" s="567"/>
      <c r="K54" s="570"/>
      <c r="L54">
        <v>8</v>
      </c>
      <c r="M54" s="101">
        <v>2018</v>
      </c>
      <c r="N54"/>
      <c r="O54" s="103">
        <f t="shared" si="11"/>
        <v>43313</v>
      </c>
      <c r="P54" s="103">
        <f t="shared" si="12"/>
        <v>43343</v>
      </c>
    </row>
    <row r="55" spans="1:16" s="5" customFormat="1" ht="17.100000000000001" customHeight="1">
      <c r="A55" s="104">
        <f t="shared" si="15"/>
        <v>14</v>
      </c>
      <c r="B55" s="567" t="str">
        <f t="shared" si="13"/>
        <v>Tháng 09/2018</v>
      </c>
      <c r="C55" s="567"/>
      <c r="D55" s="568" t="str">
        <f t="shared" si="14"/>
        <v>Đổ BT đệm đáy móng + tạo phẳng 10Mpa</v>
      </c>
      <c r="E55" s="568"/>
      <c r="F55" s="568"/>
      <c r="G55" s="568"/>
      <c r="H55" s="569">
        <f t="shared" si="10"/>
        <v>16.765000000000001</v>
      </c>
      <c r="I55" s="569"/>
      <c r="J55" s="567"/>
      <c r="K55" s="570"/>
      <c r="L55">
        <v>9</v>
      </c>
      <c r="M55" s="101">
        <v>2018</v>
      </c>
      <c r="N55"/>
      <c r="O55" s="103">
        <f t="shared" si="11"/>
        <v>43344</v>
      </c>
      <c r="P55" s="103">
        <f t="shared" si="12"/>
        <v>43373</v>
      </c>
    </row>
    <row r="56" spans="1:16" s="5" customFormat="1" ht="17.100000000000001" customHeight="1">
      <c r="A56" s="104">
        <f t="shared" si="15"/>
        <v>15</v>
      </c>
      <c r="B56" s="567" t="str">
        <f t="shared" si="13"/>
        <v>Tháng 10/2018</v>
      </c>
      <c r="C56" s="567"/>
      <c r="D56" s="568" t="str">
        <f t="shared" si="14"/>
        <v>Đổ BT đệm đáy móng + tạo phẳng 10Mpa</v>
      </c>
      <c r="E56" s="568"/>
      <c r="F56" s="568"/>
      <c r="G56" s="568"/>
      <c r="H56" s="569">
        <f t="shared" si="10"/>
        <v>0</v>
      </c>
      <c r="I56" s="569"/>
      <c r="J56" s="567"/>
      <c r="K56" s="570"/>
      <c r="L56">
        <v>10</v>
      </c>
      <c r="M56" s="101">
        <v>2018</v>
      </c>
      <c r="N56"/>
      <c r="O56" s="103">
        <f t="shared" si="11"/>
        <v>43374</v>
      </c>
      <c r="P56" s="103">
        <f t="shared" si="12"/>
        <v>43404</v>
      </c>
    </row>
    <row r="57" spans="1:16" s="5" customFormat="1" ht="17.100000000000001" customHeight="1">
      <c r="A57" s="104">
        <f t="shared" si="15"/>
        <v>16</v>
      </c>
      <c r="B57" s="567" t="str">
        <f t="shared" si="13"/>
        <v>Tháng 11/2018</v>
      </c>
      <c r="C57" s="567"/>
      <c r="D57" s="568" t="str">
        <f t="shared" si="14"/>
        <v>Đổ BT đệm đáy móng + tạo phẳng 10Mpa</v>
      </c>
      <c r="E57" s="568"/>
      <c r="F57" s="568"/>
      <c r="G57" s="568"/>
      <c r="H57" s="569">
        <f t="shared" si="10"/>
        <v>0</v>
      </c>
      <c r="I57" s="569"/>
      <c r="J57" s="567"/>
      <c r="K57" s="570"/>
      <c r="L57">
        <v>11</v>
      </c>
      <c r="M57" s="101">
        <v>2018</v>
      </c>
      <c r="N57"/>
      <c r="O57" s="103">
        <f t="shared" si="11"/>
        <v>43405</v>
      </c>
      <c r="P57" s="103">
        <f t="shared" si="12"/>
        <v>43434</v>
      </c>
    </row>
    <row r="58" spans="1:16" s="5" customFormat="1" ht="17.100000000000001" customHeight="1">
      <c r="A58" s="104">
        <f t="shared" si="15"/>
        <v>17</v>
      </c>
      <c r="B58" s="567" t="str">
        <f t="shared" si="13"/>
        <v>Tháng 12/2018</v>
      </c>
      <c r="C58" s="567"/>
      <c r="D58" s="568" t="str">
        <f t="shared" si="14"/>
        <v>Đổ BT đệm đáy móng + tạo phẳng 10Mpa</v>
      </c>
      <c r="E58" s="568"/>
      <c r="F58" s="568"/>
      <c r="G58" s="568"/>
      <c r="H58" s="569">
        <f t="shared" si="10"/>
        <v>0</v>
      </c>
      <c r="I58" s="569"/>
      <c r="J58" s="567"/>
      <c r="K58" s="570"/>
      <c r="L58">
        <v>12</v>
      </c>
      <c r="M58" s="101">
        <v>2018</v>
      </c>
      <c r="N58"/>
      <c r="O58" s="103">
        <f t="shared" si="11"/>
        <v>43435</v>
      </c>
      <c r="P58" s="103">
        <f t="shared" si="12"/>
        <v>43465</v>
      </c>
    </row>
    <row r="59" spans="1:16" s="5" customFormat="1" ht="17.100000000000001" customHeight="1">
      <c r="A59" s="104">
        <f t="shared" si="15"/>
        <v>18</v>
      </c>
      <c r="B59" s="567" t="str">
        <f t="shared" si="13"/>
        <v>Tháng 01/2019</v>
      </c>
      <c r="C59" s="567"/>
      <c r="D59" s="568" t="str">
        <f t="shared" si="14"/>
        <v>Đổ BT đệm đáy móng + tạo phẳng 10Mpa</v>
      </c>
      <c r="E59" s="568"/>
      <c r="F59" s="568"/>
      <c r="G59" s="568"/>
      <c r="H59" s="569">
        <f t="shared" si="10"/>
        <v>0</v>
      </c>
      <c r="I59" s="569"/>
      <c r="J59" s="567"/>
      <c r="K59" s="570"/>
      <c r="L59">
        <v>1</v>
      </c>
      <c r="M59" s="101">
        <v>2019</v>
      </c>
      <c r="N59"/>
      <c r="O59" s="103">
        <f t="shared" si="11"/>
        <v>43466</v>
      </c>
      <c r="P59" s="103">
        <f t="shared" si="12"/>
        <v>43496</v>
      </c>
    </row>
    <row r="60" spans="1:16" s="5" customFormat="1" ht="17.100000000000001" customHeight="1">
      <c r="A60" s="104">
        <f t="shared" si="15"/>
        <v>19</v>
      </c>
      <c r="B60" s="567" t="str">
        <f t="shared" si="13"/>
        <v>Tháng 02/2019</v>
      </c>
      <c r="C60" s="567"/>
      <c r="D60" s="568" t="str">
        <f t="shared" si="14"/>
        <v>Đổ BT đệm đáy móng + tạo phẳng 10Mpa</v>
      </c>
      <c r="E60" s="568"/>
      <c r="F60" s="568"/>
      <c r="G60" s="568"/>
      <c r="H60" s="569">
        <f t="shared" si="10"/>
        <v>0</v>
      </c>
      <c r="I60" s="569"/>
      <c r="J60" s="567"/>
      <c r="K60" s="570"/>
      <c r="L60">
        <v>2</v>
      </c>
      <c r="M60" s="101">
        <v>2019</v>
      </c>
      <c r="N60"/>
      <c r="O60" s="103">
        <f t="shared" si="11"/>
        <v>43497</v>
      </c>
      <c r="P60" s="103">
        <f t="shared" si="12"/>
        <v>43524</v>
      </c>
    </row>
    <row r="61" spans="1:16" s="5" customFormat="1" ht="17.100000000000001" customHeight="1">
      <c r="A61" s="104">
        <f t="shared" si="15"/>
        <v>20</v>
      </c>
      <c r="B61" s="567" t="str">
        <f t="shared" si="13"/>
        <v>Tháng 03/2019</v>
      </c>
      <c r="C61" s="567"/>
      <c r="D61" s="568" t="str">
        <f t="shared" si="14"/>
        <v>Đổ BT đệm đáy móng + tạo phẳng 10Mpa</v>
      </c>
      <c r="E61" s="568"/>
      <c r="F61" s="568"/>
      <c r="G61" s="568"/>
      <c r="H61" s="569">
        <f t="shared" si="10"/>
        <v>0</v>
      </c>
      <c r="I61" s="569"/>
      <c r="J61" s="567"/>
      <c r="K61" s="570"/>
      <c r="L61">
        <v>3</v>
      </c>
      <c r="M61" s="101">
        <v>2019</v>
      </c>
      <c r="N61"/>
      <c r="O61" s="103">
        <f t="shared" si="11"/>
        <v>43525</v>
      </c>
      <c r="P61" s="103">
        <f t="shared" si="12"/>
        <v>43555</v>
      </c>
    </row>
    <row r="62" spans="1:16" s="5" customFormat="1" ht="17.100000000000001" customHeight="1">
      <c r="A62" s="104">
        <f t="shared" si="15"/>
        <v>21</v>
      </c>
      <c r="B62" s="567" t="str">
        <f t="shared" si="13"/>
        <v>Tháng 04/2019</v>
      </c>
      <c r="C62" s="567"/>
      <c r="D62" s="568" t="str">
        <f t="shared" si="14"/>
        <v>Đổ BT đệm đáy móng + tạo phẳng 10Mpa</v>
      </c>
      <c r="E62" s="568"/>
      <c r="F62" s="568"/>
      <c r="G62" s="568"/>
      <c r="H62" s="569">
        <f t="shared" si="10"/>
        <v>20.84169605984</v>
      </c>
      <c r="I62" s="569"/>
      <c r="J62" s="567"/>
      <c r="K62" s="570"/>
      <c r="L62">
        <v>4</v>
      </c>
      <c r="M62" s="101">
        <v>2019</v>
      </c>
      <c r="N62"/>
      <c r="O62" s="103">
        <f t="shared" si="11"/>
        <v>43556</v>
      </c>
      <c r="P62" s="103">
        <f t="shared" si="12"/>
        <v>43585</v>
      </c>
    </row>
    <row r="63" spans="1:16" s="5" customFormat="1" ht="17.100000000000001" customHeight="1">
      <c r="A63" s="104">
        <f t="shared" si="15"/>
        <v>22</v>
      </c>
      <c r="B63" s="567" t="str">
        <f t="shared" si="13"/>
        <v>Tháng 05/2019</v>
      </c>
      <c r="C63" s="567"/>
      <c r="D63" s="568" t="str">
        <f t="shared" si="14"/>
        <v>Đổ BT đệm đáy móng + tạo phẳng 10Mpa</v>
      </c>
      <c r="E63" s="568"/>
      <c r="F63" s="568"/>
      <c r="G63" s="568"/>
      <c r="H63" s="569">
        <f t="shared" si="10"/>
        <v>0</v>
      </c>
      <c r="I63" s="569"/>
      <c r="J63" s="567"/>
      <c r="K63" s="570"/>
      <c r="L63">
        <v>5</v>
      </c>
      <c r="M63" s="101">
        <v>2019</v>
      </c>
      <c r="N63"/>
      <c r="O63" s="103">
        <f t="shared" si="11"/>
        <v>43586</v>
      </c>
      <c r="P63" s="103">
        <f t="shared" si="12"/>
        <v>43616</v>
      </c>
    </row>
    <row r="64" spans="1:16" s="5" customFormat="1" ht="17.100000000000001" customHeight="1">
      <c r="A64" s="104">
        <f t="shared" si="15"/>
        <v>23</v>
      </c>
      <c r="B64" s="567" t="str">
        <f t="shared" si="13"/>
        <v>Tháng 06/2019</v>
      </c>
      <c r="C64" s="567"/>
      <c r="D64" s="568" t="str">
        <f t="shared" si="14"/>
        <v>Đổ BT đệm đáy móng + tạo phẳng 10Mpa</v>
      </c>
      <c r="E64" s="568"/>
      <c r="F64" s="568"/>
      <c r="G64" s="568"/>
      <c r="H64" s="569">
        <f t="shared" si="10"/>
        <v>0</v>
      </c>
      <c r="I64" s="569"/>
      <c r="J64" s="567"/>
      <c r="K64" s="570"/>
      <c r="L64">
        <v>6</v>
      </c>
      <c r="M64" s="101">
        <v>2019</v>
      </c>
      <c r="N64"/>
      <c r="O64" s="103">
        <f t="shared" si="11"/>
        <v>43617</v>
      </c>
      <c r="P64" s="103">
        <f t="shared" si="12"/>
        <v>43646</v>
      </c>
    </row>
    <row r="65" spans="1:20" s="5" customFormat="1" ht="17.100000000000001" customHeight="1">
      <c r="A65" s="104">
        <f t="shared" si="15"/>
        <v>24</v>
      </c>
      <c r="B65" s="567" t="str">
        <f t="shared" si="13"/>
        <v>Tháng 07/2019</v>
      </c>
      <c r="C65" s="567"/>
      <c r="D65" s="568" t="str">
        <f t="shared" si="14"/>
        <v>Đổ BT đệm đáy móng + tạo phẳng 10Mpa</v>
      </c>
      <c r="E65" s="568"/>
      <c r="F65" s="568"/>
      <c r="G65" s="568"/>
      <c r="H65" s="569">
        <f t="shared" si="10"/>
        <v>0</v>
      </c>
      <c r="I65" s="569"/>
      <c r="J65" s="567"/>
      <c r="K65" s="570"/>
      <c r="L65">
        <v>7</v>
      </c>
      <c r="M65" s="101">
        <v>2019</v>
      </c>
      <c r="N65"/>
      <c r="O65" s="103">
        <f t="shared" si="11"/>
        <v>43647</v>
      </c>
      <c r="P65" s="103">
        <f t="shared" si="12"/>
        <v>43677</v>
      </c>
    </row>
    <row r="66" spans="1:20" s="5" customFormat="1" ht="17.100000000000001" customHeight="1">
      <c r="A66" s="104">
        <f t="shared" si="15"/>
        <v>25</v>
      </c>
      <c r="B66" s="567" t="str">
        <f t="shared" si="13"/>
        <v>Tháng 08/2019</v>
      </c>
      <c r="C66" s="567"/>
      <c r="D66" s="568" t="str">
        <f t="shared" si="14"/>
        <v>Đổ BT đệm đáy móng + tạo phẳng 10Mpa</v>
      </c>
      <c r="E66" s="568"/>
      <c r="F66" s="568"/>
      <c r="G66" s="568"/>
      <c r="H66" s="569">
        <f>+SUMIFS($I$12:$I$33,$B$12:$B$33,"&gt;="&amp;$O66,$B$12:$B$33,"&lt;="&amp;$P66)</f>
        <v>0</v>
      </c>
      <c r="I66" s="569"/>
      <c r="J66" s="567"/>
      <c r="K66" s="570"/>
      <c r="L66">
        <v>8</v>
      </c>
      <c r="M66" s="101">
        <v>2019</v>
      </c>
      <c r="N66"/>
      <c r="O66" s="103">
        <f t="shared" si="11"/>
        <v>43678</v>
      </c>
      <c r="P66" s="103">
        <f t="shared" si="12"/>
        <v>43708</v>
      </c>
    </row>
    <row r="67" spans="1:20" s="5" customFormat="1" ht="17.100000000000001" customHeight="1">
      <c r="A67" s="104">
        <f t="shared" si="15"/>
        <v>26</v>
      </c>
      <c r="B67" s="616" t="str">
        <f t="shared" si="13"/>
        <v>Tháng 09/2019</v>
      </c>
      <c r="C67" s="616"/>
      <c r="D67" s="652" t="str">
        <f>D65</f>
        <v>Đổ BT đệm đáy móng + tạo phẳng 10Mpa</v>
      </c>
      <c r="E67" s="652"/>
      <c r="F67" s="652"/>
      <c r="G67" s="652"/>
      <c r="H67" s="615">
        <f>+SUMIFS($I$12:$I$33,$B$12:$B$33,"&gt;="&amp;$O67,$B$12:$B$33,"&lt;="&amp;$P67)</f>
        <v>0</v>
      </c>
      <c r="I67" s="615"/>
      <c r="J67" s="616"/>
      <c r="K67" s="617"/>
      <c r="L67">
        <v>9</v>
      </c>
      <c r="M67" s="101">
        <v>2019</v>
      </c>
      <c r="N67"/>
      <c r="O67" s="103">
        <f>DATE(M67,L67,1)</f>
        <v>43709</v>
      </c>
      <c r="P67" s="103">
        <f>DATE(M67,L67+1,0)</f>
        <v>43738</v>
      </c>
    </row>
    <row r="68" spans="1:20" s="5" customFormat="1" ht="21.6" customHeight="1" thickBot="1">
      <c r="A68" s="618" t="s">
        <v>86</v>
      </c>
      <c r="B68" s="619"/>
      <c r="C68" s="619"/>
      <c r="D68" s="619"/>
      <c r="E68" s="619"/>
      <c r="F68" s="619"/>
      <c r="G68" s="620"/>
      <c r="H68" s="621">
        <f t="shared" ref="H68" si="16">SUM(H42:I67)</f>
        <v>57.006696059839996</v>
      </c>
      <c r="I68" s="622"/>
      <c r="J68" s="621"/>
      <c r="K68" s="622"/>
      <c r="L68"/>
      <c r="M68"/>
      <c r="N68"/>
      <c r="O68"/>
      <c r="P68"/>
    </row>
    <row r="69" spans="1:20" s="5" customFormat="1" ht="18" customHeight="1" thickTop="1" thickBot="1">
      <c r="A69" s="105"/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4"/>
      <c r="M69" s="4"/>
      <c r="N69" s="4"/>
      <c r="O69" s="4"/>
      <c r="P69" s="20"/>
    </row>
    <row r="70" spans="1:20" s="5" customFormat="1" ht="13.9" customHeight="1" thickTop="1">
      <c r="A70" s="647" t="s">
        <v>68</v>
      </c>
      <c r="B70" s="648"/>
      <c r="C70" s="648"/>
      <c r="D70" s="648"/>
      <c r="E70" s="648"/>
      <c r="F70" s="649" t="s">
        <v>69</v>
      </c>
      <c r="G70" s="649"/>
      <c r="H70" s="649"/>
      <c r="I70" s="650"/>
      <c r="J70" s="650"/>
      <c r="K70" s="651"/>
      <c r="L70" s="4"/>
      <c r="M70" s="4"/>
      <c r="N70" s="4"/>
      <c r="O70" s="4"/>
      <c r="P70" s="4"/>
    </row>
    <row r="71" spans="1:20" s="5" customFormat="1" ht="13.9" customHeight="1">
      <c r="A71" s="583" t="s">
        <v>5</v>
      </c>
      <c r="B71" s="584"/>
      <c r="C71" s="584"/>
      <c r="D71" s="584"/>
      <c r="E71" s="584"/>
      <c r="F71" s="585" t="s">
        <v>6</v>
      </c>
      <c r="G71" s="585"/>
      <c r="H71" s="585"/>
      <c r="I71" s="586"/>
      <c r="J71" s="586"/>
      <c r="K71" s="587"/>
      <c r="L71" s="4"/>
      <c r="M71" s="4"/>
      <c r="N71" s="4"/>
      <c r="O71" s="4"/>
      <c r="P71" s="4"/>
    </row>
    <row r="72" spans="1:20" s="5" customFormat="1" ht="13.9" customHeight="1">
      <c r="A72" s="583" t="s">
        <v>836</v>
      </c>
      <c r="B72" s="584"/>
      <c r="C72" s="584"/>
      <c r="D72" s="584"/>
      <c r="E72" s="584"/>
      <c r="F72" s="590" t="s">
        <v>837</v>
      </c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>
      <c r="A76" s="583"/>
      <c r="B76" s="584"/>
      <c r="C76" s="584"/>
      <c r="D76" s="584"/>
      <c r="E76" s="584"/>
      <c r="F76" s="590"/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20" s="5" customFormat="1" ht="13.9" customHeight="1">
      <c r="A77" s="583"/>
      <c r="B77" s="584"/>
      <c r="C77" s="584"/>
      <c r="D77" s="584"/>
      <c r="E77" s="584"/>
      <c r="F77" s="590"/>
      <c r="G77" s="590"/>
      <c r="H77" s="590"/>
      <c r="I77" s="591"/>
      <c r="J77" s="591"/>
      <c r="K77" s="592"/>
      <c r="L77" s="4"/>
      <c r="M77" s="4"/>
      <c r="N77" s="4"/>
      <c r="O77" s="4"/>
      <c r="P77" s="4"/>
    </row>
    <row r="78" spans="1:20" s="5" customFormat="1" ht="13.9" customHeight="1" thickBot="1">
      <c r="A78" s="588"/>
      <c r="B78" s="589"/>
      <c r="C78" s="589"/>
      <c r="D78" s="589"/>
      <c r="E78" s="589"/>
      <c r="F78" s="593"/>
      <c r="G78" s="593"/>
      <c r="H78" s="593"/>
      <c r="I78" s="594"/>
      <c r="J78" s="594"/>
      <c r="K78" s="595"/>
      <c r="L78" s="4"/>
      <c r="M78" s="4"/>
      <c r="N78" s="4"/>
      <c r="O78" s="4"/>
      <c r="P78" s="4"/>
    </row>
    <row r="79" spans="1:20" s="5" customFormat="1" ht="15.75" thickTop="1">
      <c r="A79" s="4"/>
      <c r="B79" s="12"/>
      <c r="C79" s="10"/>
      <c r="D79" s="10"/>
      <c r="E79" s="10"/>
      <c r="F79" s="13"/>
      <c r="G79" s="13"/>
      <c r="H79" s="13"/>
      <c r="I79" s="13"/>
      <c r="J79" s="13"/>
      <c r="K79" s="4"/>
      <c r="L79" s="4"/>
      <c r="M79" s="4"/>
      <c r="N79" s="4"/>
      <c r="O79" s="4"/>
      <c r="P79" s="4"/>
      <c r="R79" s="4"/>
      <c r="S79" s="4"/>
      <c r="T79" s="4"/>
    </row>
  </sheetData>
  <mergeCells count="153">
    <mergeCell ref="I9:I11"/>
    <mergeCell ref="J9:J11"/>
    <mergeCell ref="K9:K11"/>
    <mergeCell ref="C18:E18"/>
    <mergeCell ref="A19:E19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5:E15"/>
    <mergeCell ref="C16:E16"/>
    <mergeCell ref="C17:E17"/>
    <mergeCell ref="C12:E12"/>
    <mergeCell ref="C13:E13"/>
    <mergeCell ref="C14:E14"/>
    <mergeCell ref="K14:K17"/>
    <mergeCell ref="K12:K13"/>
    <mergeCell ref="A31:K31"/>
    <mergeCell ref="A32:K32"/>
    <mergeCell ref="A33:K33"/>
    <mergeCell ref="A34:K34"/>
    <mergeCell ref="A35:K35"/>
    <mergeCell ref="A38:D38"/>
    <mergeCell ref="A21:E21"/>
    <mergeCell ref="F21:K21"/>
    <mergeCell ref="A22:E22"/>
    <mergeCell ref="F22:K22"/>
    <mergeCell ref="A23:E29"/>
    <mergeCell ref="F23:K29"/>
    <mergeCell ref="A40:A41"/>
    <mergeCell ref="B40:C41"/>
    <mergeCell ref="D40:G41"/>
    <mergeCell ref="H40:I41"/>
    <mergeCell ref="J40:K41"/>
    <mergeCell ref="B42:C42"/>
    <mergeCell ref="D42:G42"/>
    <mergeCell ref="H42:I42"/>
    <mergeCell ref="J42:K42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7:C67"/>
    <mergeCell ref="D67:G67"/>
    <mergeCell ref="H67:I67"/>
    <mergeCell ref="J67:K67"/>
    <mergeCell ref="A72:E78"/>
    <mergeCell ref="F72:K78"/>
    <mergeCell ref="A68:G68"/>
    <mergeCell ref="H68:I68"/>
    <mergeCell ref="J68:K68"/>
    <mergeCell ref="A70:E70"/>
    <mergeCell ref="F70:K70"/>
    <mergeCell ref="A71:E71"/>
    <mergeCell ref="F71:K71"/>
    <mergeCell ref="B65:C65"/>
    <mergeCell ref="D65:G65"/>
    <mergeCell ref="H65:I65"/>
    <mergeCell ref="J65:K65"/>
    <mergeCell ref="B66:C66"/>
    <mergeCell ref="D66:G66"/>
    <mergeCell ref="H66:I66"/>
    <mergeCell ref="J66:K66"/>
    <mergeCell ref="B63:C63"/>
    <mergeCell ref="D63:G63"/>
    <mergeCell ref="H63:I63"/>
    <mergeCell ref="J63:K63"/>
    <mergeCell ref="B64:C64"/>
    <mergeCell ref="D64:G64"/>
    <mergeCell ref="H64:I64"/>
    <mergeCell ref="J64:K64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30" min="5" max="10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C000"/>
  </sheetPr>
  <dimension ref="A1:T75"/>
  <sheetViews>
    <sheetView view="pageBreakPreview" zoomScaleSheetLayoutView="100" workbookViewId="0">
      <selection activeCell="K12" sqref="K1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5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C.II.1.1.3. Đổ BT đệm đáy móng + tạo phẳng 10Mpa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337</v>
      </c>
      <c r="N6" s="245" t="str">
        <f>THKLQT!C102</f>
        <v>Đổ BT đệm đáy móng + tạo phẳng 10Mpa</v>
      </c>
      <c r="Q6" s="17"/>
    </row>
    <row r="7" spans="1:20" s="178" customFormat="1" ht="18.75" customHeight="1">
      <c r="A7" s="634">
        <f>I15</f>
        <v>0.5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THKLQT!D102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515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9.25" customHeight="1" outlineLevel="2">
      <c r="A12" s="81">
        <f>SUBTOTAL(103,$B$12:B12)</f>
        <v>1</v>
      </c>
      <c r="B12" s="78">
        <v>43330</v>
      </c>
      <c r="C12" s="709" t="s">
        <v>249</v>
      </c>
      <c r="D12" s="710"/>
      <c r="E12" s="711"/>
      <c r="F12" s="2">
        <v>0.5</v>
      </c>
      <c r="G12" s="1">
        <v>0.5</v>
      </c>
      <c r="H12" s="295">
        <f>MIN(F12:G12)</f>
        <v>0.5</v>
      </c>
      <c r="I12" s="107">
        <f>H12</f>
        <v>0.5</v>
      </c>
      <c r="J12" s="107">
        <f>P12</f>
        <v>19.399999999999999</v>
      </c>
      <c r="K12" s="520"/>
      <c r="L12" s="4" t="s">
        <v>708</v>
      </c>
      <c r="N12" s="118"/>
      <c r="O12" s="118" t="s">
        <v>367</v>
      </c>
      <c r="P12" s="88">
        <v>19.399999999999999</v>
      </c>
      <c r="Q12" s="89">
        <v>43358</v>
      </c>
      <c r="R12" s="88"/>
      <c r="S12" s="88" t="e">
        <f t="shared" ref="S12:S13" si="0">VLOOKUP($S$11,hamchuigoi3,M12,0)</f>
        <v>#VALUE!</v>
      </c>
      <c r="T12" s="3" t="str">
        <f t="shared" ref="T12" si="1">$N$6&amp;" "&amp;O12</f>
        <v>Đổ BT đệm đáy móng + tạo phẳng 10Mpa ,bệ móng A1L</v>
      </c>
    </row>
    <row r="13" spans="1:20" ht="14.25" outlineLevel="2">
      <c r="A13" s="81"/>
      <c r="B13" s="78"/>
      <c r="C13" s="571"/>
      <c r="D13" s="572"/>
      <c r="E13" s="573"/>
      <c r="F13" s="2"/>
      <c r="G13" s="1"/>
      <c r="H13" s="295"/>
      <c r="I13" s="107"/>
      <c r="J13" s="107"/>
      <c r="K13" s="519"/>
      <c r="L13" s="4" t="s">
        <v>710</v>
      </c>
      <c r="N13" s="118"/>
      <c r="O13" s="118" t="s">
        <v>345</v>
      </c>
      <c r="P13" s="88">
        <v>6.36</v>
      </c>
      <c r="Q13" s="89">
        <v>43582</v>
      </c>
      <c r="R13" s="88"/>
      <c r="S13" s="88" t="e">
        <f t="shared" si="0"/>
        <v>#VALUE!</v>
      </c>
      <c r="T13" s="3" t="str">
        <f>$N$6&amp;" "&amp;O13</f>
        <v>Đổ BT đệm đáy móng + tạo phẳng 10Mpa A2T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ROUND(SUM(F12:F14),2)</f>
        <v>0.5</v>
      </c>
      <c r="G15" s="79">
        <f>ROUND(SUM(G12:G14),2)</f>
        <v>0.5</v>
      </c>
      <c r="H15" s="79">
        <f>ROUND(SUM(H12:H14),2)</f>
        <v>0.5</v>
      </c>
      <c r="I15" s="79">
        <f>ROUND(SUM(I12:I14),2)</f>
        <v>0.5</v>
      </c>
      <c r="J15" s="79">
        <f>ROUND(SUM(J12:J14),2)</f>
        <v>19.399999999999999</v>
      </c>
      <c r="K15" s="80"/>
      <c r="N15" s="118"/>
      <c r="O15" s="118"/>
      <c r="P15" s="90">
        <f>SUM(P12:P13)</f>
        <v>25.759999999999998</v>
      </c>
    </row>
    <row r="16" spans="1:20" s="175" customFormat="1" ht="18" customHeight="1" thickTop="1" thickBot="1">
      <c r="A16" s="516"/>
      <c r="B16" s="516"/>
      <c r="C16" s="516"/>
      <c r="D16" s="516"/>
      <c r="E16" s="516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516"/>
      <c r="B26" s="516"/>
      <c r="C26" s="516"/>
      <c r="D26" s="516"/>
      <c r="E26" s="516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17" t="str">
        <f>A5</f>
        <v>Hạng mục C.II. HỆ MẶT CẦU, LAN CAN, THẢM MẶT CẦU, THOÁT NƯỚC, KHE CO GIÃN</v>
      </c>
      <c r="B32" s="518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517" t="str">
        <f>A6</f>
        <v>Mục C.II.1.1.3. Đổ BT đệm đáy móng + tạo phẳng 10Mpa</v>
      </c>
      <c r="B33" s="518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0.5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C12</f>
        <v>Vữa không co ngót 40Mpa</v>
      </c>
      <c r="E38" s="624"/>
      <c r="F38" s="624"/>
      <c r="G38" s="624"/>
      <c r="H38" s="625">
        <f t="shared" ref="H38:H61" si="2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3">DATE(M38,L38,1)</f>
        <v>42948</v>
      </c>
      <c r="P38" s="103">
        <f t="shared" ref="P38:P62" si="4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5">"Tháng "&amp;IF(L39&lt;10,0&amp;L39&amp;"/"&amp;M39,L39&amp;"/"&amp;M39)</f>
        <v>Tháng 09/2017</v>
      </c>
      <c r="C39" s="567"/>
      <c r="D39" s="568" t="str">
        <f>D38</f>
        <v>Vữa không co ngót 40Mpa</v>
      </c>
      <c r="E39" s="568"/>
      <c r="F39" s="568"/>
      <c r="G39" s="568"/>
      <c r="H39" s="569">
        <f t="shared" si="2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3"/>
        <v>42979</v>
      </c>
      <c r="P39" s="103">
        <f t="shared" si="4"/>
        <v>43008</v>
      </c>
    </row>
    <row r="40" spans="1:20" s="5" customFormat="1" ht="17.100000000000001" customHeight="1">
      <c r="A40" s="104">
        <f>A39+1</f>
        <v>3</v>
      </c>
      <c r="B40" s="567" t="str">
        <f t="shared" si="5"/>
        <v>Tháng 10/2017</v>
      </c>
      <c r="C40" s="567"/>
      <c r="D40" s="568" t="str">
        <f t="shared" ref="D40:D62" si="6">D39</f>
        <v>Vữa không co ngót 40Mpa</v>
      </c>
      <c r="E40" s="568"/>
      <c r="F40" s="568"/>
      <c r="G40" s="568"/>
      <c r="H40" s="569">
        <f t="shared" si="2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3"/>
        <v>43009</v>
      </c>
      <c r="P40" s="103">
        <f t="shared" si="4"/>
        <v>43039</v>
      </c>
    </row>
    <row r="41" spans="1:20" s="5" customFormat="1" ht="17.100000000000001" customHeight="1">
      <c r="A41" s="104">
        <f t="shared" ref="A41:A63" si="7">A40+1</f>
        <v>4</v>
      </c>
      <c r="B41" s="567" t="str">
        <f t="shared" si="5"/>
        <v>Tháng 11/2017</v>
      </c>
      <c r="C41" s="567"/>
      <c r="D41" s="568" t="str">
        <f t="shared" si="6"/>
        <v>Vữa không co ngót 40Mpa</v>
      </c>
      <c r="E41" s="568"/>
      <c r="F41" s="568"/>
      <c r="G41" s="568"/>
      <c r="H41" s="569">
        <f t="shared" si="2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3"/>
        <v>43040</v>
      </c>
      <c r="P41" s="103">
        <f t="shared" si="4"/>
        <v>43069</v>
      </c>
    </row>
    <row r="42" spans="1:20" s="5" customFormat="1" ht="17.100000000000001" customHeight="1">
      <c r="A42" s="104">
        <f t="shared" si="7"/>
        <v>5</v>
      </c>
      <c r="B42" s="567" t="str">
        <f t="shared" si="5"/>
        <v>Tháng 12/2017</v>
      </c>
      <c r="C42" s="567"/>
      <c r="D42" s="568" t="str">
        <f t="shared" si="6"/>
        <v>Vữa không co ngót 40Mpa</v>
      </c>
      <c r="E42" s="568"/>
      <c r="F42" s="568"/>
      <c r="G42" s="568"/>
      <c r="H42" s="569">
        <f t="shared" si="2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3"/>
        <v>43070</v>
      </c>
      <c r="P42" s="103">
        <f t="shared" si="4"/>
        <v>43100</v>
      </c>
    </row>
    <row r="43" spans="1:20" s="5" customFormat="1" ht="17.100000000000001" customHeight="1">
      <c r="A43" s="104">
        <f t="shared" si="7"/>
        <v>6</v>
      </c>
      <c r="B43" s="567" t="str">
        <f t="shared" si="5"/>
        <v>Tháng 01/2018</v>
      </c>
      <c r="C43" s="567"/>
      <c r="D43" s="568" t="str">
        <f t="shared" si="6"/>
        <v>Vữa không co ngót 40Mpa</v>
      </c>
      <c r="E43" s="568"/>
      <c r="F43" s="568"/>
      <c r="G43" s="568"/>
      <c r="H43" s="569">
        <f t="shared" si="2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3"/>
        <v>43101</v>
      </c>
      <c r="P43" s="103">
        <f t="shared" si="4"/>
        <v>43131</v>
      </c>
    </row>
    <row r="44" spans="1:20" s="5" customFormat="1" ht="17.100000000000001" customHeight="1">
      <c r="A44" s="104">
        <f t="shared" si="7"/>
        <v>7</v>
      </c>
      <c r="B44" s="567" t="str">
        <f t="shared" si="5"/>
        <v>Tháng 02/2018</v>
      </c>
      <c r="C44" s="567"/>
      <c r="D44" s="568" t="str">
        <f t="shared" si="6"/>
        <v>Vữa không co ngót 40Mpa</v>
      </c>
      <c r="E44" s="568"/>
      <c r="F44" s="568"/>
      <c r="G44" s="568"/>
      <c r="H44" s="569">
        <f t="shared" si="2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3"/>
        <v>43132</v>
      </c>
      <c r="P44" s="103">
        <f t="shared" si="4"/>
        <v>43159</v>
      </c>
    </row>
    <row r="45" spans="1:20" s="5" customFormat="1" ht="17.100000000000001" customHeight="1">
      <c r="A45" s="104">
        <f t="shared" si="7"/>
        <v>8</v>
      </c>
      <c r="B45" s="567" t="str">
        <f t="shared" si="5"/>
        <v>Tháng 03/2018</v>
      </c>
      <c r="C45" s="567"/>
      <c r="D45" s="568" t="str">
        <f t="shared" si="6"/>
        <v>Vữa không co ngót 40Mpa</v>
      </c>
      <c r="E45" s="568"/>
      <c r="F45" s="568"/>
      <c r="G45" s="568"/>
      <c r="H45" s="569">
        <f t="shared" si="2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3"/>
        <v>43160</v>
      </c>
      <c r="P45" s="103">
        <f t="shared" si="4"/>
        <v>43190</v>
      </c>
    </row>
    <row r="46" spans="1:20" s="5" customFormat="1" ht="17.100000000000001" customHeight="1">
      <c r="A46" s="104">
        <f t="shared" si="7"/>
        <v>9</v>
      </c>
      <c r="B46" s="567" t="str">
        <f t="shared" si="5"/>
        <v>Tháng 04/2018</v>
      </c>
      <c r="C46" s="567"/>
      <c r="D46" s="568" t="str">
        <f t="shared" si="6"/>
        <v>Vữa không co ngót 40Mpa</v>
      </c>
      <c r="E46" s="568"/>
      <c r="F46" s="568"/>
      <c r="G46" s="568"/>
      <c r="H46" s="569">
        <f t="shared" si="2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3"/>
        <v>43191</v>
      </c>
      <c r="P46" s="103">
        <f t="shared" si="4"/>
        <v>43220</v>
      </c>
    </row>
    <row r="47" spans="1:20" s="5" customFormat="1" ht="17.100000000000001" customHeight="1">
      <c r="A47" s="104">
        <f t="shared" si="7"/>
        <v>10</v>
      </c>
      <c r="B47" s="567" t="str">
        <f t="shared" si="5"/>
        <v>Tháng 05/2018</v>
      </c>
      <c r="C47" s="567"/>
      <c r="D47" s="568" t="str">
        <f t="shared" si="6"/>
        <v>Vữa không co ngót 40Mpa</v>
      </c>
      <c r="E47" s="568"/>
      <c r="F47" s="568"/>
      <c r="G47" s="568"/>
      <c r="H47" s="569">
        <f t="shared" si="2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3"/>
        <v>43221</v>
      </c>
      <c r="P47" s="103">
        <f t="shared" si="4"/>
        <v>43251</v>
      </c>
    </row>
    <row r="48" spans="1:20" s="5" customFormat="1" ht="17.100000000000001" customHeight="1">
      <c r="A48" s="104">
        <f t="shared" si="7"/>
        <v>11</v>
      </c>
      <c r="B48" s="567" t="str">
        <f t="shared" si="5"/>
        <v>Tháng 06/2018</v>
      </c>
      <c r="C48" s="567"/>
      <c r="D48" s="568" t="str">
        <f t="shared" si="6"/>
        <v>Vữa không co ngót 40Mpa</v>
      </c>
      <c r="E48" s="568"/>
      <c r="F48" s="568"/>
      <c r="G48" s="568"/>
      <c r="H48" s="569">
        <f t="shared" si="2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3"/>
        <v>43252</v>
      </c>
      <c r="P48" s="103">
        <f t="shared" si="4"/>
        <v>43281</v>
      </c>
    </row>
    <row r="49" spans="1:16" s="5" customFormat="1" ht="17.100000000000001" customHeight="1">
      <c r="A49" s="104">
        <f t="shared" si="7"/>
        <v>12</v>
      </c>
      <c r="B49" s="567" t="str">
        <f t="shared" si="5"/>
        <v>Tháng 07/2018</v>
      </c>
      <c r="C49" s="567"/>
      <c r="D49" s="568" t="str">
        <f t="shared" si="6"/>
        <v>Vữa không co ngót 40Mpa</v>
      </c>
      <c r="E49" s="568"/>
      <c r="F49" s="568"/>
      <c r="G49" s="568"/>
      <c r="H49" s="569">
        <f t="shared" si="2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3"/>
        <v>43282</v>
      </c>
      <c r="P49" s="103">
        <f t="shared" si="4"/>
        <v>43312</v>
      </c>
    </row>
    <row r="50" spans="1:16" s="5" customFormat="1" ht="17.100000000000001" customHeight="1">
      <c r="A50" s="104">
        <f t="shared" si="7"/>
        <v>13</v>
      </c>
      <c r="B50" s="567" t="str">
        <f t="shared" si="5"/>
        <v>Tháng 08/2018</v>
      </c>
      <c r="C50" s="567"/>
      <c r="D50" s="568" t="str">
        <f t="shared" si="6"/>
        <v>Vữa không co ngót 40Mpa</v>
      </c>
      <c r="E50" s="568"/>
      <c r="F50" s="568"/>
      <c r="G50" s="568"/>
      <c r="H50" s="569">
        <f t="shared" si="2"/>
        <v>0.5</v>
      </c>
      <c r="I50" s="569"/>
      <c r="J50" s="567"/>
      <c r="K50" s="570"/>
      <c r="L50">
        <v>8</v>
      </c>
      <c r="M50" s="101">
        <v>2018</v>
      </c>
      <c r="N50"/>
      <c r="O50" s="103">
        <f t="shared" si="3"/>
        <v>43313</v>
      </c>
      <c r="P50" s="103">
        <f t="shared" si="4"/>
        <v>43343</v>
      </c>
    </row>
    <row r="51" spans="1:16" s="5" customFormat="1" ht="17.100000000000001" customHeight="1">
      <c r="A51" s="104">
        <f t="shared" si="7"/>
        <v>14</v>
      </c>
      <c r="B51" s="567" t="str">
        <f t="shared" si="5"/>
        <v>Tháng 09/2018</v>
      </c>
      <c r="C51" s="567"/>
      <c r="D51" s="568" t="str">
        <f t="shared" si="6"/>
        <v>Vữa không co ngót 40Mpa</v>
      </c>
      <c r="E51" s="568"/>
      <c r="F51" s="568"/>
      <c r="G51" s="568"/>
      <c r="H51" s="569">
        <f t="shared" si="2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3"/>
        <v>43344</v>
      </c>
      <c r="P51" s="103">
        <f t="shared" si="4"/>
        <v>43373</v>
      </c>
    </row>
    <row r="52" spans="1:16" s="5" customFormat="1" ht="17.100000000000001" customHeight="1">
      <c r="A52" s="104">
        <f t="shared" si="7"/>
        <v>15</v>
      </c>
      <c r="B52" s="567" t="str">
        <f t="shared" si="5"/>
        <v>Tháng 10/2018</v>
      </c>
      <c r="C52" s="567"/>
      <c r="D52" s="568" t="str">
        <f t="shared" si="6"/>
        <v>Vữa không co ngót 40Mpa</v>
      </c>
      <c r="E52" s="568"/>
      <c r="F52" s="568"/>
      <c r="G52" s="568"/>
      <c r="H52" s="569">
        <f t="shared" si="2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3"/>
        <v>43374</v>
      </c>
      <c r="P52" s="103">
        <f t="shared" si="4"/>
        <v>43404</v>
      </c>
    </row>
    <row r="53" spans="1:16" s="5" customFormat="1" ht="17.100000000000001" customHeight="1">
      <c r="A53" s="104">
        <f t="shared" si="7"/>
        <v>16</v>
      </c>
      <c r="B53" s="567" t="str">
        <f t="shared" si="5"/>
        <v>Tháng 11/2018</v>
      </c>
      <c r="C53" s="567"/>
      <c r="D53" s="568" t="str">
        <f t="shared" si="6"/>
        <v>Vữa không co ngót 40Mpa</v>
      </c>
      <c r="E53" s="568"/>
      <c r="F53" s="568"/>
      <c r="G53" s="568"/>
      <c r="H53" s="569">
        <f t="shared" si="2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3"/>
        <v>43405</v>
      </c>
      <c r="P53" s="103">
        <f t="shared" si="4"/>
        <v>43434</v>
      </c>
    </row>
    <row r="54" spans="1:16" s="5" customFormat="1" ht="17.100000000000001" customHeight="1">
      <c r="A54" s="104">
        <f t="shared" si="7"/>
        <v>17</v>
      </c>
      <c r="B54" s="567" t="str">
        <f t="shared" si="5"/>
        <v>Tháng 12/2018</v>
      </c>
      <c r="C54" s="567"/>
      <c r="D54" s="568" t="str">
        <f t="shared" si="6"/>
        <v>Vữa không co ngót 40Mpa</v>
      </c>
      <c r="E54" s="568"/>
      <c r="F54" s="568"/>
      <c r="G54" s="568"/>
      <c r="H54" s="569">
        <f t="shared" si="2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3"/>
        <v>43435</v>
      </c>
      <c r="P54" s="103">
        <f t="shared" si="4"/>
        <v>43465</v>
      </c>
    </row>
    <row r="55" spans="1:16" s="5" customFormat="1" ht="17.100000000000001" customHeight="1">
      <c r="A55" s="104">
        <f t="shared" si="7"/>
        <v>18</v>
      </c>
      <c r="B55" s="567" t="str">
        <f t="shared" si="5"/>
        <v>Tháng 01/2019</v>
      </c>
      <c r="C55" s="567"/>
      <c r="D55" s="568" t="str">
        <f t="shared" si="6"/>
        <v>Vữa không co ngót 40Mpa</v>
      </c>
      <c r="E55" s="568"/>
      <c r="F55" s="568"/>
      <c r="G55" s="568"/>
      <c r="H55" s="569">
        <f t="shared" si="2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3"/>
        <v>43466</v>
      </c>
      <c r="P55" s="103">
        <f t="shared" si="4"/>
        <v>43496</v>
      </c>
    </row>
    <row r="56" spans="1:16" s="5" customFormat="1" ht="17.100000000000001" customHeight="1">
      <c r="A56" s="104">
        <f t="shared" si="7"/>
        <v>19</v>
      </c>
      <c r="B56" s="567" t="str">
        <f t="shared" si="5"/>
        <v>Tháng 02/2019</v>
      </c>
      <c r="C56" s="567"/>
      <c r="D56" s="568" t="str">
        <f t="shared" si="6"/>
        <v>Vữa không co ngót 40Mpa</v>
      </c>
      <c r="E56" s="568"/>
      <c r="F56" s="568"/>
      <c r="G56" s="568"/>
      <c r="H56" s="569">
        <f t="shared" si="2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3"/>
        <v>43497</v>
      </c>
      <c r="P56" s="103">
        <f t="shared" si="4"/>
        <v>43524</v>
      </c>
    </row>
    <row r="57" spans="1:16" s="5" customFormat="1" ht="17.100000000000001" customHeight="1">
      <c r="A57" s="104">
        <f t="shared" si="7"/>
        <v>20</v>
      </c>
      <c r="B57" s="567" t="str">
        <f t="shared" si="5"/>
        <v>Tháng 03/2019</v>
      </c>
      <c r="C57" s="567"/>
      <c r="D57" s="568" t="str">
        <f t="shared" si="6"/>
        <v>Vữa không co ngót 40Mpa</v>
      </c>
      <c r="E57" s="568"/>
      <c r="F57" s="568"/>
      <c r="G57" s="568"/>
      <c r="H57" s="569">
        <f t="shared" si="2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3"/>
        <v>43525</v>
      </c>
      <c r="P57" s="103">
        <f t="shared" si="4"/>
        <v>43555</v>
      </c>
    </row>
    <row r="58" spans="1:16" s="5" customFormat="1" ht="17.100000000000001" customHeight="1">
      <c r="A58" s="104">
        <f t="shared" si="7"/>
        <v>21</v>
      </c>
      <c r="B58" s="567" t="str">
        <f t="shared" si="5"/>
        <v>Tháng 04/2019</v>
      </c>
      <c r="C58" s="567"/>
      <c r="D58" s="568" t="str">
        <f t="shared" si="6"/>
        <v>Vữa không co ngót 40Mpa</v>
      </c>
      <c r="E58" s="568"/>
      <c r="F58" s="568"/>
      <c r="G58" s="568"/>
      <c r="H58" s="569">
        <f t="shared" si="2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3"/>
        <v>43556</v>
      </c>
      <c r="P58" s="103">
        <f t="shared" si="4"/>
        <v>43585</v>
      </c>
    </row>
    <row r="59" spans="1:16" s="5" customFormat="1" ht="17.100000000000001" customHeight="1">
      <c r="A59" s="104">
        <f t="shared" si="7"/>
        <v>22</v>
      </c>
      <c r="B59" s="567" t="str">
        <f t="shared" si="5"/>
        <v>Tháng 05/2019</v>
      </c>
      <c r="C59" s="567"/>
      <c r="D59" s="568" t="str">
        <f t="shared" si="6"/>
        <v>Vữa không co ngót 40Mpa</v>
      </c>
      <c r="E59" s="568"/>
      <c r="F59" s="568"/>
      <c r="G59" s="568"/>
      <c r="H59" s="569">
        <f t="shared" si="2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3"/>
        <v>43586</v>
      </c>
      <c r="P59" s="103">
        <f t="shared" si="4"/>
        <v>43616</v>
      </c>
    </row>
    <row r="60" spans="1:16" s="5" customFormat="1" ht="17.100000000000001" customHeight="1">
      <c r="A60" s="104">
        <f t="shared" si="7"/>
        <v>23</v>
      </c>
      <c r="B60" s="567" t="str">
        <f t="shared" si="5"/>
        <v>Tháng 06/2019</v>
      </c>
      <c r="C60" s="567"/>
      <c r="D60" s="568" t="str">
        <f t="shared" si="6"/>
        <v>Vữa không co ngót 40Mpa</v>
      </c>
      <c r="E60" s="568"/>
      <c r="F60" s="568"/>
      <c r="G60" s="568"/>
      <c r="H60" s="569">
        <f t="shared" si="2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3"/>
        <v>43617</v>
      </c>
      <c r="P60" s="103">
        <f t="shared" si="4"/>
        <v>43646</v>
      </c>
    </row>
    <row r="61" spans="1:16" s="5" customFormat="1" ht="17.100000000000001" customHeight="1">
      <c r="A61" s="104">
        <f t="shared" si="7"/>
        <v>24</v>
      </c>
      <c r="B61" s="567" t="str">
        <f t="shared" si="5"/>
        <v>Tháng 07/2019</v>
      </c>
      <c r="C61" s="567"/>
      <c r="D61" s="568" t="str">
        <f t="shared" si="6"/>
        <v>Vữa không co ngót 40Mpa</v>
      </c>
      <c r="E61" s="568"/>
      <c r="F61" s="568"/>
      <c r="G61" s="568"/>
      <c r="H61" s="569">
        <f t="shared" si="2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3"/>
        <v>43647</v>
      </c>
      <c r="P61" s="103">
        <f t="shared" si="4"/>
        <v>43677</v>
      </c>
    </row>
    <row r="62" spans="1:16" s="5" customFormat="1" ht="17.100000000000001" customHeight="1">
      <c r="A62" s="104">
        <f t="shared" si="7"/>
        <v>25</v>
      </c>
      <c r="B62" s="567" t="str">
        <f t="shared" si="5"/>
        <v>Tháng 08/2019</v>
      </c>
      <c r="C62" s="567"/>
      <c r="D62" s="568" t="str">
        <f t="shared" si="6"/>
        <v>Vữa không co ngót 40Mpa</v>
      </c>
      <c r="E62" s="568"/>
      <c r="F62" s="568"/>
      <c r="G62" s="568"/>
      <c r="H62" s="569">
        <f>+SUMIFS($I$12:$I$29,$B$12:$B$29,"&gt;="&amp;$O62,$B$12:$B$29,"&lt;="&amp;$P62)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3"/>
        <v>43678</v>
      </c>
      <c r="P62" s="103">
        <f t="shared" si="4"/>
        <v>43708</v>
      </c>
    </row>
    <row r="63" spans="1:16" s="5" customFormat="1" ht="17.100000000000001" customHeight="1">
      <c r="A63" s="104">
        <f t="shared" si="7"/>
        <v>26</v>
      </c>
      <c r="B63" s="616" t="str">
        <f t="shared" si="5"/>
        <v>Tháng 09/2019</v>
      </c>
      <c r="C63" s="616"/>
      <c r="D63" s="652" t="str">
        <f>D61</f>
        <v>Vữa không co ngót 40Mpa</v>
      </c>
      <c r="E63" s="652"/>
      <c r="F63" s="652"/>
      <c r="G63" s="652"/>
      <c r="H63" s="615">
        <f>+SUMIFS($I$12:$I$29,$B$12:$B$29,"&gt;="&amp;$O63,$B$12:$B$29,"&lt;="&amp;$P63)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8">SUM(H38:I63)</f>
        <v>0.5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6:E66"/>
    <mergeCell ref="F66:K66"/>
    <mergeCell ref="A67:E67"/>
    <mergeCell ref="F67:K67"/>
    <mergeCell ref="A68:E74"/>
    <mergeCell ref="F68:K74"/>
    <mergeCell ref="B63:C63"/>
    <mergeCell ref="D63:G63"/>
    <mergeCell ref="H63:I63"/>
    <mergeCell ref="J63:K63"/>
    <mergeCell ref="A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C13:E13"/>
    <mergeCell ref="C14:E14"/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>
    <tabColor rgb="FFFFFF00"/>
  </sheetPr>
  <dimension ref="A1:T101"/>
  <sheetViews>
    <sheetView topLeftCell="A77" zoomScaleSheetLayoutView="100" workbookViewId="0">
      <selection activeCell="F33" sqref="F3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71093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C.II.1.1.5. SX+LD cốt thép bệ móng + thân mô D ≤ 10 trên cạn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362</v>
      </c>
      <c r="N6" s="245" t="str">
        <f>THKLQT!C105</f>
        <v>SX+LD cốt thép bệ móng + thân mô D ≤ 10 trên cạn</v>
      </c>
      <c r="Q6" s="17"/>
    </row>
    <row r="7" spans="1:20" s="178" customFormat="1" ht="18.75" customHeight="1">
      <c r="A7" s="634">
        <f>I41</f>
        <v>2.08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THKLQT!D105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 t="shared" ref="B12:B29" si="0">Q12</f>
        <v>43330</v>
      </c>
      <c r="C12" s="571" t="str">
        <f t="shared" ref="C12:C29" si="1">T12</f>
        <v>SX+LD cốt thép bệ móng + thân mô D ≤ 10 trên cạn ,thân A1L chờ ở bệ</v>
      </c>
      <c r="D12" s="572"/>
      <c r="E12" s="573"/>
      <c r="F12" s="386">
        <f>[3]A1L!$O$197/1000</f>
        <v>0</v>
      </c>
      <c r="G12" s="387">
        <v>0</v>
      </c>
      <c r="H12" s="297">
        <f t="shared" ref="H12:H29" si="2">MIN(F12:G12)</f>
        <v>0</v>
      </c>
      <c r="I12" s="107">
        <f t="shared" ref="I12:I36" si="3">H12</f>
        <v>0</v>
      </c>
      <c r="J12" s="107">
        <f t="shared" ref="J12:J29" si="4">P12</f>
        <v>0</v>
      </c>
      <c r="K12" s="603" t="s">
        <v>686</v>
      </c>
      <c r="N12" s="118"/>
      <c r="O12" s="118" t="s">
        <v>720</v>
      </c>
      <c r="Q12" s="89">
        <v>43330</v>
      </c>
      <c r="R12" s="88"/>
      <c r="S12" s="88" t="e">
        <f t="shared" ref="S12:S39" si="5">VLOOKUP($S$11,hamchuigoi3,M12,0)</f>
        <v>#VALUE!</v>
      </c>
      <c r="T12" s="3" t="str">
        <f t="shared" ref="T12:T13" si="6">$N$6&amp;" "&amp;O12</f>
        <v>SX+LD cốt thép bệ móng + thân mô D ≤ 10 trên cạn ,thân A1L chờ ở bệ</v>
      </c>
    </row>
    <row r="13" spans="1:20" s="430" customFormat="1" ht="27.75" customHeight="1" outlineLevel="2">
      <c r="A13" s="424">
        <f>SUBTOTAL(103,$B$12:B13)</f>
        <v>2</v>
      </c>
      <c r="B13" s="425">
        <f t="shared" si="0"/>
        <v>43338</v>
      </c>
      <c r="C13" s="706" t="str">
        <f t="shared" si="1"/>
        <v>SX+LD cốt thép bệ móng + thân mô D ≤ 10 trên cạn ,thân A1L đợt 1</v>
      </c>
      <c r="D13" s="707"/>
      <c r="E13" s="708"/>
      <c r="F13" s="426">
        <f>[3]A1L!$O$201/1000</f>
        <v>8.4528999999999993E-2</v>
      </c>
      <c r="G13" s="427">
        <f>84.53/1000</f>
        <v>8.4530000000000008E-2</v>
      </c>
      <c r="H13" s="436">
        <f t="shared" si="2"/>
        <v>8.4528999999999993E-2</v>
      </c>
      <c r="I13" s="429">
        <f t="shared" si="3"/>
        <v>8.4528999999999993E-2</v>
      </c>
      <c r="J13" s="429">
        <f t="shared" si="4"/>
        <v>0</v>
      </c>
      <c r="K13" s="604"/>
      <c r="N13" s="431"/>
      <c r="O13" s="431" t="s">
        <v>715</v>
      </c>
      <c r="Q13" s="433">
        <v>43338</v>
      </c>
      <c r="R13" s="432"/>
      <c r="S13" s="432" t="e">
        <f t="shared" si="5"/>
        <v>#VALUE!</v>
      </c>
      <c r="T13" s="434" t="str">
        <f t="shared" si="6"/>
        <v>SX+LD cốt thép bệ móng + thân mô D ≤ 10 trên cạn ,thân A1L đợt 1</v>
      </c>
    </row>
    <row r="14" spans="1:20" s="430" customFormat="1" ht="27.75" customHeight="1" outlineLevel="2">
      <c r="A14" s="424">
        <f>SUBTOTAL(103,$B$12:B14)</f>
        <v>3</v>
      </c>
      <c r="B14" s="425">
        <f t="shared" si="0"/>
        <v>43346</v>
      </c>
      <c r="C14" s="706" t="str">
        <f t="shared" si="1"/>
        <v>SX+LD cốt thép bệ móng + thân mô D ≤ 10 trên cạn ,thân A1L đợt 2</v>
      </c>
      <c r="D14" s="707"/>
      <c r="E14" s="708"/>
      <c r="F14" s="426">
        <f>[3]A1L!$O$205/1000</f>
        <v>0.10566125</v>
      </c>
      <c r="G14" s="427">
        <f>105.66/1000</f>
        <v>0.10565999999999999</v>
      </c>
      <c r="H14" s="436">
        <f t="shared" si="2"/>
        <v>0.10565999999999999</v>
      </c>
      <c r="I14" s="429">
        <f t="shared" si="3"/>
        <v>0.10565999999999999</v>
      </c>
      <c r="J14" s="429">
        <f t="shared" si="4"/>
        <v>0</v>
      </c>
      <c r="K14" s="604"/>
      <c r="N14" s="431"/>
      <c r="O14" s="431" t="s">
        <v>716</v>
      </c>
      <c r="Q14" s="433">
        <v>43346</v>
      </c>
      <c r="R14" s="432"/>
      <c r="S14" s="432" t="e">
        <f t="shared" ref="S14" si="7">VLOOKUP($S$11,hamchuigoi3,M14,0)</f>
        <v>#VALUE!</v>
      </c>
      <c r="T14" s="434" t="str">
        <f t="shared" ref="T14" si="8">$N$6&amp;" "&amp;O14</f>
        <v>SX+LD cốt thép bệ móng + thân mô D ≤ 10 trên cạn ,thân A1L đợt 2</v>
      </c>
    </row>
    <row r="15" spans="1:20" s="430" customFormat="1" ht="27.75" customHeight="1" outlineLevel="2">
      <c r="A15" s="424">
        <f>SUBTOTAL(103,$B$12:B15)</f>
        <v>4</v>
      </c>
      <c r="B15" s="425">
        <f t="shared" si="0"/>
        <v>43354</v>
      </c>
      <c r="C15" s="706" t="str">
        <f t="shared" si="1"/>
        <v>SX+LD cốt thép bệ móng + thân mô D ≤ 10 trên cạn ,thân A1L đợt 3</v>
      </c>
      <c r="D15" s="707"/>
      <c r="E15" s="708"/>
      <c r="F15" s="426">
        <f>[3]A1L!$O$209/1000</f>
        <v>8.4528999999999993E-2</v>
      </c>
      <c r="G15" s="427">
        <f>84.53/1000</f>
        <v>8.4530000000000008E-2</v>
      </c>
      <c r="H15" s="436">
        <f t="shared" si="2"/>
        <v>8.4528999999999993E-2</v>
      </c>
      <c r="I15" s="429">
        <f t="shared" si="3"/>
        <v>8.4528999999999993E-2</v>
      </c>
      <c r="J15" s="429">
        <f t="shared" si="4"/>
        <v>0</v>
      </c>
      <c r="K15" s="604"/>
      <c r="N15" s="431"/>
      <c r="O15" s="431" t="s">
        <v>717</v>
      </c>
      <c r="Q15" s="433">
        <v>43354</v>
      </c>
      <c r="R15" s="432"/>
      <c r="S15" s="432" t="e">
        <f t="shared" ref="S15" si="9">VLOOKUP($S$11,hamchuigoi3,M15,0)</f>
        <v>#VALUE!</v>
      </c>
      <c r="T15" s="434" t="str">
        <f t="shared" ref="T15" si="10">$N$6&amp;" "&amp;O15</f>
        <v>SX+LD cốt thép bệ móng + thân mô D ≤ 10 trên cạn ,thân A1L đợt 3</v>
      </c>
    </row>
    <row r="16" spans="1:20" s="430" customFormat="1" ht="27.75" customHeight="1" outlineLevel="2">
      <c r="A16" s="424">
        <f>SUBTOTAL(103,$B$12:B16)</f>
        <v>5</v>
      </c>
      <c r="B16" s="425">
        <f t="shared" si="0"/>
        <v>43362</v>
      </c>
      <c r="C16" s="706" t="str">
        <f t="shared" si="1"/>
        <v>SX+LD cốt thép bệ móng + thân mô D ≤ 10 trên cạn ,thân A1L đợt 4</v>
      </c>
      <c r="D16" s="707"/>
      <c r="E16" s="708"/>
      <c r="F16" s="426">
        <f>[3]A1L!$O$213/1000</f>
        <v>8.3076400000000016E-3</v>
      </c>
      <c r="G16" s="427">
        <f>8.31/1000</f>
        <v>8.3099999999999997E-3</v>
      </c>
      <c r="H16" s="435">
        <f t="shared" si="2"/>
        <v>8.3076400000000016E-3</v>
      </c>
      <c r="I16" s="429">
        <f t="shared" si="3"/>
        <v>8.3076400000000016E-3</v>
      </c>
      <c r="J16" s="429">
        <f t="shared" si="4"/>
        <v>0</v>
      </c>
      <c r="K16" s="604"/>
      <c r="N16" s="431"/>
      <c r="O16" s="431" t="s">
        <v>718</v>
      </c>
      <c r="Q16" s="433">
        <v>43362</v>
      </c>
      <c r="R16" s="432"/>
      <c r="S16" s="432" t="e">
        <f t="shared" ref="S16" si="11">VLOOKUP($S$11,hamchuigoi3,M16,0)</f>
        <v>#VALUE!</v>
      </c>
      <c r="T16" s="434" t="str">
        <f t="shared" ref="T16" si="12">$N$6&amp;" "&amp;O16</f>
        <v>SX+LD cốt thép bệ móng + thân mô D ≤ 10 trên cạn ,thân A1L đợt 4</v>
      </c>
    </row>
    <row r="17" spans="1:20" ht="27.75" customHeight="1" outlineLevel="2">
      <c r="A17" s="81">
        <f>SUBTOTAL(103,$B$12:B17)</f>
        <v>6</v>
      </c>
      <c r="B17" s="78">
        <f t="shared" si="0"/>
        <v>43370</v>
      </c>
      <c r="C17" s="571" t="str">
        <f t="shared" si="1"/>
        <v>SX+LD cốt thép bệ móng + thân mô D ≤ 10 trên cạn ,thân A1L đợt 5</v>
      </c>
      <c r="D17" s="572"/>
      <c r="E17" s="573"/>
      <c r="F17" s="383">
        <f>[3]A1L!$O$217/1000</f>
        <v>0.10231658999999999</v>
      </c>
      <c r="G17" s="385">
        <f>102.32/1000</f>
        <v>0.10231999999999999</v>
      </c>
      <c r="H17" s="297">
        <f t="shared" si="2"/>
        <v>0.10231658999999999</v>
      </c>
      <c r="I17" s="107">
        <f t="shared" si="3"/>
        <v>0.10231658999999999</v>
      </c>
      <c r="J17" s="107">
        <f t="shared" si="4"/>
        <v>0</v>
      </c>
      <c r="K17" s="604"/>
      <c r="N17" s="118"/>
      <c r="O17" s="118" t="s">
        <v>719</v>
      </c>
      <c r="Q17" s="89">
        <v>43370</v>
      </c>
      <c r="R17" s="88"/>
      <c r="S17" s="88" t="e">
        <f t="shared" ref="S17:S22" si="13">VLOOKUP($S$11,hamchuigoi3,M17,0)</f>
        <v>#VALUE!</v>
      </c>
      <c r="T17" s="3" t="str">
        <f t="shared" ref="T17:T22" si="14">$N$6&amp;" "&amp;O17</f>
        <v>SX+LD cốt thép bệ móng + thân mô D ≤ 10 trên cạn ,thân A1L đợt 5</v>
      </c>
    </row>
    <row r="18" spans="1:20" ht="27.75" customHeight="1" outlineLevel="2">
      <c r="A18" s="81">
        <f>SUBTOTAL(103,$B$12:B18)</f>
        <v>7</v>
      </c>
      <c r="B18" s="78">
        <f t="shared" si="0"/>
        <v>43344</v>
      </c>
      <c r="C18" s="571" t="str">
        <f t="shared" si="1"/>
        <v>SX+LD cốt thép bệ móng + thân mô D ≤ 10 trên cạn ,thân A1R chờ ở bệ</v>
      </c>
      <c r="D18" s="572"/>
      <c r="E18" s="573"/>
      <c r="F18" s="386">
        <f>[3]A1R!$O$197/1000</f>
        <v>0</v>
      </c>
      <c r="G18" s="387">
        <v>0</v>
      </c>
      <c r="H18" s="297">
        <f t="shared" si="2"/>
        <v>0</v>
      </c>
      <c r="I18" s="107">
        <f t="shared" si="3"/>
        <v>0</v>
      </c>
      <c r="J18" s="107">
        <f t="shared" si="4"/>
        <v>0</v>
      </c>
      <c r="K18" s="604"/>
      <c r="N18" s="118"/>
      <c r="O18" s="118" t="s">
        <v>721</v>
      </c>
      <c r="Q18" s="89">
        <v>43344</v>
      </c>
      <c r="R18" s="88"/>
      <c r="S18" s="88" t="e">
        <f t="shared" si="13"/>
        <v>#VALUE!</v>
      </c>
      <c r="T18" s="3" t="str">
        <f t="shared" si="14"/>
        <v>SX+LD cốt thép bệ móng + thân mô D ≤ 10 trên cạn ,thân A1R chờ ở bệ</v>
      </c>
    </row>
    <row r="19" spans="1:20" ht="27.75" customHeight="1" outlineLevel="2">
      <c r="A19" s="81">
        <f>SUBTOTAL(103,$B$12:B19)</f>
        <v>8</v>
      </c>
      <c r="B19" s="78">
        <f t="shared" si="0"/>
        <v>43352</v>
      </c>
      <c r="C19" s="571" t="str">
        <f t="shared" si="1"/>
        <v>SX+LD cốt thép bệ móng + thân mô D ≤ 10 trên cạn ,thân A1R đợt 1</v>
      </c>
      <c r="D19" s="572"/>
      <c r="E19" s="573"/>
      <c r="F19" s="383">
        <f>[3]A1R!$O$201/1000</f>
        <v>8.4528999999999993E-2</v>
      </c>
      <c r="G19" s="385">
        <f>84.53/1000</f>
        <v>8.4530000000000008E-2</v>
      </c>
      <c r="H19" s="297">
        <f t="shared" si="2"/>
        <v>8.4528999999999993E-2</v>
      </c>
      <c r="I19" s="107">
        <f t="shared" si="3"/>
        <v>8.4528999999999993E-2</v>
      </c>
      <c r="J19" s="107">
        <f t="shared" si="4"/>
        <v>0</v>
      </c>
      <c r="K19" s="604"/>
      <c r="N19" s="118"/>
      <c r="O19" s="118" t="s">
        <v>722</v>
      </c>
      <c r="Q19" s="89">
        <v>43352</v>
      </c>
      <c r="R19" s="88"/>
      <c r="S19" s="88" t="e">
        <f t="shared" si="13"/>
        <v>#VALUE!</v>
      </c>
      <c r="T19" s="3" t="str">
        <f t="shared" si="14"/>
        <v>SX+LD cốt thép bệ móng + thân mô D ≤ 10 trên cạn ,thân A1R đợt 1</v>
      </c>
    </row>
    <row r="20" spans="1:20" ht="27.75" customHeight="1" outlineLevel="2">
      <c r="A20" s="81">
        <f>SUBTOTAL(103,$B$12:B20)</f>
        <v>9</v>
      </c>
      <c r="B20" s="78">
        <f t="shared" si="0"/>
        <v>43360</v>
      </c>
      <c r="C20" s="571" t="str">
        <f t="shared" si="1"/>
        <v>SX+LD cốt thép bệ móng + thân mô D ≤ 10 trên cạn ,thân A1R đợt 2</v>
      </c>
      <c r="D20" s="572"/>
      <c r="E20" s="573"/>
      <c r="F20" s="383">
        <f>[3]A1R!$O$205/1000</f>
        <v>0.10566125</v>
      </c>
      <c r="G20" s="385">
        <f>105.66/1000</f>
        <v>0.10565999999999999</v>
      </c>
      <c r="H20" s="297">
        <f t="shared" si="2"/>
        <v>0.10565999999999999</v>
      </c>
      <c r="I20" s="107">
        <f t="shared" si="3"/>
        <v>0.10565999999999999</v>
      </c>
      <c r="J20" s="107">
        <f t="shared" si="4"/>
        <v>0</v>
      </c>
      <c r="K20" s="604"/>
      <c r="N20" s="118"/>
      <c r="O20" s="118" t="s">
        <v>723</v>
      </c>
      <c r="Q20" s="89">
        <v>43360</v>
      </c>
      <c r="R20" s="88"/>
      <c r="S20" s="88" t="e">
        <f t="shared" si="13"/>
        <v>#VALUE!</v>
      </c>
      <c r="T20" s="3" t="str">
        <f t="shared" si="14"/>
        <v>SX+LD cốt thép bệ móng + thân mô D ≤ 10 trên cạn ,thân A1R đợt 2</v>
      </c>
    </row>
    <row r="21" spans="1:20" ht="27.75" customHeight="1" outlineLevel="2">
      <c r="A21" s="81">
        <f>SUBTOTAL(103,$B$12:B21)</f>
        <v>10</v>
      </c>
      <c r="B21" s="78">
        <f t="shared" si="0"/>
        <v>43368</v>
      </c>
      <c r="C21" s="571" t="str">
        <f t="shared" si="1"/>
        <v>SX+LD cốt thép bệ móng + thân mô D ≤ 10 trên cạn ,thân A1R đợt 3</v>
      </c>
      <c r="D21" s="572"/>
      <c r="E21" s="573"/>
      <c r="F21" s="383">
        <f>[3]A1R!$O$209/1000</f>
        <v>8.4528999999999993E-2</v>
      </c>
      <c r="G21" s="385">
        <f>84.53/1000</f>
        <v>8.4530000000000008E-2</v>
      </c>
      <c r="H21" s="297">
        <f t="shared" si="2"/>
        <v>8.4528999999999993E-2</v>
      </c>
      <c r="I21" s="107">
        <f t="shared" si="3"/>
        <v>8.4528999999999993E-2</v>
      </c>
      <c r="J21" s="107">
        <f t="shared" si="4"/>
        <v>0</v>
      </c>
      <c r="K21" s="604"/>
      <c r="N21" s="118"/>
      <c r="O21" s="118" t="s">
        <v>724</v>
      </c>
      <c r="Q21" s="89">
        <v>43368</v>
      </c>
      <c r="R21" s="88"/>
      <c r="S21" s="88" t="e">
        <f t="shared" si="13"/>
        <v>#VALUE!</v>
      </c>
      <c r="T21" s="3" t="str">
        <f t="shared" si="14"/>
        <v>SX+LD cốt thép bệ móng + thân mô D ≤ 10 trên cạn ,thân A1R đợt 3</v>
      </c>
    </row>
    <row r="22" spans="1:20" ht="27.75" customHeight="1" outlineLevel="2">
      <c r="A22" s="81">
        <f>SUBTOTAL(103,$B$12:B22)</f>
        <v>11</v>
      </c>
      <c r="B22" s="78">
        <f t="shared" si="0"/>
        <v>43376</v>
      </c>
      <c r="C22" s="571" t="str">
        <f t="shared" si="1"/>
        <v>SX+LD cốt thép bệ móng + thân mô D ≤ 10 trên cạn ,thân A1R đợt 4</v>
      </c>
      <c r="D22" s="572"/>
      <c r="E22" s="573"/>
      <c r="F22" s="383">
        <f>[3]A1R!$O$213/1000</f>
        <v>8.3076400000000016E-3</v>
      </c>
      <c r="G22" s="385">
        <f>8.31/1000</f>
        <v>8.3099999999999997E-3</v>
      </c>
      <c r="H22" s="297">
        <f t="shared" si="2"/>
        <v>8.3076400000000016E-3</v>
      </c>
      <c r="I22" s="107">
        <f t="shared" si="3"/>
        <v>8.3076400000000016E-3</v>
      </c>
      <c r="J22" s="107">
        <f t="shared" si="4"/>
        <v>0</v>
      </c>
      <c r="K22" s="604"/>
      <c r="N22" s="118"/>
      <c r="O22" s="118" t="s">
        <v>725</v>
      </c>
      <c r="Q22" s="89">
        <v>43376</v>
      </c>
      <c r="R22" s="88"/>
      <c r="S22" s="88" t="e">
        <f t="shared" si="13"/>
        <v>#VALUE!</v>
      </c>
      <c r="T22" s="3" t="str">
        <f t="shared" si="14"/>
        <v>SX+LD cốt thép bệ móng + thân mô D ≤ 10 trên cạn ,thân A1R đợt 4</v>
      </c>
    </row>
    <row r="23" spans="1:20" ht="27.75" customHeight="1" outlineLevel="2">
      <c r="A23" s="81">
        <f>SUBTOTAL(103,$B$12:B23)</f>
        <v>12</v>
      </c>
      <c r="B23" s="78">
        <f t="shared" si="0"/>
        <v>43384</v>
      </c>
      <c r="C23" s="571" t="str">
        <f t="shared" si="1"/>
        <v>SX+LD cốt thép bệ móng + thân mô D ≤ 10 trên cạn ,thân A1R đợt 5</v>
      </c>
      <c r="D23" s="572"/>
      <c r="E23" s="573"/>
      <c r="F23" s="383">
        <f>[3]A1R!$O$217/1000</f>
        <v>0.10263743</v>
      </c>
      <c r="G23" s="385">
        <f>102.64/1000</f>
        <v>0.10264</v>
      </c>
      <c r="H23" s="297">
        <f t="shared" si="2"/>
        <v>0.10263743</v>
      </c>
      <c r="I23" s="107">
        <f t="shared" si="3"/>
        <v>0.10263743</v>
      </c>
      <c r="J23" s="107">
        <f t="shared" si="4"/>
        <v>0</v>
      </c>
      <c r="K23" s="604"/>
      <c r="N23" s="118"/>
      <c r="O23" s="118" t="s">
        <v>726</v>
      </c>
      <c r="Q23" s="89">
        <v>43384</v>
      </c>
      <c r="R23" s="88"/>
      <c r="S23" s="88" t="e">
        <f t="shared" ref="S23:S29" si="15">VLOOKUP($S$11,hamchuigoi3,M23,0)</f>
        <v>#VALUE!</v>
      </c>
      <c r="T23" s="3" t="str">
        <f t="shared" ref="T23:T29" si="16">$N$6&amp;" "&amp;O23</f>
        <v>SX+LD cốt thép bệ móng + thân mô D ≤ 10 trên cạn ,thân A1R đợt 5</v>
      </c>
    </row>
    <row r="24" spans="1:20" ht="27.75" customHeight="1" outlineLevel="2">
      <c r="A24" s="81">
        <f>SUBTOTAL(103,$B$12:B24)</f>
        <v>13</v>
      </c>
      <c r="B24" s="78">
        <f t="shared" si="0"/>
        <v>43302</v>
      </c>
      <c r="C24" s="571" t="str">
        <f t="shared" si="1"/>
        <v>SX+LD cốt thép bệ móng + thân mô D ≤ 10 trên cạn ,thân A2L chờ ở bệ</v>
      </c>
      <c r="D24" s="572"/>
      <c r="E24" s="573"/>
      <c r="F24" s="386">
        <f>[3]A2L!$O$207/1000</f>
        <v>0</v>
      </c>
      <c r="G24" s="387">
        <v>0</v>
      </c>
      <c r="H24" s="297">
        <f t="shared" si="2"/>
        <v>0</v>
      </c>
      <c r="I24" s="107">
        <f t="shared" si="3"/>
        <v>0</v>
      </c>
      <c r="J24" s="107">
        <f t="shared" si="4"/>
        <v>0</v>
      </c>
      <c r="K24" s="604"/>
      <c r="N24" s="118"/>
      <c r="O24" s="118" t="s">
        <v>727</v>
      </c>
      <c r="Q24" s="89">
        <v>43302</v>
      </c>
      <c r="R24" s="88"/>
      <c r="S24" s="88" t="e">
        <f t="shared" si="15"/>
        <v>#VALUE!</v>
      </c>
      <c r="T24" s="3" t="str">
        <f t="shared" si="16"/>
        <v>SX+LD cốt thép bệ móng + thân mô D ≤ 10 trên cạn ,thân A2L chờ ở bệ</v>
      </c>
    </row>
    <row r="25" spans="1:20" ht="27.75" customHeight="1" outlineLevel="2">
      <c r="A25" s="81">
        <f>SUBTOTAL(103,$B$12:B25)</f>
        <v>14</v>
      </c>
      <c r="B25" s="78">
        <f t="shared" si="0"/>
        <v>43310</v>
      </c>
      <c r="C25" s="571" t="str">
        <f t="shared" si="1"/>
        <v>SX+LD cốt thép bệ móng + thân mô D ≤ 10 trên cạn ,thân A2L đợt 1</v>
      </c>
      <c r="D25" s="572"/>
      <c r="E25" s="573"/>
      <c r="F25" s="383">
        <f>[3]A2L!$O$211/1000</f>
        <v>0.10303900000000001</v>
      </c>
      <c r="G25" s="385">
        <f>103.04/1000</f>
        <v>0.10304000000000001</v>
      </c>
      <c r="H25" s="297">
        <f t="shared" si="2"/>
        <v>0.10303900000000001</v>
      </c>
      <c r="I25" s="107">
        <f t="shared" si="3"/>
        <v>0.10303900000000001</v>
      </c>
      <c r="J25" s="107">
        <f t="shared" si="4"/>
        <v>0</v>
      </c>
      <c r="K25" s="604"/>
      <c r="N25" s="118"/>
      <c r="O25" s="118" t="s">
        <v>728</v>
      </c>
      <c r="Q25" s="89">
        <f>+Q24+8</f>
        <v>43310</v>
      </c>
      <c r="R25" s="88"/>
      <c r="S25" s="88" t="e">
        <f t="shared" si="15"/>
        <v>#VALUE!</v>
      </c>
      <c r="T25" s="3" t="str">
        <f t="shared" si="16"/>
        <v>SX+LD cốt thép bệ móng + thân mô D ≤ 10 trên cạn ,thân A2L đợt 1</v>
      </c>
    </row>
    <row r="26" spans="1:20" ht="27.75" customHeight="1" outlineLevel="2">
      <c r="A26" s="81">
        <f>SUBTOTAL(103,$B$12:B26)</f>
        <v>15</v>
      </c>
      <c r="B26" s="78">
        <f t="shared" si="0"/>
        <v>43318</v>
      </c>
      <c r="C26" s="571" t="str">
        <f t="shared" si="1"/>
        <v>SX+LD cốt thép bệ móng + thân mô D ≤ 10 trên cạn ,thân A2L đợt 2</v>
      </c>
      <c r="D26" s="572"/>
      <c r="E26" s="573"/>
      <c r="F26" s="383">
        <f>[3]A2L!$O$215/1000</f>
        <v>0.12879875000000002</v>
      </c>
      <c r="G26" s="385">
        <f>128.8/1000</f>
        <v>0.1288</v>
      </c>
      <c r="H26" s="297">
        <f t="shared" si="2"/>
        <v>0.12879875000000002</v>
      </c>
      <c r="I26" s="107">
        <f t="shared" si="3"/>
        <v>0.12879875000000002</v>
      </c>
      <c r="J26" s="107">
        <f t="shared" si="4"/>
        <v>0</v>
      </c>
      <c r="K26" s="604"/>
      <c r="N26" s="118"/>
      <c r="O26" s="118" t="s">
        <v>729</v>
      </c>
      <c r="Q26" s="89">
        <f>+Q25+8</f>
        <v>43318</v>
      </c>
      <c r="R26" s="88"/>
      <c r="S26" s="88" t="e">
        <f t="shared" si="15"/>
        <v>#VALUE!</v>
      </c>
      <c r="T26" s="3" t="str">
        <f t="shared" si="16"/>
        <v>SX+LD cốt thép bệ móng + thân mô D ≤ 10 trên cạn ,thân A2L đợt 2</v>
      </c>
    </row>
    <row r="27" spans="1:20" ht="27.75" customHeight="1" outlineLevel="2">
      <c r="A27" s="81">
        <f>SUBTOTAL(103,$B$12:B27)</f>
        <v>16</v>
      </c>
      <c r="B27" s="78">
        <f t="shared" si="0"/>
        <v>43326</v>
      </c>
      <c r="C27" s="571" t="str">
        <f t="shared" si="1"/>
        <v>SX+LD cốt thép bệ móng + thân mô D ≤ 10 trên cạn ,thân A2L đợt 3</v>
      </c>
      <c r="D27" s="572"/>
      <c r="E27" s="573"/>
      <c r="F27" s="383">
        <f>[3]A2L!$O$219/1000</f>
        <v>0.10303900000000001</v>
      </c>
      <c r="G27" s="385">
        <f>103.04/1000</f>
        <v>0.10304000000000001</v>
      </c>
      <c r="H27" s="297">
        <f t="shared" si="2"/>
        <v>0.10303900000000001</v>
      </c>
      <c r="I27" s="107">
        <f t="shared" si="3"/>
        <v>0.10303900000000001</v>
      </c>
      <c r="J27" s="107">
        <f t="shared" si="4"/>
        <v>0</v>
      </c>
      <c r="K27" s="604"/>
      <c r="N27" s="118"/>
      <c r="O27" s="118" t="s">
        <v>730</v>
      </c>
      <c r="Q27" s="89">
        <f t="shared" ref="Q27:Q30" si="17">+Q26+8</f>
        <v>43326</v>
      </c>
      <c r="R27" s="88"/>
      <c r="S27" s="88" t="e">
        <f t="shared" si="15"/>
        <v>#VALUE!</v>
      </c>
      <c r="T27" s="3" t="str">
        <f t="shared" si="16"/>
        <v>SX+LD cốt thép bệ móng + thân mô D ≤ 10 trên cạn ,thân A2L đợt 3</v>
      </c>
    </row>
    <row r="28" spans="1:20" ht="27.75" customHeight="1" outlineLevel="2">
      <c r="A28" s="81">
        <f>SUBTOTAL(103,$B$12:B28)</f>
        <v>17</v>
      </c>
      <c r="B28" s="78">
        <f t="shared" si="0"/>
        <v>43334</v>
      </c>
      <c r="C28" s="571" t="str">
        <f t="shared" si="1"/>
        <v>SX+LD cốt thép bệ móng + thân mô D ≤ 10 trên cạn ,thân A2L đợt 4</v>
      </c>
      <c r="D28" s="572"/>
      <c r="E28" s="573"/>
      <c r="F28" s="383">
        <f>[3]A2L!$O$223/1000</f>
        <v>0.10303900000000001</v>
      </c>
      <c r="G28" s="385">
        <f>103.04/1000</f>
        <v>0.10304000000000001</v>
      </c>
      <c r="H28" s="297">
        <f t="shared" si="2"/>
        <v>0.10303900000000001</v>
      </c>
      <c r="I28" s="107">
        <f t="shared" si="3"/>
        <v>0.10303900000000001</v>
      </c>
      <c r="J28" s="107">
        <f t="shared" si="4"/>
        <v>0</v>
      </c>
      <c r="K28" s="604"/>
      <c r="N28" s="118"/>
      <c r="O28" s="118" t="s">
        <v>731</v>
      </c>
      <c r="Q28" s="89">
        <f t="shared" si="17"/>
        <v>43334</v>
      </c>
      <c r="R28" s="88"/>
      <c r="S28" s="88" t="e">
        <f t="shared" si="15"/>
        <v>#VALUE!</v>
      </c>
      <c r="T28" s="3" t="str">
        <f t="shared" si="16"/>
        <v>SX+LD cốt thép bệ móng + thân mô D ≤ 10 trên cạn ,thân A2L đợt 4</v>
      </c>
    </row>
    <row r="29" spans="1:20" ht="27.75" customHeight="1" outlineLevel="2">
      <c r="A29" s="81">
        <f>SUBTOTAL(103,$B$12:B29)</f>
        <v>18</v>
      </c>
      <c r="B29" s="78">
        <f t="shared" si="0"/>
        <v>43342</v>
      </c>
      <c r="C29" s="571" t="str">
        <f t="shared" si="1"/>
        <v>SX+LD cốt thép bệ móng + thân mô D ≤ 10 trên cạn ,thân A2L đợt 5</v>
      </c>
      <c r="D29" s="572"/>
      <c r="E29" s="573"/>
      <c r="F29" s="383">
        <f>[3]A2L!$O$227/1000</f>
        <v>9.9490890000000012E-2</v>
      </c>
      <c r="G29" s="385">
        <f>99.49/1000</f>
        <v>9.9489999999999995E-2</v>
      </c>
      <c r="H29" s="297">
        <f t="shared" si="2"/>
        <v>9.9489999999999995E-2</v>
      </c>
      <c r="I29" s="107">
        <f t="shared" si="3"/>
        <v>9.9489999999999995E-2</v>
      </c>
      <c r="J29" s="107">
        <f t="shared" si="4"/>
        <v>0</v>
      </c>
      <c r="K29" s="604"/>
      <c r="N29" s="118"/>
      <c r="O29" s="118" t="s">
        <v>732</v>
      </c>
      <c r="Q29" s="89">
        <f t="shared" si="17"/>
        <v>43342</v>
      </c>
      <c r="R29" s="88"/>
      <c r="S29" s="88" t="e">
        <f t="shared" si="15"/>
        <v>#VALUE!</v>
      </c>
      <c r="T29" s="3" t="str">
        <f t="shared" si="16"/>
        <v>SX+LD cốt thép bệ móng + thân mô D ≤ 10 trên cạn ,thân A2L đợt 5</v>
      </c>
    </row>
    <row r="30" spans="1:20" ht="27.75" customHeight="1" outlineLevel="2">
      <c r="A30" s="81">
        <f>SUBTOTAL(103,$B$12:B30)</f>
        <v>19</v>
      </c>
      <c r="B30" s="78">
        <f t="shared" ref="B30" si="18">Q30</f>
        <v>43350</v>
      </c>
      <c r="C30" s="571" t="str">
        <f t="shared" ref="C30" si="19">T30</f>
        <v>SX+LD cốt thép bệ móng + thân mô D ≤ 10 trên cạn ,thân A2L đợt 6</v>
      </c>
      <c r="D30" s="572"/>
      <c r="E30" s="573"/>
      <c r="F30" s="383">
        <f>[3]A2L!$O$231/1000</f>
        <v>2.470468E-2</v>
      </c>
      <c r="G30" s="385">
        <f>24.7/1000</f>
        <v>2.47E-2</v>
      </c>
      <c r="H30" s="297">
        <f t="shared" ref="H30" si="20">MIN(F30:G30)</f>
        <v>2.47E-2</v>
      </c>
      <c r="I30" s="107">
        <f t="shared" ref="I30" si="21">H30</f>
        <v>2.47E-2</v>
      </c>
      <c r="J30" s="107">
        <f t="shared" ref="J30" si="22">P30</f>
        <v>0</v>
      </c>
      <c r="K30" s="604"/>
      <c r="N30" s="118"/>
      <c r="O30" s="118" t="s">
        <v>739</v>
      </c>
      <c r="Q30" s="89">
        <f t="shared" si="17"/>
        <v>43350</v>
      </c>
      <c r="R30" s="88"/>
      <c r="S30" s="88" t="e">
        <f t="shared" ref="S30" si="23">VLOOKUP($S$11,hamchuigoi3,M30,0)</f>
        <v>#VALUE!</v>
      </c>
      <c r="T30" s="3" t="str">
        <f t="shared" ref="T30" si="24">$N$6&amp;" "&amp;O30</f>
        <v>SX+LD cốt thép bệ móng + thân mô D ≤ 10 trên cạn ,thân A2L đợt 6</v>
      </c>
    </row>
    <row r="31" spans="1:20" ht="27.75" customHeight="1" outlineLevel="2">
      <c r="A31" s="81">
        <f>SUBTOTAL(103,$B$12:B31)</f>
        <v>20</v>
      </c>
      <c r="B31" s="78">
        <f t="shared" ref="B31:B36" si="25">Q31</f>
        <v>43304</v>
      </c>
      <c r="C31" s="571" t="str">
        <f t="shared" ref="C31:C36" si="26">T31</f>
        <v>SX+LD cốt thép bệ móng + thân mô D ≤ 10 trên cạn ,thân A2R chờ ở bệ</v>
      </c>
      <c r="D31" s="572"/>
      <c r="E31" s="573"/>
      <c r="F31" s="386">
        <f>[3]A2R!$O$207/1000</f>
        <v>0</v>
      </c>
      <c r="G31" s="387">
        <v>0</v>
      </c>
      <c r="H31" s="297">
        <f t="shared" ref="H31:H36" si="27">MIN(F31:G31)</f>
        <v>0</v>
      </c>
      <c r="I31" s="107">
        <f t="shared" si="3"/>
        <v>0</v>
      </c>
      <c r="J31" s="107">
        <f t="shared" ref="J31:J36" si="28">P31</f>
        <v>0</v>
      </c>
      <c r="K31" s="604"/>
      <c r="N31" s="118"/>
      <c r="O31" s="118" t="s">
        <v>733</v>
      </c>
      <c r="Q31" s="89">
        <v>43304</v>
      </c>
      <c r="R31" s="88"/>
      <c r="S31" s="88" t="e">
        <f t="shared" ref="S31:S36" si="29">VLOOKUP($S$11,hamchuigoi3,M31,0)</f>
        <v>#VALUE!</v>
      </c>
      <c r="T31" s="3" t="str">
        <f t="shared" ref="T31:T36" si="30">$N$6&amp;" "&amp;O31</f>
        <v>SX+LD cốt thép bệ móng + thân mô D ≤ 10 trên cạn ,thân A2R chờ ở bệ</v>
      </c>
    </row>
    <row r="32" spans="1:20" ht="27.75" customHeight="1" outlineLevel="2">
      <c r="A32" s="81">
        <f>SUBTOTAL(103,$B$12:B32)</f>
        <v>21</v>
      </c>
      <c r="B32" s="78">
        <f t="shared" si="25"/>
        <v>43312</v>
      </c>
      <c r="C32" s="571" t="str">
        <f t="shared" si="26"/>
        <v>SX+LD cốt thép bệ móng + thân mô D ≤ 10 trên cạn ,thân A2R đợt 1</v>
      </c>
      <c r="D32" s="572"/>
      <c r="E32" s="573"/>
      <c r="F32" s="449">
        <f>[3]A2R!$O$211/1000</f>
        <v>0.10303900000000001</v>
      </c>
      <c r="G32" s="450">
        <f>103.04/1000</f>
        <v>0.10304000000000001</v>
      </c>
      <c r="H32" s="451">
        <f t="shared" si="27"/>
        <v>0.10303900000000001</v>
      </c>
      <c r="I32" s="452">
        <f t="shared" si="3"/>
        <v>0.10303900000000001</v>
      </c>
      <c r="J32" s="107">
        <f t="shared" si="28"/>
        <v>0</v>
      </c>
      <c r="K32" s="604"/>
      <c r="N32" s="118"/>
      <c r="O32" s="118" t="s">
        <v>734</v>
      </c>
      <c r="Q32" s="89">
        <f>+Q31+8</f>
        <v>43312</v>
      </c>
      <c r="R32" s="88"/>
      <c r="S32" s="88" t="e">
        <f t="shared" si="29"/>
        <v>#VALUE!</v>
      </c>
      <c r="T32" s="3" t="str">
        <f t="shared" si="30"/>
        <v>SX+LD cốt thép bệ móng + thân mô D ≤ 10 trên cạn ,thân A2R đợt 1</v>
      </c>
    </row>
    <row r="33" spans="1:20" ht="27.75" customHeight="1" outlineLevel="2">
      <c r="A33" s="81">
        <f>SUBTOTAL(103,$B$12:B33)</f>
        <v>22</v>
      </c>
      <c r="B33" s="78">
        <f t="shared" si="25"/>
        <v>43320</v>
      </c>
      <c r="C33" s="571" t="str">
        <f t="shared" si="26"/>
        <v>SX+LD cốt thép bệ móng + thân mô D ≤ 10 trên cạn ,thân A2R đợt 2</v>
      </c>
      <c r="D33" s="572"/>
      <c r="E33" s="573"/>
      <c r="F33" s="449">
        <f>[3]A2R!$O$215/1000</f>
        <v>0.12879875000000002</v>
      </c>
      <c r="G33" s="450">
        <f>128.8/1000</f>
        <v>0.1288</v>
      </c>
      <c r="H33" s="451">
        <f t="shared" si="27"/>
        <v>0.12879875000000002</v>
      </c>
      <c r="I33" s="452">
        <f t="shared" si="3"/>
        <v>0.12879875000000002</v>
      </c>
      <c r="J33" s="107">
        <f t="shared" si="28"/>
        <v>0</v>
      </c>
      <c r="K33" s="604"/>
      <c r="N33" s="118"/>
      <c r="O33" s="118" t="s">
        <v>735</v>
      </c>
      <c r="Q33" s="89">
        <f>+Q32+8</f>
        <v>43320</v>
      </c>
      <c r="R33" s="88"/>
      <c r="S33" s="88" t="e">
        <f t="shared" si="29"/>
        <v>#VALUE!</v>
      </c>
      <c r="T33" s="3" t="str">
        <f t="shared" si="30"/>
        <v>SX+LD cốt thép bệ móng + thân mô D ≤ 10 trên cạn ,thân A2R đợt 2</v>
      </c>
    </row>
    <row r="34" spans="1:20" ht="27.75" customHeight="1" outlineLevel="2">
      <c r="A34" s="81">
        <f>SUBTOTAL(103,$B$12:B34)</f>
        <v>23</v>
      </c>
      <c r="B34" s="78">
        <f t="shared" si="25"/>
        <v>43328</v>
      </c>
      <c r="C34" s="571" t="str">
        <f t="shared" si="26"/>
        <v>SX+LD cốt thép bệ móng + thân mô D ≤ 10 trên cạn ,thân A2R đợt 3</v>
      </c>
      <c r="D34" s="572"/>
      <c r="E34" s="573"/>
      <c r="F34" s="383">
        <f>[3]A2R!$O$219/1000</f>
        <v>0.10303900000000001</v>
      </c>
      <c r="G34" s="385">
        <f>103.04/1000</f>
        <v>0.10304000000000001</v>
      </c>
      <c r="H34" s="297">
        <f t="shared" si="27"/>
        <v>0.10303900000000001</v>
      </c>
      <c r="I34" s="107">
        <f t="shared" si="3"/>
        <v>0.10303900000000001</v>
      </c>
      <c r="J34" s="107">
        <f t="shared" si="28"/>
        <v>0</v>
      </c>
      <c r="K34" s="604"/>
      <c r="N34" s="118"/>
      <c r="O34" s="118" t="s">
        <v>736</v>
      </c>
      <c r="Q34" s="89">
        <f t="shared" ref="Q34:Q37" si="31">+Q33+8</f>
        <v>43328</v>
      </c>
      <c r="R34" s="88"/>
      <c r="S34" s="88" t="e">
        <f t="shared" si="29"/>
        <v>#VALUE!</v>
      </c>
      <c r="T34" s="3" t="str">
        <f t="shared" si="30"/>
        <v>SX+LD cốt thép bệ móng + thân mô D ≤ 10 trên cạn ,thân A2R đợt 3</v>
      </c>
    </row>
    <row r="35" spans="1:20" ht="27.75" customHeight="1" outlineLevel="2">
      <c r="A35" s="81">
        <f>SUBTOTAL(103,$B$12:B35)</f>
        <v>24</v>
      </c>
      <c r="B35" s="78">
        <f t="shared" si="25"/>
        <v>43336</v>
      </c>
      <c r="C35" s="571" t="str">
        <f t="shared" si="26"/>
        <v>SX+LD cốt thép bệ móng + thân mô D ≤ 10 trên cạn ,thân A2R đợt 4</v>
      </c>
      <c r="D35" s="572"/>
      <c r="E35" s="573"/>
      <c r="F35" s="383">
        <f>[3]A2R!$O$223/1000</f>
        <v>0.10303900000000001</v>
      </c>
      <c r="G35" s="385">
        <f>103.04/1000</f>
        <v>0.10304000000000001</v>
      </c>
      <c r="H35" s="297">
        <f t="shared" si="27"/>
        <v>0.10303900000000001</v>
      </c>
      <c r="I35" s="107">
        <f t="shared" si="3"/>
        <v>0.10303900000000001</v>
      </c>
      <c r="J35" s="107">
        <f t="shared" si="28"/>
        <v>0</v>
      </c>
      <c r="K35" s="604"/>
      <c r="N35" s="118"/>
      <c r="O35" s="118" t="s">
        <v>737</v>
      </c>
      <c r="Q35" s="89">
        <f t="shared" si="31"/>
        <v>43336</v>
      </c>
      <c r="R35" s="88"/>
      <c r="S35" s="88" t="e">
        <f t="shared" si="29"/>
        <v>#VALUE!</v>
      </c>
      <c r="T35" s="3" t="str">
        <f t="shared" si="30"/>
        <v>SX+LD cốt thép bệ móng + thân mô D ≤ 10 trên cạn ,thân A2R đợt 4</v>
      </c>
    </row>
    <row r="36" spans="1:20" ht="27.75" customHeight="1" outlineLevel="2">
      <c r="A36" s="81">
        <f>SUBTOTAL(103,$B$12:B36)</f>
        <v>25</v>
      </c>
      <c r="B36" s="78">
        <f t="shared" si="25"/>
        <v>43344</v>
      </c>
      <c r="C36" s="571" t="str">
        <f t="shared" si="26"/>
        <v>SX+LD cốt thép bệ móng + thân mô D ≤ 10 trên cạn ,thân A2R đợt 5</v>
      </c>
      <c r="D36" s="572"/>
      <c r="E36" s="573"/>
      <c r="F36" s="383">
        <f>[3]A2R!$O$227/1000</f>
        <v>9.9490890000000012E-2</v>
      </c>
      <c r="G36" s="385">
        <f>99.49/1000</f>
        <v>9.9489999999999995E-2</v>
      </c>
      <c r="H36" s="297">
        <f t="shared" si="27"/>
        <v>9.9489999999999995E-2</v>
      </c>
      <c r="I36" s="107">
        <f t="shared" si="3"/>
        <v>9.9489999999999995E-2</v>
      </c>
      <c r="J36" s="107">
        <f t="shared" si="28"/>
        <v>0</v>
      </c>
      <c r="K36" s="604"/>
      <c r="N36" s="118"/>
      <c r="O36" s="118" t="s">
        <v>738</v>
      </c>
      <c r="Q36" s="89">
        <f t="shared" si="31"/>
        <v>43344</v>
      </c>
      <c r="R36" s="88"/>
      <c r="S36" s="88" t="e">
        <f t="shared" si="29"/>
        <v>#VALUE!</v>
      </c>
      <c r="T36" s="3" t="str">
        <f t="shared" si="30"/>
        <v>SX+LD cốt thép bệ móng + thân mô D ≤ 10 trên cạn ,thân A2R đợt 5</v>
      </c>
    </row>
    <row r="37" spans="1:20" ht="27.75" customHeight="1" outlineLevel="2">
      <c r="A37" s="81">
        <f>SUBTOTAL(103,$B$12:B37)</f>
        <v>26</v>
      </c>
      <c r="B37" s="78">
        <f t="shared" ref="B37" si="32">Q37</f>
        <v>43352</v>
      </c>
      <c r="C37" s="571" t="str">
        <f t="shared" ref="C37" si="33">T37</f>
        <v>SX+LD cốt thép bệ móng + thân mô D ≤ 10 trên cạn ,thân A2R đợt 6</v>
      </c>
      <c r="D37" s="572"/>
      <c r="E37" s="573"/>
      <c r="F37" s="383">
        <f>[3]A2R!$O$231/1000</f>
        <v>2.470468E-2</v>
      </c>
      <c r="G37" s="385">
        <f>24.7/1000</f>
        <v>2.47E-2</v>
      </c>
      <c r="H37" s="297">
        <f t="shared" ref="H37" si="34">MIN(F37:G37)</f>
        <v>2.47E-2</v>
      </c>
      <c r="I37" s="107">
        <f t="shared" ref="I37" si="35">H37</f>
        <v>2.47E-2</v>
      </c>
      <c r="J37" s="107">
        <f t="shared" ref="J37" si="36">P37</f>
        <v>0</v>
      </c>
      <c r="K37" s="390"/>
      <c r="N37" s="118"/>
      <c r="O37" s="118" t="s">
        <v>740</v>
      </c>
      <c r="Q37" s="89">
        <f t="shared" si="31"/>
        <v>43352</v>
      </c>
      <c r="R37" s="88"/>
      <c r="S37" s="88" t="e">
        <f t="shared" ref="S37" si="37">VLOOKUP($S$11,hamchuigoi3,M37,0)</f>
        <v>#VALUE!</v>
      </c>
      <c r="T37" s="3" t="str">
        <f t="shared" ref="T37" si="38">$N$6&amp;" "&amp;O37</f>
        <v>SX+LD cốt thép bệ móng + thân mô D ≤ 10 trên cạn ,thân A2R đợt 6</v>
      </c>
    </row>
    <row r="38" spans="1:20" ht="27.75" customHeight="1" outlineLevel="2">
      <c r="A38" s="81">
        <f>SUBTOTAL(103,$B$12:B38)</f>
        <v>27</v>
      </c>
      <c r="B38" s="78">
        <f>Q38</f>
        <v>43425</v>
      </c>
      <c r="C38" s="571" t="str">
        <f>T38</f>
        <v>SX+LD cốt thép bệ móng + thân mô D ≤ 10 trên cạn ,bệ kê gối A1</v>
      </c>
      <c r="D38" s="572"/>
      <c r="E38" s="573"/>
      <c r="F38" s="386">
        <f>'[4]THKL MO M1R'!$I$60/1000+'[4]THKL MO M1R'!$I$61/1000+'[4]THKL MO M1L'!$I$60/1000+'[4]THKL MO M1L'!$I$61/1000</f>
        <v>9.2707200000000017E-2</v>
      </c>
      <c r="G38" s="387">
        <f>'[4]THKL MO M1R'!$I$60/1000+'[4]THKL MO M1R'!$I$61/1000+'[4]THKL MO M1L'!$I$60/1000+'[4]THKL MO M1L'!$I$61/1000</f>
        <v>9.2707200000000017E-2</v>
      </c>
      <c r="H38" s="388">
        <f>MIN(F38:G38)</f>
        <v>9.2707200000000017E-2</v>
      </c>
      <c r="I38" s="389">
        <f>H38</f>
        <v>9.2707200000000017E-2</v>
      </c>
      <c r="J38" s="389">
        <f>P38</f>
        <v>2.3007199999999997</v>
      </c>
      <c r="K38" s="712"/>
      <c r="N38" s="118"/>
      <c r="O38" s="118" t="s">
        <v>713</v>
      </c>
      <c r="P38" s="4">
        <f>2300.72/1000</f>
        <v>2.3007199999999997</v>
      </c>
      <c r="Q38" s="89">
        <v>43425</v>
      </c>
      <c r="R38" s="88"/>
      <c r="S38" s="88" t="e">
        <f t="shared" si="5"/>
        <v>#VALUE!</v>
      </c>
      <c r="T38" s="3" t="str">
        <f t="shared" ref="T38:T39" si="39">$N$6&amp;" "&amp;O38</f>
        <v>SX+LD cốt thép bệ móng + thân mô D ≤ 10 trên cạn ,bệ kê gối A1</v>
      </c>
    </row>
    <row r="39" spans="1:20" ht="27.75" customHeight="1" outlineLevel="2">
      <c r="A39" s="81">
        <f>SUBTOTAL(103,$B$12:B39)</f>
        <v>28</v>
      </c>
      <c r="B39" s="78">
        <f t="shared" ref="B39" si="40">Q39</f>
        <v>43426</v>
      </c>
      <c r="C39" s="571" t="str">
        <f t="shared" ref="C39" si="41">T39</f>
        <v>SX+LD cốt thép bệ móng + thân mô D ≤ 10 trên cạn ,bệ kê gối A2</v>
      </c>
      <c r="D39" s="572"/>
      <c r="E39" s="573"/>
      <c r="F39" s="386">
        <f>'[4]THKL MO M2R'!$I$60/1000+'[4]THKL MO M2R'!$I$61/1000+'[4]THKL MO M2L'!$I$60/1000+'[4]THKL MO M2L'!$I$61/1000</f>
        <v>9.2707200000000017E-2</v>
      </c>
      <c r="G39" s="387">
        <f>'[4]THKL MO M2R'!$I$60/1000+'[4]THKL MO M2R'!$I$61/1000+'[4]THKL MO M2L'!$I$60/1000+'[4]THKL MO M2L'!$I$61/1000</f>
        <v>9.2707200000000017E-2</v>
      </c>
      <c r="H39" s="388">
        <f>MIN(F39:G39)</f>
        <v>9.2707200000000017E-2</v>
      </c>
      <c r="I39" s="389">
        <f>H39</f>
        <v>9.2707200000000017E-2</v>
      </c>
      <c r="J39" s="389">
        <f t="shared" ref="J39" si="42">P39</f>
        <v>3.0027199999999996</v>
      </c>
      <c r="K39" s="713"/>
      <c r="N39" s="118"/>
      <c r="O39" s="118" t="s">
        <v>714</v>
      </c>
      <c r="P39" s="4">
        <f>3002.72/1000</f>
        <v>3.0027199999999996</v>
      </c>
      <c r="Q39" s="89">
        <f>Q38+1</f>
        <v>43426</v>
      </c>
      <c r="R39" s="88"/>
      <c r="S39" s="88" t="e">
        <f t="shared" si="5"/>
        <v>#VALUE!</v>
      </c>
      <c r="T39" s="3" t="str">
        <f t="shared" si="39"/>
        <v>SX+LD cốt thép bệ móng + thân mô D ≤ 10 trên cạn ,bệ kê gối A2</v>
      </c>
    </row>
    <row r="40" spans="1:20" ht="14.25" outlineLevel="2">
      <c r="A40" s="81"/>
      <c r="B40" s="78"/>
      <c r="C40" s="571"/>
      <c r="D40" s="572"/>
      <c r="E40" s="573"/>
      <c r="F40" s="384"/>
      <c r="G40" s="33"/>
      <c r="H40" s="31"/>
      <c r="I40" s="107"/>
      <c r="J40" s="107"/>
      <c r="K40" s="82"/>
      <c r="N40" s="118"/>
      <c r="O40" s="118"/>
      <c r="P40" s="88"/>
      <c r="Q40" s="89"/>
      <c r="R40" s="88"/>
      <c r="S40" s="88"/>
      <c r="T40" s="3"/>
    </row>
    <row r="41" spans="1:20" thickBot="1">
      <c r="A41" s="574" t="s">
        <v>4</v>
      </c>
      <c r="B41" s="575"/>
      <c r="C41" s="575"/>
      <c r="D41" s="575"/>
      <c r="E41" s="575"/>
      <c r="F41" s="382">
        <f>ROUND(SUM(F12:F40),2)</f>
        <v>2.08</v>
      </c>
      <c r="G41" s="79">
        <f>ROUND(SUM(G12:G40),2)</f>
        <v>2.08</v>
      </c>
      <c r="H41" s="79">
        <f>ROUND(SUM(H12:H40),2)</f>
        <v>2.08</v>
      </c>
      <c r="I41" s="79">
        <f>ROUND(SUM(I12:I40),2)</f>
        <v>2.08</v>
      </c>
      <c r="J41" s="79">
        <f>ROUND(SUM(J12:J40),2)</f>
        <v>5.3</v>
      </c>
      <c r="K41" s="80"/>
      <c r="N41" s="118"/>
      <c r="O41" s="118"/>
      <c r="P41" s="90">
        <f>SUM(P12:P12)</f>
        <v>0</v>
      </c>
    </row>
    <row r="42" spans="1:20" s="175" customFormat="1" ht="18" customHeight="1" thickTop="1" thickBot="1">
      <c r="A42" s="227"/>
      <c r="B42" s="227"/>
      <c r="C42" s="227"/>
      <c r="D42" s="227"/>
      <c r="E42" s="227"/>
      <c r="F42" s="116"/>
      <c r="G42" s="116"/>
      <c r="H42" s="116"/>
      <c r="I42" s="116"/>
      <c r="J42" s="116"/>
      <c r="K42" s="117"/>
      <c r="L42" s="4"/>
      <c r="M42" s="4" t="s">
        <v>353</v>
      </c>
      <c r="N42" s="118" t="s">
        <v>354</v>
      </c>
      <c r="O42" s="118" t="s">
        <v>351</v>
      </c>
      <c r="P42" s="119" t="s">
        <v>352</v>
      </c>
      <c r="Q42" s="120"/>
      <c r="R42" s="120"/>
      <c r="S42" s="120"/>
      <c r="T42" s="121"/>
    </row>
    <row r="43" spans="1:20" s="5" customFormat="1" ht="13.9" customHeight="1" thickTop="1">
      <c r="A43" s="578" t="s">
        <v>68</v>
      </c>
      <c r="B43" s="579"/>
      <c r="C43" s="579"/>
      <c r="D43" s="579"/>
      <c r="E43" s="579"/>
      <c r="F43" s="580" t="s">
        <v>69</v>
      </c>
      <c r="G43" s="580"/>
      <c r="H43" s="580"/>
      <c r="I43" s="581"/>
      <c r="J43" s="581"/>
      <c r="K43" s="582"/>
      <c r="L43" s="4"/>
      <c r="M43" s="4">
        <v>149.16999999999999</v>
      </c>
      <c r="N43" s="4">
        <v>149.11699999999999</v>
      </c>
      <c r="O43" s="4">
        <v>0</v>
      </c>
      <c r="P43" s="4">
        <v>0</v>
      </c>
    </row>
    <row r="44" spans="1:20" s="5" customFormat="1" ht="13.9" customHeight="1">
      <c r="A44" s="583" t="s">
        <v>5</v>
      </c>
      <c r="B44" s="584"/>
      <c r="C44" s="584"/>
      <c r="D44" s="584"/>
      <c r="E44" s="584"/>
      <c r="F44" s="585" t="s">
        <v>6</v>
      </c>
      <c r="G44" s="585"/>
      <c r="H44" s="585"/>
      <c r="I44" s="586"/>
      <c r="J44" s="586"/>
      <c r="K44" s="587"/>
      <c r="L44" s="4"/>
      <c r="M44" s="4">
        <v>0</v>
      </c>
      <c r="N44" s="4">
        <v>8.4559999999999995</v>
      </c>
      <c r="O44" s="4">
        <v>10.151999999999999</v>
      </c>
      <c r="P44" s="4">
        <v>0</v>
      </c>
    </row>
    <row r="45" spans="1:20" s="5" customFormat="1" ht="13.9" customHeight="1">
      <c r="A45" s="583" t="s">
        <v>836</v>
      </c>
      <c r="B45" s="584"/>
      <c r="C45" s="584"/>
      <c r="D45" s="584"/>
      <c r="E45" s="584"/>
      <c r="F45" s="590" t="s">
        <v>837</v>
      </c>
      <c r="G45" s="590"/>
      <c r="H45" s="590"/>
      <c r="I45" s="591"/>
      <c r="J45" s="591"/>
      <c r="K45" s="592"/>
      <c r="L45" s="4"/>
      <c r="M45" s="4">
        <v>0</v>
      </c>
      <c r="N45" s="4">
        <v>0</v>
      </c>
      <c r="O45" s="4">
        <v>9.2609999999999992</v>
      </c>
      <c r="P45" s="4">
        <v>0</v>
      </c>
    </row>
    <row r="46" spans="1:20" s="5" customFormat="1" ht="13.9" customHeight="1">
      <c r="A46" s="583"/>
      <c r="B46" s="584"/>
      <c r="C46" s="584"/>
      <c r="D46" s="584"/>
      <c r="E46" s="584"/>
      <c r="F46" s="590"/>
      <c r="G46" s="590"/>
      <c r="H46" s="590"/>
      <c r="I46" s="591"/>
      <c r="J46" s="591"/>
      <c r="K46" s="592"/>
      <c r="L46" s="4"/>
      <c r="M46" s="4">
        <v>4</v>
      </c>
      <c r="N46" s="4">
        <v>4</v>
      </c>
      <c r="O46" s="4">
        <v>4</v>
      </c>
      <c r="P46" s="4">
        <v>4</v>
      </c>
    </row>
    <row r="47" spans="1:20" s="5" customFormat="1" ht="13.9" customHeight="1">
      <c r="A47" s="583"/>
      <c r="B47" s="584"/>
      <c r="C47" s="584"/>
      <c r="D47" s="584"/>
      <c r="E47" s="584"/>
      <c r="F47" s="590"/>
      <c r="G47" s="590"/>
      <c r="H47" s="590"/>
      <c r="I47" s="591"/>
      <c r="J47" s="591"/>
      <c r="K47" s="592"/>
      <c r="L47" s="4"/>
      <c r="M47" s="4">
        <v>0</v>
      </c>
      <c r="N47" s="4">
        <v>0</v>
      </c>
      <c r="O47" s="4">
        <v>309</v>
      </c>
      <c r="P47" s="4">
        <v>309</v>
      </c>
    </row>
    <row r="48" spans="1:20" s="5" customFormat="1" ht="13.9" customHeight="1">
      <c r="A48" s="583"/>
      <c r="B48" s="584"/>
      <c r="C48" s="584"/>
      <c r="D48" s="584"/>
      <c r="E48" s="584"/>
      <c r="F48" s="590"/>
      <c r="G48" s="590"/>
      <c r="H48" s="590"/>
      <c r="I48" s="591"/>
      <c r="J48" s="591"/>
      <c r="K48" s="592"/>
      <c r="L48" s="4"/>
      <c r="M48" s="4">
        <v>2300.7199999999998</v>
      </c>
      <c r="N48" s="4">
        <v>3002.72</v>
      </c>
      <c r="O48" s="4">
        <v>562.11</v>
      </c>
      <c r="P48" s="4">
        <v>562.11</v>
      </c>
    </row>
    <row r="49" spans="1:20" s="5" customFormat="1" ht="13.9" customHeight="1">
      <c r="A49" s="583"/>
      <c r="B49" s="584"/>
      <c r="C49" s="584"/>
      <c r="D49" s="584"/>
      <c r="E49" s="584"/>
      <c r="F49" s="590"/>
      <c r="G49" s="590"/>
      <c r="H49" s="590"/>
      <c r="I49" s="591"/>
      <c r="J49" s="591"/>
      <c r="K49" s="592"/>
      <c r="L49" s="4"/>
      <c r="M49" s="4">
        <v>6369.45</v>
      </c>
      <c r="N49" s="4">
        <v>6905.47</v>
      </c>
      <c r="O49" s="4">
        <v>6119.16</v>
      </c>
      <c r="P49" s="4">
        <v>9046.5499999999993</v>
      </c>
    </row>
    <row r="50" spans="1:20" s="5" customFormat="1" ht="13.9" customHeight="1">
      <c r="A50" s="583"/>
      <c r="B50" s="584"/>
      <c r="C50" s="584"/>
      <c r="D50" s="584"/>
      <c r="E50" s="584"/>
      <c r="F50" s="590"/>
      <c r="G50" s="590"/>
      <c r="H50" s="590"/>
      <c r="I50" s="591"/>
      <c r="J50" s="591"/>
      <c r="K50" s="592"/>
      <c r="L50" s="4"/>
      <c r="M50" s="4">
        <v>7896.36</v>
      </c>
      <c r="N50" s="4">
        <v>7805.84</v>
      </c>
      <c r="O50" s="4">
        <v>1921.33</v>
      </c>
      <c r="P50" s="4">
        <v>13505.69</v>
      </c>
    </row>
    <row r="51" spans="1:20" s="5" customFormat="1" ht="13.9" customHeight="1" thickBot="1">
      <c r="A51" s="588"/>
      <c r="B51" s="589"/>
      <c r="C51" s="589"/>
      <c r="D51" s="589"/>
      <c r="E51" s="589"/>
      <c r="F51" s="593"/>
      <c r="G51" s="593"/>
      <c r="H51" s="593"/>
      <c r="I51" s="594"/>
      <c r="J51" s="594"/>
      <c r="K51" s="595"/>
      <c r="L51" s="4"/>
      <c r="M51" s="4">
        <v>140</v>
      </c>
      <c r="N51" s="4">
        <v>139.6</v>
      </c>
      <c r="O51" s="4">
        <v>218.6</v>
      </c>
      <c r="P51" s="4">
        <v>209.5</v>
      </c>
    </row>
    <row r="52" spans="1:20" s="175" customFormat="1" ht="18" customHeight="1" thickTop="1">
      <c r="A52" s="227"/>
      <c r="B52" s="227"/>
      <c r="C52" s="227"/>
      <c r="D52" s="227"/>
      <c r="E52" s="227"/>
      <c r="F52" s="116"/>
      <c r="G52" s="116"/>
      <c r="H52" s="116"/>
      <c r="I52" s="116"/>
      <c r="J52" s="116"/>
      <c r="K52" s="117"/>
      <c r="L52" s="118"/>
      <c r="M52" s="118"/>
      <c r="N52" s="118"/>
      <c r="O52" s="118"/>
      <c r="P52" s="119"/>
      <c r="Q52" s="120"/>
      <c r="R52" s="120"/>
      <c r="S52" s="120"/>
      <c r="T52" s="121"/>
    </row>
    <row r="53" spans="1:20" s="111" customFormat="1" ht="48" customHeight="1">
      <c r="A53" s="596" t="s">
        <v>87</v>
      </c>
      <c r="B53" s="596"/>
      <c r="C53" s="596"/>
      <c r="D53" s="596"/>
      <c r="E53" s="596"/>
      <c r="F53" s="596"/>
      <c r="G53" s="596"/>
      <c r="H53" s="596"/>
      <c r="I53" s="596"/>
      <c r="J53" s="596"/>
      <c r="K53" s="596"/>
      <c r="L53" s="108"/>
      <c r="M53" s="109"/>
      <c r="N53" s="110"/>
    </row>
    <row r="54" spans="1:20" s="112" customFormat="1" ht="18" customHeight="1">
      <c r="A54" s="597" t="s">
        <v>599</v>
      </c>
      <c r="B54" s="597"/>
      <c r="C54" s="597"/>
      <c r="D54" s="597"/>
      <c r="E54" s="597"/>
      <c r="F54" s="597"/>
      <c r="G54" s="597"/>
      <c r="H54" s="597"/>
      <c r="I54" s="597"/>
      <c r="J54" s="597"/>
      <c r="K54" s="597"/>
    </row>
    <row r="55" spans="1:20" s="175" customFormat="1" ht="20.100000000000001" customHeight="1">
      <c r="A55" s="598" t="s">
        <v>90</v>
      </c>
      <c r="B55" s="598"/>
      <c r="C55" s="598"/>
      <c r="D55" s="598"/>
      <c r="E55" s="598"/>
      <c r="F55" s="598"/>
      <c r="G55" s="598"/>
      <c r="H55" s="598"/>
      <c r="I55" s="598"/>
      <c r="J55" s="598"/>
      <c r="K55" s="598"/>
      <c r="L55" s="123"/>
      <c r="M55" s="124"/>
      <c r="N55" s="123"/>
      <c r="O55" s="123"/>
      <c r="P55" s="123"/>
      <c r="Q55" s="123"/>
      <c r="R55" s="123"/>
      <c r="S55" s="123"/>
      <c r="T55" s="123"/>
    </row>
    <row r="56" spans="1:20" s="175" customFormat="1" ht="15.95" customHeight="1">
      <c r="A56" s="599" t="s">
        <v>91</v>
      </c>
      <c r="B56" s="599"/>
      <c r="C56" s="599"/>
      <c r="D56" s="599"/>
      <c r="E56" s="599"/>
      <c r="F56" s="599"/>
      <c r="G56" s="599"/>
      <c r="H56" s="599"/>
      <c r="I56" s="599"/>
      <c r="J56" s="599"/>
      <c r="K56" s="599"/>
      <c r="L56" s="123"/>
      <c r="M56" s="124"/>
      <c r="N56" s="123"/>
      <c r="O56" s="123"/>
      <c r="P56" s="123"/>
      <c r="Q56" s="123"/>
      <c r="R56" s="123"/>
      <c r="S56" s="123"/>
      <c r="T56" s="123"/>
    </row>
    <row r="57" spans="1:20" s="175" customFormat="1" ht="15.95" customHeight="1">
      <c r="A57" s="600" t="str">
        <f>A4</f>
        <v>PHẦN C.: CẦU VƯỢT</v>
      </c>
      <c r="B57" s="601"/>
      <c r="C57" s="601"/>
      <c r="D57" s="601"/>
      <c r="E57" s="601"/>
      <c r="F57" s="601"/>
      <c r="G57" s="601"/>
      <c r="H57" s="601"/>
      <c r="I57" s="601"/>
      <c r="J57" s="601"/>
      <c r="K57" s="602"/>
      <c r="L57" s="123"/>
      <c r="M57" s="124"/>
      <c r="N57" s="123"/>
      <c r="O57" s="123"/>
      <c r="P57" s="123"/>
      <c r="Q57" s="123"/>
      <c r="R57" s="123"/>
      <c r="S57" s="123"/>
      <c r="T57" s="123"/>
    </row>
    <row r="58" spans="1:20" s="175" customFormat="1" ht="15.95" customHeight="1">
      <c r="A58" s="228" t="str">
        <f>A5</f>
        <v>Hạng mục C.II. HỆ MẶT CẦU, LAN CAN, THẢM MẶT CẦU, THOÁT NƯỚC, KHE CO GIÃN</v>
      </c>
      <c r="B58" s="229"/>
      <c r="C58" s="127"/>
      <c r="D58" s="127"/>
      <c r="E58" s="128"/>
      <c r="F58" s="129"/>
      <c r="G58" s="129"/>
      <c r="H58" s="129"/>
      <c r="I58" s="129"/>
      <c r="J58" s="129"/>
      <c r="K58" s="130"/>
      <c r="L58" s="123"/>
      <c r="M58" s="124"/>
      <c r="N58" s="123"/>
      <c r="O58" s="123"/>
      <c r="P58" s="123"/>
      <c r="Q58" s="123"/>
      <c r="R58" s="123"/>
      <c r="S58" s="123"/>
      <c r="T58" s="123"/>
    </row>
    <row r="59" spans="1:20" s="175" customFormat="1" ht="15.95" customHeight="1">
      <c r="A59" s="228" t="str">
        <f>A6</f>
        <v>Mục C.II.1.1.5. SX+LD cốt thép bệ móng + thân mô D ≤ 10 trên cạn</v>
      </c>
      <c r="B59" s="229"/>
      <c r="C59" s="127"/>
      <c r="D59" s="127"/>
      <c r="E59" s="128"/>
      <c r="F59" s="129"/>
      <c r="G59" s="129"/>
      <c r="H59" s="129"/>
      <c r="I59" s="129"/>
      <c r="J59" s="129"/>
      <c r="K59" s="130"/>
      <c r="L59" s="123"/>
      <c r="M59" s="124"/>
      <c r="N59" s="123"/>
      <c r="O59" s="123"/>
      <c r="P59" s="123"/>
      <c r="Q59" s="123"/>
      <c r="R59" s="123"/>
      <c r="S59" s="123"/>
      <c r="T59" s="123"/>
    </row>
    <row r="60" spans="1:20" s="175" customFormat="1" ht="15.95" customHeight="1">
      <c r="A60" s="639">
        <f>A7</f>
        <v>2.08</v>
      </c>
      <c r="B60" s="640"/>
      <c r="C60" s="640"/>
      <c r="D60" s="640"/>
      <c r="E60" s="131" t="str">
        <f>E7</f>
        <v>(T)</v>
      </c>
      <c r="F60" s="132"/>
      <c r="G60" s="132"/>
      <c r="H60" s="132"/>
      <c r="I60" s="132"/>
      <c r="J60" s="132"/>
      <c r="K60" s="133"/>
      <c r="L60" s="173"/>
      <c r="M60" s="135"/>
      <c r="N60" s="174"/>
      <c r="P60" s="174"/>
    </row>
    <row r="61" spans="1:20" s="5" customFormat="1" ht="13.5" customHeight="1" thickBot="1">
      <c r="A61" s="28"/>
      <c r="B61" s="28"/>
      <c r="C61" s="28"/>
      <c r="D61" s="28"/>
      <c r="E61" s="28"/>
      <c r="F61" s="30"/>
      <c r="G61" s="30"/>
      <c r="H61" s="30"/>
      <c r="I61" s="30"/>
      <c r="J61" s="30"/>
      <c r="K61" s="8"/>
      <c r="L61" s="23"/>
      <c r="M61" s="9"/>
      <c r="N61" s="4"/>
      <c r="O61" s="4"/>
      <c r="P61" s="4"/>
      <c r="R61" s="4"/>
      <c r="S61" s="4"/>
      <c r="T61" s="4"/>
    </row>
    <row r="62" spans="1:20" s="5" customFormat="1" ht="21.6" customHeight="1" thickTop="1">
      <c r="A62" s="576" t="s">
        <v>3</v>
      </c>
      <c r="B62" s="641" t="s">
        <v>84</v>
      </c>
      <c r="C62" s="641"/>
      <c r="D62" s="643" t="s">
        <v>96</v>
      </c>
      <c r="E62" s="643"/>
      <c r="F62" s="643"/>
      <c r="G62" s="643"/>
      <c r="H62" s="641" t="s">
        <v>89</v>
      </c>
      <c r="I62" s="641"/>
      <c r="J62" s="641" t="s">
        <v>85</v>
      </c>
      <c r="K62" s="645"/>
      <c r="L62"/>
      <c r="M62" s="94"/>
      <c r="N62" s="94"/>
      <c r="O62" s="95"/>
      <c r="P62" s="96"/>
    </row>
    <row r="63" spans="1:20" s="5" customFormat="1" ht="21.6" customHeight="1">
      <c r="A63" s="577"/>
      <c r="B63" s="642"/>
      <c r="C63" s="642"/>
      <c r="D63" s="644"/>
      <c r="E63" s="644"/>
      <c r="F63" s="644"/>
      <c r="G63" s="644"/>
      <c r="H63" s="642"/>
      <c r="I63" s="642"/>
      <c r="J63" s="642"/>
      <c r="K63" s="646"/>
      <c r="L63"/>
      <c r="M63" s="97"/>
      <c r="N63" s="97"/>
      <c r="O63" s="98"/>
      <c r="P63" s="99"/>
    </row>
    <row r="64" spans="1:20" s="5" customFormat="1" ht="17.100000000000001" customHeight="1">
      <c r="A64" s="100">
        <v>1</v>
      </c>
      <c r="B64" s="623" t="str">
        <f>"Tháng "&amp;IF(L64&lt;10,0&amp;L64&amp;"/"&amp;M64,L64&amp;"/"&amp;M64)</f>
        <v>Tháng 08/2017</v>
      </c>
      <c r="C64" s="623"/>
      <c r="D64" s="624" t="str">
        <f>N6</f>
        <v>SX+LD cốt thép bệ móng + thân mô D ≤ 10 trên cạn</v>
      </c>
      <c r="E64" s="624"/>
      <c r="F64" s="624"/>
      <c r="G64" s="624"/>
      <c r="H64" s="625">
        <f t="shared" ref="H64:H87" si="43">+SUMIFS($I$12:$I$40,$B$12:$B$40,"&gt;="&amp;$O64,$B$12:$B$40,"&lt;="&amp;$P64)</f>
        <v>0</v>
      </c>
      <c r="I64" s="625"/>
      <c r="J64" s="623"/>
      <c r="K64" s="626"/>
      <c r="L64">
        <v>8</v>
      </c>
      <c r="M64" s="101">
        <v>2017</v>
      </c>
      <c r="N64" s="97"/>
      <c r="O64" s="103">
        <f t="shared" ref="O64:O88" si="44">DATE(M64,L64,1)</f>
        <v>42948</v>
      </c>
      <c r="P64" s="103">
        <f t="shared" ref="P64:P88" si="45">DATE(M64,L64+1,0)</f>
        <v>42978</v>
      </c>
    </row>
    <row r="65" spans="1:16" s="5" customFormat="1" ht="17.100000000000001" customHeight="1">
      <c r="A65" s="104">
        <v>2</v>
      </c>
      <c r="B65" s="567" t="str">
        <f t="shared" ref="B65:B89" si="46">"Tháng "&amp;IF(L65&lt;10,0&amp;L65&amp;"/"&amp;M65,L65&amp;"/"&amp;M65)</f>
        <v>Tháng 09/2017</v>
      </c>
      <c r="C65" s="567"/>
      <c r="D65" s="568" t="str">
        <f>D64</f>
        <v>SX+LD cốt thép bệ móng + thân mô D ≤ 10 trên cạn</v>
      </c>
      <c r="E65" s="568"/>
      <c r="F65" s="568"/>
      <c r="G65" s="568"/>
      <c r="H65" s="569">
        <f t="shared" si="43"/>
        <v>0</v>
      </c>
      <c r="I65" s="569"/>
      <c r="J65" s="567"/>
      <c r="K65" s="570"/>
      <c r="L65">
        <v>9</v>
      </c>
      <c r="M65" s="101">
        <v>2017</v>
      </c>
      <c r="N65"/>
      <c r="O65" s="103">
        <f t="shared" si="44"/>
        <v>42979</v>
      </c>
      <c r="P65" s="103">
        <f t="shared" si="45"/>
        <v>43008</v>
      </c>
    </row>
    <row r="66" spans="1:16" s="5" customFormat="1" ht="17.100000000000001" customHeight="1">
      <c r="A66" s="104">
        <f>A65+1</f>
        <v>3</v>
      </c>
      <c r="B66" s="567" t="str">
        <f t="shared" si="46"/>
        <v>Tháng 10/2017</v>
      </c>
      <c r="C66" s="567"/>
      <c r="D66" s="568" t="str">
        <f t="shared" ref="D66:D88" si="47">D65</f>
        <v>SX+LD cốt thép bệ móng + thân mô D ≤ 10 trên cạn</v>
      </c>
      <c r="E66" s="568"/>
      <c r="F66" s="568"/>
      <c r="G66" s="568"/>
      <c r="H66" s="569">
        <f t="shared" si="43"/>
        <v>0</v>
      </c>
      <c r="I66" s="569"/>
      <c r="J66" s="567"/>
      <c r="K66" s="570"/>
      <c r="L66">
        <v>10</v>
      </c>
      <c r="M66" s="101">
        <v>2017</v>
      </c>
      <c r="N66"/>
      <c r="O66" s="103">
        <f t="shared" si="44"/>
        <v>43009</v>
      </c>
      <c r="P66" s="103">
        <f t="shared" si="45"/>
        <v>43039</v>
      </c>
    </row>
    <row r="67" spans="1:16" s="5" customFormat="1" ht="17.100000000000001" customHeight="1">
      <c r="A67" s="104">
        <f t="shared" ref="A67:A89" si="48">A66+1</f>
        <v>4</v>
      </c>
      <c r="B67" s="567" t="str">
        <f t="shared" si="46"/>
        <v>Tháng 11/2017</v>
      </c>
      <c r="C67" s="567"/>
      <c r="D67" s="568" t="str">
        <f t="shared" si="47"/>
        <v>SX+LD cốt thép bệ móng + thân mô D ≤ 10 trên cạn</v>
      </c>
      <c r="E67" s="568"/>
      <c r="F67" s="568"/>
      <c r="G67" s="568"/>
      <c r="H67" s="569">
        <f t="shared" si="43"/>
        <v>0</v>
      </c>
      <c r="I67" s="569"/>
      <c r="J67" s="567"/>
      <c r="K67" s="570"/>
      <c r="L67">
        <v>11</v>
      </c>
      <c r="M67" s="101">
        <v>2017</v>
      </c>
      <c r="N67"/>
      <c r="O67" s="103">
        <f t="shared" si="44"/>
        <v>43040</v>
      </c>
      <c r="P67" s="103">
        <f t="shared" si="45"/>
        <v>43069</v>
      </c>
    </row>
    <row r="68" spans="1:16" s="5" customFormat="1" ht="17.100000000000001" customHeight="1">
      <c r="A68" s="104">
        <f t="shared" si="48"/>
        <v>5</v>
      </c>
      <c r="B68" s="567" t="str">
        <f t="shared" si="46"/>
        <v>Tháng 12/2017</v>
      </c>
      <c r="C68" s="567"/>
      <c r="D68" s="568" t="str">
        <f t="shared" si="47"/>
        <v>SX+LD cốt thép bệ móng + thân mô D ≤ 10 trên cạn</v>
      </c>
      <c r="E68" s="568"/>
      <c r="F68" s="568"/>
      <c r="G68" s="568"/>
      <c r="H68" s="569">
        <f t="shared" si="43"/>
        <v>0</v>
      </c>
      <c r="I68" s="569"/>
      <c r="J68" s="567"/>
      <c r="K68" s="570"/>
      <c r="L68">
        <v>12</v>
      </c>
      <c r="M68" s="101">
        <v>2017</v>
      </c>
      <c r="N68"/>
      <c r="O68" s="103">
        <f t="shared" si="44"/>
        <v>43070</v>
      </c>
      <c r="P68" s="103">
        <f t="shared" si="45"/>
        <v>43100</v>
      </c>
    </row>
    <row r="69" spans="1:16" s="5" customFormat="1" ht="17.100000000000001" customHeight="1">
      <c r="A69" s="104">
        <f t="shared" si="48"/>
        <v>6</v>
      </c>
      <c r="B69" s="567" t="str">
        <f t="shared" si="46"/>
        <v>Tháng 01/2018</v>
      </c>
      <c r="C69" s="567"/>
      <c r="D69" s="568" t="str">
        <f t="shared" si="47"/>
        <v>SX+LD cốt thép bệ móng + thân mô D ≤ 10 trên cạn</v>
      </c>
      <c r="E69" s="568"/>
      <c r="F69" s="568"/>
      <c r="G69" s="568"/>
      <c r="H69" s="569">
        <f t="shared" si="43"/>
        <v>0</v>
      </c>
      <c r="I69" s="569"/>
      <c r="J69" s="567"/>
      <c r="K69" s="570"/>
      <c r="L69">
        <v>1</v>
      </c>
      <c r="M69" s="101">
        <v>2018</v>
      </c>
      <c r="N69"/>
      <c r="O69" s="103">
        <f t="shared" si="44"/>
        <v>43101</v>
      </c>
      <c r="P69" s="103">
        <f t="shared" si="45"/>
        <v>43131</v>
      </c>
    </row>
    <row r="70" spans="1:16" s="5" customFormat="1" ht="17.100000000000001" customHeight="1">
      <c r="A70" s="104">
        <f t="shared" si="48"/>
        <v>7</v>
      </c>
      <c r="B70" s="567" t="str">
        <f t="shared" si="46"/>
        <v>Tháng 02/2018</v>
      </c>
      <c r="C70" s="567"/>
      <c r="D70" s="568" t="str">
        <f t="shared" si="47"/>
        <v>SX+LD cốt thép bệ móng + thân mô D ≤ 10 trên cạn</v>
      </c>
      <c r="E70" s="568"/>
      <c r="F70" s="568"/>
      <c r="G70" s="568"/>
      <c r="H70" s="569">
        <f t="shared" si="43"/>
        <v>0</v>
      </c>
      <c r="I70" s="569"/>
      <c r="J70" s="567"/>
      <c r="K70" s="570"/>
      <c r="L70">
        <v>2</v>
      </c>
      <c r="M70" s="101">
        <v>2018</v>
      </c>
      <c r="N70"/>
      <c r="O70" s="103">
        <f t="shared" si="44"/>
        <v>43132</v>
      </c>
      <c r="P70" s="103">
        <f t="shared" si="45"/>
        <v>43159</v>
      </c>
    </row>
    <row r="71" spans="1:16" s="5" customFormat="1" ht="17.100000000000001" customHeight="1">
      <c r="A71" s="104">
        <f t="shared" si="48"/>
        <v>8</v>
      </c>
      <c r="B71" s="567" t="str">
        <f t="shared" si="46"/>
        <v>Tháng 03/2018</v>
      </c>
      <c r="C71" s="567"/>
      <c r="D71" s="568" t="str">
        <f t="shared" si="47"/>
        <v>SX+LD cốt thép bệ móng + thân mô D ≤ 10 trên cạn</v>
      </c>
      <c r="E71" s="568"/>
      <c r="F71" s="568"/>
      <c r="G71" s="568"/>
      <c r="H71" s="569">
        <f t="shared" si="43"/>
        <v>0</v>
      </c>
      <c r="I71" s="569"/>
      <c r="J71" s="567"/>
      <c r="K71" s="570"/>
      <c r="L71">
        <v>3</v>
      </c>
      <c r="M71" s="101">
        <v>2018</v>
      </c>
      <c r="N71"/>
      <c r="O71" s="103">
        <f t="shared" si="44"/>
        <v>43160</v>
      </c>
      <c r="P71" s="103">
        <f t="shared" si="45"/>
        <v>43190</v>
      </c>
    </row>
    <row r="72" spans="1:16" s="5" customFormat="1" ht="17.100000000000001" customHeight="1">
      <c r="A72" s="104">
        <f t="shared" si="48"/>
        <v>9</v>
      </c>
      <c r="B72" s="567" t="str">
        <f t="shared" si="46"/>
        <v>Tháng 04/2018</v>
      </c>
      <c r="C72" s="567"/>
      <c r="D72" s="568" t="str">
        <f t="shared" si="47"/>
        <v>SX+LD cốt thép bệ móng + thân mô D ≤ 10 trên cạn</v>
      </c>
      <c r="E72" s="568"/>
      <c r="F72" s="568"/>
      <c r="G72" s="568"/>
      <c r="H72" s="569">
        <f t="shared" si="43"/>
        <v>0</v>
      </c>
      <c r="I72" s="569"/>
      <c r="J72" s="567"/>
      <c r="K72" s="570"/>
      <c r="L72">
        <v>4</v>
      </c>
      <c r="M72" s="101">
        <v>2018</v>
      </c>
      <c r="N72"/>
      <c r="O72" s="103">
        <f t="shared" si="44"/>
        <v>43191</v>
      </c>
      <c r="P72" s="103">
        <f t="shared" si="45"/>
        <v>43220</v>
      </c>
    </row>
    <row r="73" spans="1:16" s="5" customFormat="1" ht="17.100000000000001" customHeight="1">
      <c r="A73" s="104">
        <f t="shared" si="48"/>
        <v>10</v>
      </c>
      <c r="B73" s="567" t="str">
        <f t="shared" si="46"/>
        <v>Tháng 05/2018</v>
      </c>
      <c r="C73" s="567"/>
      <c r="D73" s="568" t="str">
        <f t="shared" si="47"/>
        <v>SX+LD cốt thép bệ móng + thân mô D ≤ 10 trên cạn</v>
      </c>
      <c r="E73" s="568"/>
      <c r="F73" s="568"/>
      <c r="G73" s="568"/>
      <c r="H73" s="569">
        <f t="shared" si="43"/>
        <v>0</v>
      </c>
      <c r="I73" s="569"/>
      <c r="J73" s="567"/>
      <c r="K73" s="570"/>
      <c r="L73">
        <v>5</v>
      </c>
      <c r="M73" s="101">
        <v>2018</v>
      </c>
      <c r="N73"/>
      <c r="O73" s="103">
        <f t="shared" si="44"/>
        <v>43221</v>
      </c>
      <c r="P73" s="103">
        <f t="shared" si="45"/>
        <v>43251</v>
      </c>
    </row>
    <row r="74" spans="1:16" s="5" customFormat="1" ht="17.100000000000001" customHeight="1">
      <c r="A74" s="104">
        <f t="shared" si="48"/>
        <v>11</v>
      </c>
      <c r="B74" s="567" t="str">
        <f t="shared" si="46"/>
        <v>Tháng 06/2018</v>
      </c>
      <c r="C74" s="567"/>
      <c r="D74" s="568" t="str">
        <f t="shared" si="47"/>
        <v>SX+LD cốt thép bệ móng + thân mô D ≤ 10 trên cạn</v>
      </c>
      <c r="E74" s="568"/>
      <c r="F74" s="568"/>
      <c r="G74" s="568"/>
      <c r="H74" s="569">
        <f t="shared" si="43"/>
        <v>0</v>
      </c>
      <c r="I74" s="569"/>
      <c r="J74" s="567"/>
      <c r="K74" s="570"/>
      <c r="L74">
        <v>6</v>
      </c>
      <c r="M74" s="101">
        <v>2018</v>
      </c>
      <c r="N74"/>
      <c r="O74" s="103">
        <f t="shared" si="44"/>
        <v>43252</v>
      </c>
      <c r="P74" s="103">
        <f t="shared" si="45"/>
        <v>43281</v>
      </c>
    </row>
    <row r="75" spans="1:16" s="5" customFormat="1" ht="17.100000000000001" customHeight="1">
      <c r="A75" s="104">
        <f t="shared" si="48"/>
        <v>12</v>
      </c>
      <c r="B75" s="567" t="str">
        <f t="shared" si="46"/>
        <v>Tháng 07/2018</v>
      </c>
      <c r="C75" s="567"/>
      <c r="D75" s="568" t="str">
        <f t="shared" si="47"/>
        <v>SX+LD cốt thép bệ móng + thân mô D ≤ 10 trên cạn</v>
      </c>
      <c r="E75" s="568"/>
      <c r="F75" s="568"/>
      <c r="G75" s="568"/>
      <c r="H75" s="569">
        <f t="shared" si="43"/>
        <v>0.20607800000000001</v>
      </c>
      <c r="I75" s="569"/>
      <c r="J75" s="567"/>
      <c r="K75" s="570"/>
      <c r="L75">
        <v>7</v>
      </c>
      <c r="M75" s="101">
        <v>2018</v>
      </c>
      <c r="N75"/>
      <c r="O75" s="103">
        <f t="shared" si="44"/>
        <v>43282</v>
      </c>
      <c r="P75" s="103">
        <f t="shared" si="45"/>
        <v>43312</v>
      </c>
    </row>
    <row r="76" spans="1:16" s="5" customFormat="1" ht="17.100000000000001" customHeight="1">
      <c r="A76" s="104">
        <f t="shared" si="48"/>
        <v>13</v>
      </c>
      <c r="B76" s="567" t="str">
        <f t="shared" si="46"/>
        <v>Tháng 08/2018</v>
      </c>
      <c r="C76" s="567"/>
      <c r="D76" s="568" t="str">
        <f t="shared" si="47"/>
        <v>SX+LD cốt thép bệ móng + thân mô D ≤ 10 trên cạn</v>
      </c>
      <c r="E76" s="568"/>
      <c r="F76" s="568"/>
      <c r="G76" s="568"/>
      <c r="H76" s="569">
        <f t="shared" si="43"/>
        <v>0.85377250000000005</v>
      </c>
      <c r="I76" s="569"/>
      <c r="J76" s="567"/>
      <c r="K76" s="570"/>
      <c r="L76">
        <v>8</v>
      </c>
      <c r="M76" s="101">
        <v>2018</v>
      </c>
      <c r="N76"/>
      <c r="O76" s="103">
        <f t="shared" si="44"/>
        <v>43313</v>
      </c>
      <c r="P76" s="103">
        <f t="shared" si="45"/>
        <v>43343</v>
      </c>
    </row>
    <row r="77" spans="1:16" s="5" customFormat="1" ht="17.100000000000001" customHeight="1">
      <c r="A77" s="104">
        <f t="shared" si="48"/>
        <v>14</v>
      </c>
      <c r="B77" s="567" t="str">
        <f t="shared" si="46"/>
        <v>Tháng 09/2018</v>
      </c>
      <c r="C77" s="567"/>
      <c r="D77" s="568" t="str">
        <f t="shared" si="47"/>
        <v>SX+LD cốt thép bệ móng + thân mô D ≤ 10 trên cạn</v>
      </c>
      <c r="E77" s="568"/>
      <c r="F77" s="568"/>
      <c r="G77" s="568"/>
      <c r="H77" s="569">
        <f t="shared" si="43"/>
        <v>0.72442122999999992</v>
      </c>
      <c r="I77" s="569"/>
      <c r="J77" s="567"/>
      <c r="K77" s="570"/>
      <c r="L77">
        <v>9</v>
      </c>
      <c r="M77" s="101">
        <v>2018</v>
      </c>
      <c r="N77"/>
      <c r="O77" s="103">
        <f t="shared" si="44"/>
        <v>43344</v>
      </c>
      <c r="P77" s="103">
        <f t="shared" si="45"/>
        <v>43373</v>
      </c>
    </row>
    <row r="78" spans="1:16" s="5" customFormat="1" ht="17.100000000000001" customHeight="1">
      <c r="A78" s="104">
        <f t="shared" si="48"/>
        <v>15</v>
      </c>
      <c r="B78" s="567" t="str">
        <f t="shared" si="46"/>
        <v>Tháng 10/2018</v>
      </c>
      <c r="C78" s="567"/>
      <c r="D78" s="568" t="str">
        <f t="shared" si="47"/>
        <v>SX+LD cốt thép bệ móng + thân mô D ≤ 10 trên cạn</v>
      </c>
      <c r="E78" s="568"/>
      <c r="F78" s="568"/>
      <c r="G78" s="568"/>
      <c r="H78" s="569">
        <f t="shared" si="43"/>
        <v>0.11094507000000001</v>
      </c>
      <c r="I78" s="569"/>
      <c r="J78" s="567"/>
      <c r="K78" s="570"/>
      <c r="L78">
        <v>10</v>
      </c>
      <c r="M78" s="101">
        <v>2018</v>
      </c>
      <c r="N78"/>
      <c r="O78" s="103">
        <f t="shared" si="44"/>
        <v>43374</v>
      </c>
      <c r="P78" s="103">
        <f t="shared" si="45"/>
        <v>43404</v>
      </c>
    </row>
    <row r="79" spans="1:16" s="5" customFormat="1" ht="17.100000000000001" customHeight="1">
      <c r="A79" s="104">
        <f t="shared" si="48"/>
        <v>16</v>
      </c>
      <c r="B79" s="567" t="str">
        <f t="shared" si="46"/>
        <v>Tháng 11/2018</v>
      </c>
      <c r="C79" s="567"/>
      <c r="D79" s="568" t="str">
        <f t="shared" si="47"/>
        <v>SX+LD cốt thép bệ móng + thân mô D ≤ 10 trên cạn</v>
      </c>
      <c r="E79" s="568"/>
      <c r="F79" s="568"/>
      <c r="G79" s="568"/>
      <c r="H79" s="569">
        <f t="shared" si="43"/>
        <v>0.18541440000000003</v>
      </c>
      <c r="I79" s="569"/>
      <c r="J79" s="567"/>
      <c r="K79" s="570"/>
      <c r="L79">
        <v>11</v>
      </c>
      <c r="M79" s="101">
        <v>2018</v>
      </c>
      <c r="N79"/>
      <c r="O79" s="103">
        <f t="shared" si="44"/>
        <v>43405</v>
      </c>
      <c r="P79" s="103">
        <f t="shared" si="45"/>
        <v>43434</v>
      </c>
    </row>
    <row r="80" spans="1:16" s="5" customFormat="1" ht="17.100000000000001" customHeight="1">
      <c r="A80" s="104">
        <f t="shared" si="48"/>
        <v>17</v>
      </c>
      <c r="B80" s="567" t="str">
        <f t="shared" si="46"/>
        <v>Tháng 12/2018</v>
      </c>
      <c r="C80" s="567"/>
      <c r="D80" s="568" t="str">
        <f t="shared" si="47"/>
        <v>SX+LD cốt thép bệ móng + thân mô D ≤ 10 trên cạn</v>
      </c>
      <c r="E80" s="568"/>
      <c r="F80" s="568"/>
      <c r="G80" s="568"/>
      <c r="H80" s="569">
        <f t="shared" si="43"/>
        <v>0</v>
      </c>
      <c r="I80" s="569"/>
      <c r="J80" s="567"/>
      <c r="K80" s="570"/>
      <c r="L80">
        <v>12</v>
      </c>
      <c r="M80" s="101">
        <v>2018</v>
      </c>
      <c r="N80"/>
      <c r="O80" s="103">
        <f t="shared" si="44"/>
        <v>43435</v>
      </c>
      <c r="P80" s="103">
        <f t="shared" si="45"/>
        <v>43465</v>
      </c>
    </row>
    <row r="81" spans="1:16" s="5" customFormat="1" ht="17.100000000000001" customHeight="1">
      <c r="A81" s="104">
        <f t="shared" si="48"/>
        <v>18</v>
      </c>
      <c r="B81" s="567" t="str">
        <f t="shared" si="46"/>
        <v>Tháng 01/2019</v>
      </c>
      <c r="C81" s="567"/>
      <c r="D81" s="568" t="str">
        <f t="shared" si="47"/>
        <v>SX+LD cốt thép bệ móng + thân mô D ≤ 10 trên cạn</v>
      </c>
      <c r="E81" s="568"/>
      <c r="F81" s="568"/>
      <c r="G81" s="568"/>
      <c r="H81" s="569">
        <f t="shared" si="43"/>
        <v>0</v>
      </c>
      <c r="I81" s="569"/>
      <c r="J81" s="567"/>
      <c r="K81" s="570"/>
      <c r="L81">
        <v>1</v>
      </c>
      <c r="M81" s="101">
        <v>2019</v>
      </c>
      <c r="N81"/>
      <c r="O81" s="103">
        <f t="shared" si="44"/>
        <v>43466</v>
      </c>
      <c r="P81" s="103">
        <f t="shared" si="45"/>
        <v>43496</v>
      </c>
    </row>
    <row r="82" spans="1:16" s="5" customFormat="1" ht="17.100000000000001" customHeight="1">
      <c r="A82" s="104">
        <f t="shared" si="48"/>
        <v>19</v>
      </c>
      <c r="B82" s="567" t="str">
        <f t="shared" si="46"/>
        <v>Tháng 02/2019</v>
      </c>
      <c r="C82" s="567"/>
      <c r="D82" s="568" t="str">
        <f t="shared" si="47"/>
        <v>SX+LD cốt thép bệ móng + thân mô D ≤ 10 trên cạn</v>
      </c>
      <c r="E82" s="568"/>
      <c r="F82" s="568"/>
      <c r="G82" s="568"/>
      <c r="H82" s="569">
        <f t="shared" si="43"/>
        <v>0</v>
      </c>
      <c r="I82" s="569"/>
      <c r="J82" s="567"/>
      <c r="K82" s="570"/>
      <c r="L82">
        <v>2</v>
      </c>
      <c r="M82" s="101">
        <v>2019</v>
      </c>
      <c r="N82"/>
      <c r="O82" s="103">
        <f t="shared" si="44"/>
        <v>43497</v>
      </c>
      <c r="P82" s="103">
        <f t="shared" si="45"/>
        <v>43524</v>
      </c>
    </row>
    <row r="83" spans="1:16" s="5" customFormat="1" ht="17.100000000000001" customHeight="1">
      <c r="A83" s="104">
        <f t="shared" si="48"/>
        <v>20</v>
      </c>
      <c r="B83" s="567" t="str">
        <f t="shared" si="46"/>
        <v>Tháng 03/2019</v>
      </c>
      <c r="C83" s="567"/>
      <c r="D83" s="568" t="str">
        <f t="shared" si="47"/>
        <v>SX+LD cốt thép bệ móng + thân mô D ≤ 10 trên cạn</v>
      </c>
      <c r="E83" s="568"/>
      <c r="F83" s="568"/>
      <c r="G83" s="568"/>
      <c r="H83" s="569">
        <f t="shared" si="43"/>
        <v>0</v>
      </c>
      <c r="I83" s="569"/>
      <c r="J83" s="567"/>
      <c r="K83" s="570"/>
      <c r="L83">
        <v>3</v>
      </c>
      <c r="M83" s="101">
        <v>2019</v>
      </c>
      <c r="N83"/>
      <c r="O83" s="103">
        <f t="shared" si="44"/>
        <v>43525</v>
      </c>
      <c r="P83" s="103">
        <f t="shared" si="45"/>
        <v>43555</v>
      </c>
    </row>
    <row r="84" spans="1:16" s="5" customFormat="1" ht="17.100000000000001" customHeight="1">
      <c r="A84" s="104">
        <f t="shared" si="48"/>
        <v>21</v>
      </c>
      <c r="B84" s="567" t="str">
        <f t="shared" si="46"/>
        <v>Tháng 04/2019</v>
      </c>
      <c r="C84" s="567"/>
      <c r="D84" s="568" t="str">
        <f t="shared" si="47"/>
        <v>SX+LD cốt thép bệ móng + thân mô D ≤ 10 trên cạn</v>
      </c>
      <c r="E84" s="568"/>
      <c r="F84" s="568"/>
      <c r="G84" s="568"/>
      <c r="H84" s="569">
        <f t="shared" si="43"/>
        <v>0</v>
      </c>
      <c r="I84" s="569"/>
      <c r="J84" s="567"/>
      <c r="K84" s="570"/>
      <c r="L84">
        <v>4</v>
      </c>
      <c r="M84" s="101">
        <v>2019</v>
      </c>
      <c r="N84"/>
      <c r="O84" s="103">
        <f t="shared" si="44"/>
        <v>43556</v>
      </c>
      <c r="P84" s="103">
        <f t="shared" si="45"/>
        <v>43585</v>
      </c>
    </row>
    <row r="85" spans="1:16" s="5" customFormat="1" ht="17.100000000000001" customHeight="1">
      <c r="A85" s="104">
        <f t="shared" si="48"/>
        <v>22</v>
      </c>
      <c r="B85" s="567" t="str">
        <f t="shared" si="46"/>
        <v>Tháng 05/2019</v>
      </c>
      <c r="C85" s="567"/>
      <c r="D85" s="568" t="str">
        <f t="shared" si="47"/>
        <v>SX+LD cốt thép bệ móng + thân mô D ≤ 10 trên cạn</v>
      </c>
      <c r="E85" s="568"/>
      <c r="F85" s="568"/>
      <c r="G85" s="568"/>
      <c r="H85" s="569">
        <f t="shared" si="43"/>
        <v>0</v>
      </c>
      <c r="I85" s="569"/>
      <c r="J85" s="567"/>
      <c r="K85" s="570"/>
      <c r="L85">
        <v>5</v>
      </c>
      <c r="M85" s="101">
        <v>2019</v>
      </c>
      <c r="N85"/>
      <c r="O85" s="103">
        <f t="shared" si="44"/>
        <v>43586</v>
      </c>
      <c r="P85" s="103">
        <f t="shared" si="45"/>
        <v>43616</v>
      </c>
    </row>
    <row r="86" spans="1:16" s="5" customFormat="1" ht="17.100000000000001" customHeight="1">
      <c r="A86" s="104">
        <f t="shared" si="48"/>
        <v>23</v>
      </c>
      <c r="B86" s="567" t="str">
        <f t="shared" si="46"/>
        <v>Tháng 06/2019</v>
      </c>
      <c r="C86" s="567"/>
      <c r="D86" s="568" t="str">
        <f t="shared" si="47"/>
        <v>SX+LD cốt thép bệ móng + thân mô D ≤ 10 trên cạn</v>
      </c>
      <c r="E86" s="568"/>
      <c r="F86" s="568"/>
      <c r="G86" s="568"/>
      <c r="H86" s="569">
        <f t="shared" si="43"/>
        <v>0</v>
      </c>
      <c r="I86" s="569"/>
      <c r="J86" s="567"/>
      <c r="K86" s="570"/>
      <c r="L86">
        <v>6</v>
      </c>
      <c r="M86" s="101">
        <v>2019</v>
      </c>
      <c r="N86"/>
      <c r="O86" s="103">
        <f t="shared" si="44"/>
        <v>43617</v>
      </c>
      <c r="P86" s="103">
        <f t="shared" si="45"/>
        <v>43646</v>
      </c>
    </row>
    <row r="87" spans="1:16" s="5" customFormat="1" ht="17.100000000000001" customHeight="1">
      <c r="A87" s="104">
        <f t="shared" si="48"/>
        <v>24</v>
      </c>
      <c r="B87" s="567" t="str">
        <f t="shared" si="46"/>
        <v>Tháng 07/2019</v>
      </c>
      <c r="C87" s="567"/>
      <c r="D87" s="568" t="str">
        <f t="shared" si="47"/>
        <v>SX+LD cốt thép bệ móng + thân mô D ≤ 10 trên cạn</v>
      </c>
      <c r="E87" s="568"/>
      <c r="F87" s="568"/>
      <c r="G87" s="568"/>
      <c r="H87" s="569">
        <f t="shared" si="43"/>
        <v>0</v>
      </c>
      <c r="I87" s="569"/>
      <c r="J87" s="567"/>
      <c r="K87" s="570"/>
      <c r="L87">
        <v>7</v>
      </c>
      <c r="M87" s="101">
        <v>2019</v>
      </c>
      <c r="N87"/>
      <c r="O87" s="103">
        <f t="shared" si="44"/>
        <v>43647</v>
      </c>
      <c r="P87" s="103">
        <f t="shared" si="45"/>
        <v>43677</v>
      </c>
    </row>
    <row r="88" spans="1:16" s="5" customFormat="1" ht="17.100000000000001" customHeight="1">
      <c r="A88" s="104">
        <f t="shared" si="48"/>
        <v>25</v>
      </c>
      <c r="B88" s="567" t="str">
        <f t="shared" si="46"/>
        <v>Tháng 08/2019</v>
      </c>
      <c r="C88" s="567"/>
      <c r="D88" s="568" t="str">
        <f t="shared" si="47"/>
        <v>SX+LD cốt thép bệ móng + thân mô D ≤ 10 trên cạn</v>
      </c>
      <c r="E88" s="568"/>
      <c r="F88" s="568"/>
      <c r="G88" s="568"/>
      <c r="H88" s="569">
        <f>+SUMIFS($I$12:$I$59,$B$12:$B$59,"&gt;="&amp;$O88,$B$12:$B$59,"&lt;="&amp;$P88)</f>
        <v>0</v>
      </c>
      <c r="I88" s="569"/>
      <c r="J88" s="567"/>
      <c r="K88" s="570"/>
      <c r="L88">
        <v>8</v>
      </c>
      <c r="M88" s="101">
        <v>2019</v>
      </c>
      <c r="N88"/>
      <c r="O88" s="103">
        <f t="shared" si="44"/>
        <v>43678</v>
      </c>
      <c r="P88" s="103">
        <f t="shared" si="45"/>
        <v>43708</v>
      </c>
    </row>
    <row r="89" spans="1:16" s="5" customFormat="1" ht="17.100000000000001" customHeight="1">
      <c r="A89" s="104">
        <f t="shared" si="48"/>
        <v>26</v>
      </c>
      <c r="B89" s="616" t="str">
        <f t="shared" si="46"/>
        <v>Tháng 09/2019</v>
      </c>
      <c r="C89" s="616"/>
      <c r="D89" s="652" t="str">
        <f>D87</f>
        <v>SX+LD cốt thép bệ móng + thân mô D ≤ 10 trên cạn</v>
      </c>
      <c r="E89" s="652"/>
      <c r="F89" s="652"/>
      <c r="G89" s="652"/>
      <c r="H89" s="615">
        <f>+SUMIFS($I$12:$I$59,$B$12:$B$59,"&gt;="&amp;$O89,$B$12:$B$59,"&lt;="&amp;$P89)</f>
        <v>0</v>
      </c>
      <c r="I89" s="615"/>
      <c r="J89" s="616"/>
      <c r="K89" s="617"/>
      <c r="L89">
        <v>9</v>
      </c>
      <c r="M89" s="101">
        <v>2019</v>
      </c>
      <c r="N89"/>
      <c r="O89" s="103">
        <f>DATE(M89,L89,1)</f>
        <v>43709</v>
      </c>
      <c r="P89" s="103">
        <f>DATE(M89,L89+1,0)</f>
        <v>43738</v>
      </c>
    </row>
    <row r="90" spans="1:16" s="5" customFormat="1" ht="21.6" customHeight="1" thickBot="1">
      <c r="A90" s="618" t="s">
        <v>86</v>
      </c>
      <c r="B90" s="619"/>
      <c r="C90" s="619"/>
      <c r="D90" s="619"/>
      <c r="E90" s="619"/>
      <c r="F90" s="619"/>
      <c r="G90" s="620"/>
      <c r="H90" s="621">
        <f t="shared" ref="H90" si="49">SUM(H64:I89)</f>
        <v>2.0806312</v>
      </c>
      <c r="I90" s="622"/>
      <c r="J90" s="621"/>
      <c r="K90" s="622"/>
      <c r="L90"/>
      <c r="M90"/>
      <c r="N90"/>
      <c r="O90"/>
      <c r="P90"/>
    </row>
    <row r="91" spans="1:16" s="5" customFormat="1" ht="18" customHeight="1" thickTop="1" thickBot="1">
      <c r="A91" s="105"/>
      <c r="B91" s="105"/>
      <c r="C91" s="105"/>
      <c r="D91" s="105"/>
      <c r="E91" s="105"/>
      <c r="F91" s="105"/>
      <c r="G91" s="105"/>
      <c r="H91" s="105"/>
      <c r="I91" s="105"/>
      <c r="J91" s="105"/>
      <c r="K91" s="105"/>
      <c r="L91" s="4"/>
      <c r="M91" s="4"/>
      <c r="N91" s="4"/>
      <c r="O91" s="4"/>
      <c r="P91" s="20"/>
    </row>
    <row r="92" spans="1:16" s="5" customFormat="1" ht="13.9" customHeight="1" thickTop="1">
      <c r="A92" s="647" t="s">
        <v>68</v>
      </c>
      <c r="B92" s="648"/>
      <c r="C92" s="648"/>
      <c r="D92" s="648"/>
      <c r="E92" s="648"/>
      <c r="F92" s="649" t="s">
        <v>69</v>
      </c>
      <c r="G92" s="649"/>
      <c r="H92" s="649"/>
      <c r="I92" s="650"/>
      <c r="J92" s="650"/>
      <c r="K92" s="651"/>
      <c r="L92" s="4"/>
      <c r="M92" s="4"/>
      <c r="N92" s="4"/>
      <c r="O92" s="4"/>
      <c r="P92" s="4"/>
    </row>
    <row r="93" spans="1:16" s="5" customFormat="1" ht="13.9" customHeight="1">
      <c r="A93" s="583" t="s">
        <v>5</v>
      </c>
      <c r="B93" s="584"/>
      <c r="C93" s="584"/>
      <c r="D93" s="584"/>
      <c r="E93" s="584"/>
      <c r="F93" s="585" t="s">
        <v>6</v>
      </c>
      <c r="G93" s="585"/>
      <c r="H93" s="585"/>
      <c r="I93" s="586"/>
      <c r="J93" s="586"/>
      <c r="K93" s="587"/>
      <c r="L93" s="4"/>
      <c r="M93" s="4"/>
      <c r="N93" s="4"/>
      <c r="O93" s="4"/>
      <c r="P93" s="4"/>
    </row>
    <row r="94" spans="1:16" s="5" customFormat="1" ht="13.9" customHeight="1">
      <c r="A94" s="583" t="s">
        <v>836</v>
      </c>
      <c r="B94" s="584"/>
      <c r="C94" s="584"/>
      <c r="D94" s="584"/>
      <c r="E94" s="584"/>
      <c r="F94" s="590" t="s">
        <v>837</v>
      </c>
      <c r="G94" s="590"/>
      <c r="H94" s="590"/>
      <c r="I94" s="591"/>
      <c r="J94" s="591"/>
      <c r="K94" s="592"/>
      <c r="L94" s="4"/>
      <c r="M94" s="4"/>
      <c r="N94" s="4"/>
      <c r="O94" s="4"/>
      <c r="P94" s="4"/>
    </row>
    <row r="95" spans="1:16" s="5" customFormat="1" ht="13.9" customHeight="1">
      <c r="A95" s="583"/>
      <c r="B95" s="584"/>
      <c r="C95" s="584"/>
      <c r="D95" s="584"/>
      <c r="E95" s="584"/>
      <c r="F95" s="590"/>
      <c r="G95" s="590"/>
      <c r="H95" s="590"/>
      <c r="I95" s="591"/>
      <c r="J95" s="591"/>
      <c r="K95" s="592"/>
      <c r="L95" s="4"/>
      <c r="M95" s="4"/>
      <c r="N95" s="4"/>
      <c r="O95" s="4"/>
      <c r="P95" s="4"/>
    </row>
    <row r="96" spans="1:16" s="5" customFormat="1" ht="13.9" customHeight="1">
      <c r="A96" s="583"/>
      <c r="B96" s="584"/>
      <c r="C96" s="584"/>
      <c r="D96" s="584"/>
      <c r="E96" s="584"/>
      <c r="F96" s="590"/>
      <c r="G96" s="590"/>
      <c r="H96" s="590"/>
      <c r="I96" s="591"/>
      <c r="J96" s="591"/>
      <c r="K96" s="592"/>
      <c r="L96" s="4"/>
      <c r="M96" s="4"/>
      <c r="N96" s="4"/>
      <c r="O96" s="4"/>
      <c r="P96" s="4"/>
    </row>
    <row r="97" spans="1:20" s="5" customFormat="1" ht="13.9" customHeight="1">
      <c r="A97" s="583"/>
      <c r="B97" s="584"/>
      <c r="C97" s="584"/>
      <c r="D97" s="584"/>
      <c r="E97" s="584"/>
      <c r="F97" s="590"/>
      <c r="G97" s="590"/>
      <c r="H97" s="590"/>
      <c r="I97" s="591"/>
      <c r="J97" s="591"/>
      <c r="K97" s="592"/>
      <c r="L97" s="4"/>
      <c r="M97" s="4"/>
      <c r="N97" s="4"/>
      <c r="O97" s="4"/>
      <c r="P97" s="4"/>
    </row>
    <row r="98" spans="1:20" s="5" customFormat="1" ht="13.9" customHeight="1">
      <c r="A98" s="583"/>
      <c r="B98" s="584"/>
      <c r="C98" s="584"/>
      <c r="D98" s="584"/>
      <c r="E98" s="584"/>
      <c r="F98" s="590"/>
      <c r="G98" s="590"/>
      <c r="H98" s="590"/>
      <c r="I98" s="591"/>
      <c r="J98" s="591"/>
      <c r="K98" s="592"/>
      <c r="L98" s="4"/>
      <c r="M98" s="4"/>
      <c r="N98" s="4"/>
      <c r="O98" s="4"/>
      <c r="P98" s="4"/>
    </row>
    <row r="99" spans="1:20" s="5" customFormat="1" ht="13.9" customHeight="1">
      <c r="A99" s="583"/>
      <c r="B99" s="584"/>
      <c r="C99" s="584"/>
      <c r="D99" s="584"/>
      <c r="E99" s="584"/>
      <c r="F99" s="590"/>
      <c r="G99" s="590"/>
      <c r="H99" s="590"/>
      <c r="I99" s="591"/>
      <c r="J99" s="591"/>
      <c r="K99" s="592"/>
      <c r="L99" s="4"/>
      <c r="M99" s="4"/>
      <c r="N99" s="4"/>
      <c r="O99" s="4"/>
      <c r="P99" s="4"/>
    </row>
    <row r="100" spans="1:20" s="5" customFormat="1" ht="13.9" customHeight="1" thickBot="1">
      <c r="A100" s="588"/>
      <c r="B100" s="589"/>
      <c r="C100" s="589"/>
      <c r="D100" s="589"/>
      <c r="E100" s="589"/>
      <c r="F100" s="593"/>
      <c r="G100" s="593"/>
      <c r="H100" s="593"/>
      <c r="I100" s="594"/>
      <c r="J100" s="594"/>
      <c r="K100" s="595"/>
      <c r="L100" s="4"/>
      <c r="M100" s="4"/>
      <c r="N100" s="4"/>
      <c r="O100" s="4"/>
      <c r="P100" s="4"/>
    </row>
    <row r="101" spans="1:20" s="5" customFormat="1" ht="15.75" thickTop="1">
      <c r="A101" s="4"/>
      <c r="B101" s="12"/>
      <c r="C101" s="10"/>
      <c r="D101" s="10"/>
      <c r="E101" s="10"/>
      <c r="F101" s="13"/>
      <c r="G101" s="13"/>
      <c r="H101" s="13"/>
      <c r="I101" s="13"/>
      <c r="J101" s="13"/>
      <c r="K101" s="4"/>
      <c r="L101" s="4"/>
      <c r="M101" s="4"/>
      <c r="N101" s="4"/>
      <c r="O101" s="4"/>
      <c r="P101" s="4"/>
      <c r="R101" s="4"/>
      <c r="S101" s="4"/>
      <c r="T101" s="4"/>
    </row>
  </sheetData>
  <mergeCells count="175">
    <mergeCell ref="B86:C86"/>
    <mergeCell ref="D86:G86"/>
    <mergeCell ref="H86:I86"/>
    <mergeCell ref="J86:K86"/>
    <mergeCell ref="B87:C87"/>
    <mergeCell ref="D87:G87"/>
    <mergeCell ref="H87:I87"/>
    <mergeCell ref="J87:K87"/>
    <mergeCell ref="B84:C84"/>
    <mergeCell ref="D84:G84"/>
    <mergeCell ref="H84:I84"/>
    <mergeCell ref="J84:K84"/>
    <mergeCell ref="B85:C85"/>
    <mergeCell ref="D85:G85"/>
    <mergeCell ref="H85:I85"/>
    <mergeCell ref="J85:K85"/>
    <mergeCell ref="A94:E100"/>
    <mergeCell ref="F94:K100"/>
    <mergeCell ref="B88:C88"/>
    <mergeCell ref="D88:G88"/>
    <mergeCell ref="H88:I88"/>
    <mergeCell ref="J88:K88"/>
    <mergeCell ref="A90:G90"/>
    <mergeCell ref="H90:I90"/>
    <mergeCell ref="J90:K90"/>
    <mergeCell ref="B89:C89"/>
    <mergeCell ref="D89:G89"/>
    <mergeCell ref="H89:I89"/>
    <mergeCell ref="J89:K89"/>
    <mergeCell ref="A92:E92"/>
    <mergeCell ref="F92:K92"/>
    <mergeCell ref="A93:E93"/>
    <mergeCell ref="F93:K93"/>
    <mergeCell ref="B82:C82"/>
    <mergeCell ref="D82:G82"/>
    <mergeCell ref="H82:I82"/>
    <mergeCell ref="J82:K82"/>
    <mergeCell ref="B83:C83"/>
    <mergeCell ref="D83:G83"/>
    <mergeCell ref="H83:I83"/>
    <mergeCell ref="J83:K83"/>
    <mergeCell ref="B80:C80"/>
    <mergeCell ref="D80:G80"/>
    <mergeCell ref="H80:I80"/>
    <mergeCell ref="J80:K80"/>
    <mergeCell ref="B81:C81"/>
    <mergeCell ref="D81:G81"/>
    <mergeCell ref="H81:I81"/>
    <mergeCell ref="J81:K81"/>
    <mergeCell ref="B78:C78"/>
    <mergeCell ref="D78:G78"/>
    <mergeCell ref="H78:I78"/>
    <mergeCell ref="J78:K78"/>
    <mergeCell ref="B79:C79"/>
    <mergeCell ref="D79:G79"/>
    <mergeCell ref="H79:I79"/>
    <mergeCell ref="J79:K79"/>
    <mergeCell ref="B76:C76"/>
    <mergeCell ref="D76:G76"/>
    <mergeCell ref="H76:I76"/>
    <mergeCell ref="J76:K76"/>
    <mergeCell ref="B77:C77"/>
    <mergeCell ref="D77:G77"/>
    <mergeCell ref="H77:I77"/>
    <mergeCell ref="J77:K77"/>
    <mergeCell ref="B74:C74"/>
    <mergeCell ref="D74:G74"/>
    <mergeCell ref="H74:I74"/>
    <mergeCell ref="J74:K74"/>
    <mergeCell ref="B75:C75"/>
    <mergeCell ref="D75:G75"/>
    <mergeCell ref="H75:I75"/>
    <mergeCell ref="J75:K75"/>
    <mergeCell ref="B72:C72"/>
    <mergeCell ref="D72:G72"/>
    <mergeCell ref="H72:I72"/>
    <mergeCell ref="J72:K72"/>
    <mergeCell ref="B73:C73"/>
    <mergeCell ref="D73:G73"/>
    <mergeCell ref="H73:I73"/>
    <mergeCell ref="J73:K73"/>
    <mergeCell ref="B70:C70"/>
    <mergeCell ref="D70:G70"/>
    <mergeCell ref="H70:I70"/>
    <mergeCell ref="J70:K70"/>
    <mergeCell ref="B71:C71"/>
    <mergeCell ref="D71:G71"/>
    <mergeCell ref="H71:I71"/>
    <mergeCell ref="J71:K71"/>
    <mergeCell ref="B68:C68"/>
    <mergeCell ref="D68:G68"/>
    <mergeCell ref="H68:I68"/>
    <mergeCell ref="J68:K68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A57:K57"/>
    <mergeCell ref="A60:D60"/>
    <mergeCell ref="A62:A63"/>
    <mergeCell ref="B62:C63"/>
    <mergeCell ref="D62:G63"/>
    <mergeCell ref="H62:I63"/>
    <mergeCell ref="J62:K63"/>
    <mergeCell ref="A45:E51"/>
    <mergeCell ref="F45:K51"/>
    <mergeCell ref="A53:K53"/>
    <mergeCell ref="A54:K54"/>
    <mergeCell ref="A55:K55"/>
    <mergeCell ref="A56:K56"/>
    <mergeCell ref="C40:E40"/>
    <mergeCell ref="A41:E41"/>
    <mergeCell ref="A43:E43"/>
    <mergeCell ref="F43:K43"/>
    <mergeCell ref="A44:E44"/>
    <mergeCell ref="F44:K44"/>
    <mergeCell ref="C38:E38"/>
    <mergeCell ref="K38:K39"/>
    <mergeCell ref="C39:E39"/>
    <mergeCell ref="C37:E37"/>
    <mergeCell ref="C14:E14"/>
    <mergeCell ref="C15:E15"/>
    <mergeCell ref="C16:E16"/>
    <mergeCell ref="C17:E17"/>
    <mergeCell ref="C13:E13"/>
    <mergeCell ref="C18:E18"/>
    <mergeCell ref="C31:E31"/>
    <mergeCell ref="C28:E28"/>
    <mergeCell ref="C29:E29"/>
    <mergeCell ref="C19:E19"/>
    <mergeCell ref="C20:E20"/>
    <mergeCell ref="C21:E21"/>
    <mergeCell ref="C22:E22"/>
    <mergeCell ref="C23:E23"/>
    <mergeCell ref="C24:E24"/>
    <mergeCell ref="C25:E25"/>
    <mergeCell ref="C12:E12"/>
    <mergeCell ref="K12:K36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I9:I11"/>
    <mergeCell ref="J9:J11"/>
    <mergeCell ref="K9:K11"/>
    <mergeCell ref="C32:E32"/>
    <mergeCell ref="C33:E33"/>
    <mergeCell ref="C34:E34"/>
    <mergeCell ref="C35:E35"/>
    <mergeCell ref="C36:E36"/>
    <mergeCell ref="C26:E26"/>
    <mergeCell ref="C27:E27"/>
    <mergeCell ref="C30:E30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52" max="10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>
    <tabColor rgb="FFFFFF00"/>
  </sheetPr>
  <dimension ref="A1:T103"/>
  <sheetViews>
    <sheetView topLeftCell="A31" zoomScaleSheetLayoutView="100" workbookViewId="0">
      <selection activeCell="F41" sqref="F41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C.II.1.1.6. SX+LD cốt thép bệ móng + thân mô D ≤ 18 trên cạn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363</v>
      </c>
      <c r="N6" s="245" t="str">
        <f>THKLQT!C106</f>
        <v>SX+LD cốt thép bệ móng + thân mô D ≤ 18 trên cạn</v>
      </c>
      <c r="Q6" s="17"/>
    </row>
    <row r="7" spans="1:20" s="178" customFormat="1" ht="18.75" customHeight="1">
      <c r="A7" s="634">
        <f>I43</f>
        <v>53.91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THKLQT!D106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 t="shared" ref="B12:B33" si="0">Q12</f>
        <v>43358</v>
      </c>
      <c r="C12" s="571" t="str">
        <f t="shared" ref="C12:C33" si="1">T12</f>
        <v>SX+LD cốt thép bệ móng + thân mô D ≤ 18 trên cạn ,bệ móng A1L</v>
      </c>
      <c r="D12" s="572"/>
      <c r="E12" s="573"/>
      <c r="F12" s="383">
        <f>(SUM('[4]THKL MO M1L'!$I$5:$I$14)-'[4]THKL MO M1L'!$I$5-'[4]THKL MO M1L'!$I$7)/1000</f>
        <v>4.4666511999999994</v>
      </c>
      <c r="G12" s="385">
        <f>(SUM('[4]THKL MO M1L'!$I$5:$I$14)-'[4]THKL MO M1L'!$I$5-'[4]THKL MO M1L'!$I$7)/1000</f>
        <v>4.4666511999999994</v>
      </c>
      <c r="H12" s="297">
        <f>MIN(F12:G12)</f>
        <v>4.4666511999999994</v>
      </c>
      <c r="I12" s="107">
        <f>H12</f>
        <v>4.4666511999999994</v>
      </c>
      <c r="J12" s="107">
        <f t="shared" ref="J12:J33" si="2">P12</f>
        <v>6.4218900000000003</v>
      </c>
      <c r="K12" s="603" t="s">
        <v>686</v>
      </c>
      <c r="N12" s="118"/>
      <c r="O12" s="118" t="s">
        <v>367</v>
      </c>
      <c r="P12" s="88">
        <f>6421.89/1000</f>
        <v>6.4218900000000003</v>
      </c>
      <c r="Q12" s="89">
        <v>43358</v>
      </c>
      <c r="R12" s="88"/>
      <c r="S12" s="88" t="e">
        <f t="shared" ref="S12:S16" si="3">VLOOKUP($S$11,hamchuigoi3,M12,0)</f>
        <v>#VALUE!</v>
      </c>
      <c r="T12" s="3" t="str">
        <f t="shared" ref="T12:T15" si="4">$N$6&amp;" "&amp;O12</f>
        <v>SX+LD cốt thép bệ móng + thân mô D ≤ 18 trên cạn ,bệ móng A1L</v>
      </c>
    </row>
    <row r="13" spans="1:20" ht="27.75" customHeight="1" outlineLevel="2">
      <c r="A13" s="81">
        <f>SUBTOTAL(103,$B$12:B13)</f>
        <v>2</v>
      </c>
      <c r="B13" s="78">
        <f t="shared" si="0"/>
        <v>43372</v>
      </c>
      <c r="C13" s="571" t="str">
        <f t="shared" si="1"/>
        <v>SX+LD cốt thép bệ móng + thân mô D ≤ 18 trên cạn ,bệ móng A1R</v>
      </c>
      <c r="D13" s="572"/>
      <c r="E13" s="573"/>
      <c r="F13" s="383">
        <f>(SUM('[4]THKL MO M1R'!$I$5:$I$14)-'[4]THKL MO M1R'!$I$5-'[4]THKL MO M1R'!$I$7)/1000</f>
        <v>4.4497511999999997</v>
      </c>
      <c r="G13" s="385">
        <f>(SUM('[4]THKL MO M1R'!$I$5:$I$14)-'[4]THKL MO M1R'!$I$5-'[4]THKL MO M1R'!$I$7)/1000</f>
        <v>4.4497511999999997</v>
      </c>
      <c r="H13" s="297">
        <f t="shared" ref="H13:H15" si="5">MIN(F13:G13)</f>
        <v>4.4497511999999997</v>
      </c>
      <c r="I13" s="107">
        <f t="shared" ref="I13:I15" si="6">H13</f>
        <v>4.4497511999999997</v>
      </c>
      <c r="J13" s="107">
        <f t="shared" si="2"/>
        <v>6.47987</v>
      </c>
      <c r="K13" s="604"/>
      <c r="N13" s="118"/>
      <c r="O13" s="118" t="s">
        <v>366</v>
      </c>
      <c r="P13" s="88">
        <f>6479.87/1000</f>
        <v>6.47987</v>
      </c>
      <c r="Q13" s="89">
        <v>43372</v>
      </c>
      <c r="R13" s="88"/>
      <c r="S13" s="88" t="e">
        <f t="shared" si="3"/>
        <v>#VALUE!</v>
      </c>
      <c r="T13" s="3" t="str">
        <f t="shared" si="4"/>
        <v>SX+LD cốt thép bệ móng + thân mô D ≤ 18 trên cạn ,bệ móng A1R</v>
      </c>
    </row>
    <row r="14" spans="1:20" ht="27.75" customHeight="1" outlineLevel="2">
      <c r="A14" s="81">
        <f>SUBTOTAL(103,$B$12:B14)</f>
        <v>3</v>
      </c>
      <c r="B14" s="78">
        <f t="shared" si="0"/>
        <v>43330</v>
      </c>
      <c r="C14" s="571" t="str">
        <f t="shared" si="1"/>
        <v>SX+LD cốt thép bệ móng + thân mô D ≤ 18 trên cạn ,bệ móng A2L</v>
      </c>
      <c r="D14" s="572"/>
      <c r="E14" s="573"/>
      <c r="F14" s="383">
        <f>(SUM('[4]THKL MO M2L'!$I$5:$I$14)-'[4]THKL MO M2L'!$I$5-'[4]THKL MO M2L'!$I$7)/1000</f>
        <v>5.9861774600000004</v>
      </c>
      <c r="G14" s="385">
        <f>(SUM('[4]THKL MO M2L'!$I$5:$I$14)-'[4]THKL MO M2L'!$I$5-'[4]THKL MO M2L'!$I$7)/1000</f>
        <v>5.9861774600000004</v>
      </c>
      <c r="H14" s="297">
        <f t="shared" si="5"/>
        <v>5.9861774600000004</v>
      </c>
      <c r="I14" s="107">
        <f t="shared" si="6"/>
        <v>5.9861774600000004</v>
      </c>
      <c r="J14" s="107">
        <f t="shared" si="2"/>
        <v>5.9861800000000001</v>
      </c>
      <c r="K14" s="604"/>
      <c r="N14" s="118"/>
      <c r="O14" s="118" t="s">
        <v>365</v>
      </c>
      <c r="P14" s="88">
        <f>5986.18/1000</f>
        <v>5.9861800000000001</v>
      </c>
      <c r="Q14" s="89">
        <v>43330</v>
      </c>
      <c r="R14" s="88"/>
      <c r="S14" s="88" t="e">
        <f t="shared" si="3"/>
        <v>#VALUE!</v>
      </c>
      <c r="T14" s="3" t="str">
        <f t="shared" si="4"/>
        <v>SX+LD cốt thép bệ móng + thân mô D ≤ 18 trên cạn ,bệ móng A2L</v>
      </c>
    </row>
    <row r="15" spans="1:20" ht="27.75" customHeight="1" outlineLevel="2">
      <c r="A15" s="81">
        <f>SUBTOTAL(103,$B$12:B15)</f>
        <v>4</v>
      </c>
      <c r="B15" s="78">
        <f t="shared" si="0"/>
        <v>43332</v>
      </c>
      <c r="C15" s="571" t="str">
        <f t="shared" si="1"/>
        <v>SX+LD cốt thép bệ móng + thân mô D ≤ 18 trên cạn ,bệ móng A2R</v>
      </c>
      <c r="D15" s="572"/>
      <c r="E15" s="573"/>
      <c r="F15" s="383">
        <f>(SUM('[4]THKL MO M2R'!$I$5:$I$14)-'[4]THKL MO M2R'!$I$5-'[4]THKL MO M2R'!$I$7)/1000</f>
        <v>5.9861774600000013</v>
      </c>
      <c r="G15" s="385">
        <f>(SUM('[4]THKL MO M2R'!$I$5:$I$14)-'[4]THKL MO M2R'!$I$5-'[4]THKL MO M2R'!$I$7)/1000</f>
        <v>5.9861774600000013</v>
      </c>
      <c r="H15" s="297">
        <f t="shared" si="5"/>
        <v>5.9861774600000013</v>
      </c>
      <c r="I15" s="107">
        <f t="shared" si="6"/>
        <v>5.9861774600000013</v>
      </c>
      <c r="J15" s="107">
        <f t="shared" si="2"/>
        <v>8.9633599999999998</v>
      </c>
      <c r="K15" s="604"/>
      <c r="N15" s="118"/>
      <c r="O15" s="118" t="s">
        <v>368</v>
      </c>
      <c r="P15" s="88">
        <f>8963.36/1000</f>
        <v>8.9633599999999998</v>
      </c>
      <c r="Q15" s="89">
        <v>43332</v>
      </c>
      <c r="R15" s="88"/>
      <c r="S15" s="88" t="e">
        <f t="shared" si="3"/>
        <v>#VALUE!</v>
      </c>
      <c r="T15" s="3" t="str">
        <f t="shared" si="4"/>
        <v>SX+LD cốt thép bệ móng + thân mô D ≤ 18 trên cạn ,bệ móng A2R</v>
      </c>
    </row>
    <row r="16" spans="1:20" ht="27.75" customHeight="1" outlineLevel="2">
      <c r="A16" s="81">
        <f>SUBTOTAL(103,$B$12:B16)</f>
        <v>5</v>
      </c>
      <c r="B16" s="78">
        <f t="shared" si="0"/>
        <v>43330</v>
      </c>
      <c r="C16" s="571" t="str">
        <f t="shared" si="1"/>
        <v>SX+LD cốt thép bệ móng + thân mô D ≤ 18 trên cạn ,thân A1L chờ ở bệ</v>
      </c>
      <c r="D16" s="572"/>
      <c r="E16" s="573"/>
      <c r="F16" s="383">
        <f>[3]A1L!$O$198/1000</f>
        <v>1.9551710000000002</v>
      </c>
      <c r="G16" s="385">
        <f>1955.17/1000</f>
        <v>1.9551700000000001</v>
      </c>
      <c r="H16" s="297">
        <f t="shared" ref="H16:H33" si="7">MIN(F16:G16)</f>
        <v>1.9551700000000001</v>
      </c>
      <c r="I16" s="107">
        <f t="shared" ref="I16:I40" si="8">H16</f>
        <v>1.9551700000000001</v>
      </c>
      <c r="J16" s="107">
        <f t="shared" si="2"/>
        <v>0</v>
      </c>
      <c r="K16" s="604"/>
      <c r="N16" s="118"/>
      <c r="O16" s="118" t="str">
        <f>'C.II.1.1.5'!O12</f>
        <v>,thân A1L chờ ở bệ</v>
      </c>
      <c r="P16" s="90">
        <f>'C.II.1.1.5'!P12</f>
        <v>0</v>
      </c>
      <c r="Q16" s="89">
        <f>'C.II.1.1.5'!Q12</f>
        <v>43330</v>
      </c>
      <c r="R16" s="88"/>
      <c r="S16" s="88" t="e">
        <f t="shared" si="3"/>
        <v>#VALUE!</v>
      </c>
      <c r="T16" s="3" t="str">
        <f t="shared" ref="T16" si="9">$N$6&amp;" "&amp;O16</f>
        <v>SX+LD cốt thép bệ móng + thân mô D ≤ 18 trên cạn ,thân A1L chờ ở bệ</v>
      </c>
    </row>
    <row r="17" spans="1:20" s="430" customFormat="1" ht="27.75" customHeight="1" outlineLevel="2">
      <c r="A17" s="424">
        <f>SUBTOTAL(103,$B$12:B17)</f>
        <v>6</v>
      </c>
      <c r="B17" s="425">
        <f t="shared" si="0"/>
        <v>43338</v>
      </c>
      <c r="C17" s="706" t="str">
        <f t="shared" si="1"/>
        <v>SX+LD cốt thép bệ móng + thân mô D ≤ 18 trên cạn ,thân A1L đợt 1</v>
      </c>
      <c r="D17" s="707"/>
      <c r="E17" s="708"/>
      <c r="F17" s="426">
        <f>[3]A1L!$O$202/1000</f>
        <v>0.85739947999999999</v>
      </c>
      <c r="G17" s="427">
        <f>857.4/1000</f>
        <v>0.85739999999999994</v>
      </c>
      <c r="H17" s="435">
        <f t="shared" si="7"/>
        <v>0.85739947999999999</v>
      </c>
      <c r="I17" s="429">
        <f t="shared" si="8"/>
        <v>0.85739947999999999</v>
      </c>
      <c r="J17" s="429">
        <f t="shared" si="2"/>
        <v>0</v>
      </c>
      <c r="K17" s="604"/>
      <c r="N17" s="431"/>
      <c r="O17" s="431" t="str">
        <f>'C.II.1.1.5'!O13</f>
        <v>,thân A1L đợt 1</v>
      </c>
      <c r="P17" s="437">
        <f>'C.II.1.1.5'!P13</f>
        <v>0</v>
      </c>
      <c r="Q17" s="433">
        <f>'C.II.1.1.5'!Q13</f>
        <v>43338</v>
      </c>
      <c r="R17" s="432"/>
      <c r="S17" s="432" t="e">
        <f t="shared" ref="S17" si="10">VLOOKUP($S$11,hamchuigoi3,M17,0)</f>
        <v>#VALUE!</v>
      </c>
      <c r="T17" s="434" t="str">
        <f t="shared" ref="T17" si="11">$N$6&amp;" "&amp;O17</f>
        <v>SX+LD cốt thép bệ móng + thân mô D ≤ 18 trên cạn ,thân A1L đợt 1</v>
      </c>
    </row>
    <row r="18" spans="1:20" s="438" customFormat="1" ht="27.75" customHeight="1" outlineLevel="2">
      <c r="A18" s="441">
        <f>SUBTOTAL(103,$B$12:B18)</f>
        <v>7</v>
      </c>
      <c r="B18" s="442">
        <f t="shared" si="0"/>
        <v>43346</v>
      </c>
      <c r="C18" s="714" t="str">
        <f t="shared" si="1"/>
        <v>SX+LD cốt thép bệ móng + thân mô D ≤ 18 trên cạn ,thân A1L đợt 2</v>
      </c>
      <c r="D18" s="715"/>
      <c r="E18" s="716"/>
      <c r="F18" s="443">
        <f>[3]A1L!$O$206/1000</f>
        <v>0.99853632000000003</v>
      </c>
      <c r="G18" s="444">
        <f>998.54/1000</f>
        <v>0.99853999999999998</v>
      </c>
      <c r="H18" s="445">
        <f t="shared" si="7"/>
        <v>0.99853632000000003</v>
      </c>
      <c r="I18" s="446">
        <f t="shared" si="8"/>
        <v>0.99853632000000003</v>
      </c>
      <c r="J18" s="446">
        <f t="shared" si="2"/>
        <v>0</v>
      </c>
      <c r="K18" s="604"/>
      <c r="N18" s="447"/>
      <c r="O18" s="447" t="str">
        <f>'C.II.1.1.5'!O14</f>
        <v>,thân A1L đợt 2</v>
      </c>
      <c r="P18" s="438">
        <f>'C.II.1.1.5'!P14</f>
        <v>0</v>
      </c>
      <c r="Q18" s="448">
        <f>'C.II.1.1.5'!Q14</f>
        <v>43346</v>
      </c>
      <c r="R18" s="448"/>
      <c r="S18" s="448" t="e">
        <f t="shared" ref="S18" si="12">VLOOKUP($S$11,hamchuigoi3,M18,0)</f>
        <v>#VALUE!</v>
      </c>
      <c r="T18" s="448" t="str">
        <f t="shared" ref="T18" si="13">$N$6&amp;" "&amp;O18</f>
        <v>SX+LD cốt thép bệ móng + thân mô D ≤ 18 trên cạn ,thân A1L đợt 2</v>
      </c>
    </row>
    <row r="19" spans="1:20" s="430" customFormat="1" ht="27.75" customHeight="1" outlineLevel="2">
      <c r="A19" s="424">
        <f>SUBTOTAL(103,$B$12:B19)</f>
        <v>8</v>
      </c>
      <c r="B19" s="425">
        <f t="shared" si="0"/>
        <v>43354</v>
      </c>
      <c r="C19" s="706" t="str">
        <f t="shared" si="1"/>
        <v>SX+LD cốt thép bệ móng + thân mô D ≤ 18 trên cạn ,thân A1L đợt 3</v>
      </c>
      <c r="D19" s="707"/>
      <c r="E19" s="708"/>
      <c r="F19" s="426">
        <f>[3]A1L!$O$210/1000</f>
        <v>0.90851618000000012</v>
      </c>
      <c r="G19" s="427">
        <f>908.52/1000</f>
        <v>0.90851999999999999</v>
      </c>
      <c r="H19" s="436">
        <f t="shared" si="7"/>
        <v>0.90851618000000012</v>
      </c>
      <c r="I19" s="429">
        <f t="shared" si="8"/>
        <v>0.90851618000000012</v>
      </c>
      <c r="J19" s="429">
        <f t="shared" si="2"/>
        <v>0</v>
      </c>
      <c r="K19" s="604"/>
      <c r="N19" s="431"/>
      <c r="O19" s="431" t="str">
        <f>'C.II.1.1.5'!O15</f>
        <v>,thân A1L đợt 3</v>
      </c>
      <c r="P19" s="437">
        <f>'C.II.1.1.5'!P15</f>
        <v>0</v>
      </c>
      <c r="Q19" s="433">
        <f>'C.II.1.1.5'!Q15</f>
        <v>43354</v>
      </c>
      <c r="R19" s="432"/>
      <c r="S19" s="432" t="e">
        <f t="shared" ref="S19" si="14">VLOOKUP($S$11,hamchuigoi3,M19,0)</f>
        <v>#VALUE!</v>
      </c>
      <c r="T19" s="434" t="str">
        <f t="shared" ref="T19" si="15">$N$6&amp;" "&amp;O19</f>
        <v>SX+LD cốt thép bệ móng + thân mô D ≤ 18 trên cạn ,thân A1L đợt 3</v>
      </c>
    </row>
    <row r="20" spans="1:20" s="438" customFormat="1" ht="27.75" customHeight="1" outlineLevel="2">
      <c r="A20" s="441">
        <f>SUBTOTAL(103,$B$12:B20)</f>
        <v>9</v>
      </c>
      <c r="B20" s="442">
        <f t="shared" si="0"/>
        <v>43362</v>
      </c>
      <c r="C20" s="714" t="str">
        <f t="shared" si="1"/>
        <v>SX+LD cốt thép bệ móng + thân mô D ≤ 18 trên cạn ,thân A1L đợt 4</v>
      </c>
      <c r="D20" s="715"/>
      <c r="E20" s="716"/>
      <c r="F20" s="443">
        <f>[3]A1L!$O$214/1000</f>
        <v>0.23765850000000002</v>
      </c>
      <c r="G20" s="444">
        <f>237.66/1000</f>
        <v>0.23766000000000001</v>
      </c>
      <c r="H20" s="445">
        <f t="shared" si="7"/>
        <v>0.23765850000000002</v>
      </c>
      <c r="I20" s="446">
        <f t="shared" si="8"/>
        <v>0.23765850000000002</v>
      </c>
      <c r="J20" s="446">
        <f t="shared" si="2"/>
        <v>0</v>
      </c>
      <c r="K20" s="604"/>
      <c r="N20" s="447"/>
      <c r="O20" s="447" t="str">
        <f>'C.II.1.1.5'!O16</f>
        <v>,thân A1L đợt 4</v>
      </c>
      <c r="P20" s="438">
        <f>'C.II.1.1.5'!P16</f>
        <v>0</v>
      </c>
      <c r="Q20" s="448">
        <f>'C.II.1.1.5'!Q16</f>
        <v>43362</v>
      </c>
      <c r="R20" s="448"/>
      <c r="S20" s="448" t="e">
        <f t="shared" ref="S20" si="16">VLOOKUP($S$11,hamchuigoi3,M20,0)</f>
        <v>#VALUE!</v>
      </c>
      <c r="T20" s="448" t="str">
        <f t="shared" ref="T20" si="17">$N$6&amp;" "&amp;O20</f>
        <v>SX+LD cốt thép bệ móng + thân mô D ≤ 18 trên cạn ,thân A1L đợt 4</v>
      </c>
    </row>
    <row r="21" spans="1:20" ht="27.75" customHeight="1" outlineLevel="2">
      <c r="A21" s="81">
        <f>SUBTOTAL(103,$B$12:B21)</f>
        <v>10</v>
      </c>
      <c r="B21" s="78">
        <f t="shared" si="0"/>
        <v>43370</v>
      </c>
      <c r="C21" s="571" t="str">
        <f t="shared" si="1"/>
        <v>SX+LD cốt thép bệ móng + thân mô D ≤ 18 trên cạn ,thân A1L đợt 5</v>
      </c>
      <c r="D21" s="572"/>
      <c r="E21" s="573"/>
      <c r="F21" s="383">
        <f>[3]A1L!$O$218/1000</f>
        <v>2.3262204900000003</v>
      </c>
      <c r="G21" s="385">
        <f>2326.22/1000</f>
        <v>2.3262199999999997</v>
      </c>
      <c r="H21" s="297">
        <f t="shared" si="7"/>
        <v>2.3262199999999997</v>
      </c>
      <c r="I21" s="107">
        <f t="shared" si="8"/>
        <v>2.3262199999999997</v>
      </c>
      <c r="J21" s="107">
        <f t="shared" si="2"/>
        <v>0</v>
      </c>
      <c r="K21" s="604"/>
      <c r="N21" s="118"/>
      <c r="O21" s="118" t="str">
        <f>'C.II.1.1.5'!O17</f>
        <v>,thân A1L đợt 5</v>
      </c>
      <c r="P21" s="90">
        <f>'C.II.1.1.5'!P17</f>
        <v>0</v>
      </c>
      <c r="Q21" s="89">
        <f>'C.II.1.1.5'!Q17</f>
        <v>43370</v>
      </c>
      <c r="R21" s="88"/>
      <c r="S21" s="88" t="e">
        <f t="shared" ref="S21:S26" si="18">VLOOKUP($S$11,hamchuigoi3,M21,0)</f>
        <v>#VALUE!</v>
      </c>
      <c r="T21" s="3" t="str">
        <f t="shared" ref="T21:T26" si="19">$N$6&amp;" "&amp;O21</f>
        <v>SX+LD cốt thép bệ móng + thân mô D ≤ 18 trên cạn ,thân A1L đợt 5</v>
      </c>
    </row>
    <row r="22" spans="1:20" ht="27.75" customHeight="1" outlineLevel="2">
      <c r="A22" s="81">
        <f>SUBTOTAL(103,$B$12:B22)</f>
        <v>11</v>
      </c>
      <c r="B22" s="78">
        <f t="shared" si="0"/>
        <v>43344</v>
      </c>
      <c r="C22" s="571" t="str">
        <f t="shared" si="1"/>
        <v>SX+LD cốt thép bệ móng + thân mô D ≤ 18 trên cạn ,thân A1R chờ ở bệ</v>
      </c>
      <c r="D22" s="572"/>
      <c r="E22" s="573"/>
      <c r="F22" s="383">
        <f>[3]A1R!$O$198/1000</f>
        <v>2.0301167200000001</v>
      </c>
      <c r="G22" s="385">
        <f>2030.12/1000</f>
        <v>2.0301199999999997</v>
      </c>
      <c r="H22" s="297">
        <f t="shared" si="7"/>
        <v>2.0301167200000001</v>
      </c>
      <c r="I22" s="107">
        <f t="shared" si="8"/>
        <v>2.0301167200000001</v>
      </c>
      <c r="J22" s="107">
        <f t="shared" si="2"/>
        <v>0</v>
      </c>
      <c r="K22" s="604"/>
      <c r="N22" s="118"/>
      <c r="O22" s="118" t="str">
        <f>'C.II.1.1.5'!O18</f>
        <v>,thân A1R chờ ở bệ</v>
      </c>
      <c r="P22" s="90">
        <f>'C.II.1.1.5'!P18</f>
        <v>0</v>
      </c>
      <c r="Q22" s="89">
        <f>'C.II.1.1.5'!Q18</f>
        <v>43344</v>
      </c>
      <c r="R22" s="88"/>
      <c r="S22" s="88" t="e">
        <f t="shared" si="18"/>
        <v>#VALUE!</v>
      </c>
      <c r="T22" s="3" t="str">
        <f t="shared" si="19"/>
        <v>SX+LD cốt thép bệ móng + thân mô D ≤ 18 trên cạn ,thân A1R chờ ở bệ</v>
      </c>
    </row>
    <row r="23" spans="1:20" ht="27.75" customHeight="1" outlineLevel="2">
      <c r="A23" s="81">
        <f>SUBTOTAL(103,$B$12:B23)</f>
        <v>12</v>
      </c>
      <c r="B23" s="78">
        <f t="shared" si="0"/>
        <v>43352</v>
      </c>
      <c r="C23" s="571" t="str">
        <f t="shared" si="1"/>
        <v>SX+LD cốt thép bệ móng + thân mô D ≤ 18 trên cạn ,thân A1R đợt 1</v>
      </c>
      <c r="D23" s="572"/>
      <c r="E23" s="573"/>
      <c r="F23" s="383">
        <f>[3]A1R!$O$202/1000</f>
        <v>0.86718214000000016</v>
      </c>
      <c r="G23" s="385">
        <f>867.18/1000</f>
        <v>0.86717999999999995</v>
      </c>
      <c r="H23" s="297">
        <f t="shared" si="7"/>
        <v>0.86717999999999995</v>
      </c>
      <c r="I23" s="107">
        <f t="shared" si="8"/>
        <v>0.86717999999999995</v>
      </c>
      <c r="J23" s="107">
        <f t="shared" si="2"/>
        <v>0</v>
      </c>
      <c r="K23" s="604"/>
      <c r="N23" s="118"/>
      <c r="O23" s="118" t="str">
        <f>'C.II.1.1.5'!O19</f>
        <v>,thân A1R đợt 1</v>
      </c>
      <c r="P23" s="90">
        <f>'C.II.1.1.5'!P19</f>
        <v>0</v>
      </c>
      <c r="Q23" s="89">
        <f>'C.II.1.1.5'!Q19</f>
        <v>43352</v>
      </c>
      <c r="R23" s="88"/>
      <c r="S23" s="88" t="e">
        <f t="shared" si="18"/>
        <v>#VALUE!</v>
      </c>
      <c r="T23" s="3" t="str">
        <f t="shared" si="19"/>
        <v>SX+LD cốt thép bệ móng + thân mô D ≤ 18 trên cạn ,thân A1R đợt 1</v>
      </c>
    </row>
    <row r="24" spans="1:20" ht="27.75" customHeight="1" outlineLevel="2">
      <c r="A24" s="81">
        <f>SUBTOTAL(103,$B$12:B24)</f>
        <v>13</v>
      </c>
      <c r="B24" s="78">
        <f t="shared" si="0"/>
        <v>43360</v>
      </c>
      <c r="C24" s="571" t="str">
        <f t="shared" si="1"/>
        <v>SX+LD cốt thép bệ móng + thân mô D ≤ 18 trên cạn ,thân A1R đợt 2</v>
      </c>
      <c r="D24" s="572"/>
      <c r="E24" s="573"/>
      <c r="F24" s="383">
        <f>[3]A1R!$O$206/1000</f>
        <v>0.99026900000000007</v>
      </c>
      <c r="G24" s="385">
        <f>990.27/1000</f>
        <v>0.99026999999999998</v>
      </c>
      <c r="H24" s="297">
        <f t="shared" si="7"/>
        <v>0.99026900000000007</v>
      </c>
      <c r="I24" s="107">
        <f t="shared" si="8"/>
        <v>0.99026900000000007</v>
      </c>
      <c r="J24" s="107">
        <f t="shared" si="2"/>
        <v>0</v>
      </c>
      <c r="K24" s="604"/>
      <c r="N24" s="118"/>
      <c r="O24" s="118" t="str">
        <f>'C.II.1.1.5'!O20</f>
        <v>,thân A1R đợt 2</v>
      </c>
      <c r="P24" s="90">
        <f>'C.II.1.1.5'!P20</f>
        <v>0</v>
      </c>
      <c r="Q24" s="89">
        <f>'C.II.1.1.5'!Q20</f>
        <v>43360</v>
      </c>
      <c r="R24" s="88"/>
      <c r="S24" s="88" t="e">
        <f t="shared" si="18"/>
        <v>#VALUE!</v>
      </c>
      <c r="T24" s="3" t="str">
        <f t="shared" si="19"/>
        <v>SX+LD cốt thép bệ móng + thân mô D ≤ 18 trên cạn ,thân A1R đợt 2</v>
      </c>
    </row>
    <row r="25" spans="1:20" ht="27.75" customHeight="1" outlineLevel="2">
      <c r="A25" s="81">
        <f>SUBTOTAL(103,$B$12:B25)</f>
        <v>14</v>
      </c>
      <c r="B25" s="78">
        <f t="shared" si="0"/>
        <v>43368</v>
      </c>
      <c r="C25" s="571" t="str">
        <f t="shared" si="1"/>
        <v>SX+LD cốt thép bệ móng + thân mô D ≤ 18 trên cạn ,thân A1R đợt 3</v>
      </c>
      <c r="D25" s="572"/>
      <c r="E25" s="573"/>
      <c r="F25" s="383">
        <f>[3]A1R!$O$210/1000</f>
        <v>0.91701974000000008</v>
      </c>
      <c r="G25" s="385">
        <f>917.02/1000</f>
        <v>0.91701999999999995</v>
      </c>
      <c r="H25" s="297">
        <f t="shared" si="7"/>
        <v>0.91701974000000008</v>
      </c>
      <c r="I25" s="107">
        <f t="shared" si="8"/>
        <v>0.91701974000000008</v>
      </c>
      <c r="J25" s="107">
        <f t="shared" si="2"/>
        <v>0</v>
      </c>
      <c r="K25" s="604"/>
      <c r="N25" s="118"/>
      <c r="O25" s="118" t="str">
        <f>'C.II.1.1.5'!O21</f>
        <v>,thân A1R đợt 3</v>
      </c>
      <c r="P25" s="90">
        <f>'C.II.1.1.5'!P21</f>
        <v>0</v>
      </c>
      <c r="Q25" s="89">
        <f>'C.II.1.1.5'!Q21</f>
        <v>43368</v>
      </c>
      <c r="R25" s="88"/>
      <c r="S25" s="88" t="e">
        <f t="shared" si="18"/>
        <v>#VALUE!</v>
      </c>
      <c r="T25" s="3" t="str">
        <f t="shared" si="19"/>
        <v>SX+LD cốt thép bệ móng + thân mô D ≤ 18 trên cạn ,thân A1R đợt 3</v>
      </c>
    </row>
    <row r="26" spans="1:20" ht="27.75" customHeight="1" outlineLevel="2">
      <c r="A26" s="81">
        <f>SUBTOTAL(103,$B$12:B26)</f>
        <v>15</v>
      </c>
      <c r="B26" s="78">
        <f t="shared" si="0"/>
        <v>43376</v>
      </c>
      <c r="C26" s="571" t="str">
        <f t="shared" si="1"/>
        <v>SX+LD cốt thép bệ móng + thân mô D ≤ 18 trên cạn ,thân A1R đợt 4</v>
      </c>
      <c r="D26" s="572"/>
      <c r="E26" s="573"/>
      <c r="F26" s="383">
        <f>[3]A1R!$O$214/1000</f>
        <v>0.24064153999999999</v>
      </c>
      <c r="G26" s="385">
        <f>240.64/1000</f>
        <v>0.24063999999999999</v>
      </c>
      <c r="H26" s="297">
        <f t="shared" si="7"/>
        <v>0.24063999999999999</v>
      </c>
      <c r="I26" s="107">
        <f t="shared" si="8"/>
        <v>0.24063999999999999</v>
      </c>
      <c r="J26" s="107">
        <f t="shared" si="2"/>
        <v>0</v>
      </c>
      <c r="K26" s="604"/>
      <c r="N26" s="118"/>
      <c r="O26" s="118" t="str">
        <f>'C.II.1.1.5'!O22</f>
        <v>,thân A1R đợt 4</v>
      </c>
      <c r="P26" s="90">
        <f>'C.II.1.1.5'!P22</f>
        <v>0</v>
      </c>
      <c r="Q26" s="89">
        <f>'C.II.1.1.5'!Q22</f>
        <v>43376</v>
      </c>
      <c r="R26" s="88"/>
      <c r="S26" s="88" t="e">
        <f t="shared" si="18"/>
        <v>#VALUE!</v>
      </c>
      <c r="T26" s="3" t="str">
        <f t="shared" si="19"/>
        <v>SX+LD cốt thép bệ móng + thân mô D ≤ 18 trên cạn ,thân A1R đợt 4</v>
      </c>
    </row>
    <row r="27" spans="1:20" ht="27.75" customHeight="1" outlineLevel="2">
      <c r="A27" s="81">
        <f>SUBTOTAL(103,$B$12:B27)</f>
        <v>16</v>
      </c>
      <c r="B27" s="78">
        <f t="shared" si="0"/>
        <v>43384</v>
      </c>
      <c r="C27" s="571" t="str">
        <f t="shared" si="1"/>
        <v>SX+LD cốt thép bệ móng + thân mô D ≤ 18 trên cạn ,thân A1R đợt 5</v>
      </c>
      <c r="D27" s="572"/>
      <c r="E27" s="573"/>
      <c r="F27" s="383">
        <f>[3]A1R!$O$218/1000</f>
        <v>2.49836049</v>
      </c>
      <c r="G27" s="385">
        <f>2498.36/1000</f>
        <v>2.4983599999999999</v>
      </c>
      <c r="H27" s="297">
        <f t="shared" si="7"/>
        <v>2.4983599999999999</v>
      </c>
      <c r="I27" s="107">
        <f t="shared" si="8"/>
        <v>2.4983599999999999</v>
      </c>
      <c r="J27" s="107">
        <f t="shared" si="2"/>
        <v>0</v>
      </c>
      <c r="K27" s="604"/>
      <c r="N27" s="118"/>
      <c r="O27" s="118" t="str">
        <f>'C.II.1.1.5'!O23</f>
        <v>,thân A1R đợt 5</v>
      </c>
      <c r="P27" s="90">
        <f>'C.II.1.1.5'!P23</f>
        <v>0</v>
      </c>
      <c r="Q27" s="89">
        <f>'C.II.1.1.5'!Q23</f>
        <v>43384</v>
      </c>
      <c r="R27" s="88"/>
      <c r="S27" s="88" t="e">
        <f t="shared" ref="S27:S33" si="20">VLOOKUP($S$11,hamchuigoi3,M27,0)</f>
        <v>#VALUE!</v>
      </c>
      <c r="T27" s="3" t="str">
        <f t="shared" ref="T27:T33" si="21">$N$6&amp;" "&amp;O27</f>
        <v>SX+LD cốt thép bệ móng + thân mô D ≤ 18 trên cạn ,thân A1R đợt 5</v>
      </c>
    </row>
    <row r="28" spans="1:20" ht="27.75" customHeight="1" outlineLevel="2">
      <c r="A28" s="81">
        <f>SUBTOTAL(103,$B$12:B28)</f>
        <v>17</v>
      </c>
      <c r="B28" s="78">
        <f t="shared" si="0"/>
        <v>43302</v>
      </c>
      <c r="C28" s="571" t="str">
        <f t="shared" si="1"/>
        <v>SX+LD cốt thép bệ móng + thân mô D ≤ 18 trên cạn ,thân A2L chờ ở bệ</v>
      </c>
      <c r="D28" s="572"/>
      <c r="E28" s="573"/>
      <c r="F28" s="383">
        <f>[3]A2L!$O$208/1000</f>
        <v>2.8680998</v>
      </c>
      <c r="G28" s="385">
        <f>2868.1/1000</f>
        <v>2.8681000000000001</v>
      </c>
      <c r="H28" s="297">
        <f t="shared" si="7"/>
        <v>2.8680998</v>
      </c>
      <c r="I28" s="107">
        <f t="shared" si="8"/>
        <v>2.8680998</v>
      </c>
      <c r="J28" s="107">
        <f t="shared" si="2"/>
        <v>0</v>
      </c>
      <c r="K28" s="604"/>
      <c r="N28" s="118"/>
      <c r="O28" s="118" t="str">
        <f>'C.II.1.1.5'!O24</f>
        <v>,thân A2L chờ ở bệ</v>
      </c>
      <c r="P28" s="90">
        <f>'C.II.1.1.5'!P24</f>
        <v>0</v>
      </c>
      <c r="Q28" s="89">
        <f>'C.II.1.1.5'!Q24</f>
        <v>43302</v>
      </c>
      <c r="R28" s="88"/>
      <c r="S28" s="88" t="e">
        <f t="shared" si="20"/>
        <v>#VALUE!</v>
      </c>
      <c r="T28" s="3" t="str">
        <f t="shared" si="21"/>
        <v>SX+LD cốt thép bệ móng + thân mô D ≤ 18 trên cạn ,thân A2L chờ ở bệ</v>
      </c>
    </row>
    <row r="29" spans="1:20" ht="27.75" customHeight="1" outlineLevel="2">
      <c r="A29" s="81">
        <f>SUBTOTAL(103,$B$12:B29)</f>
        <v>18</v>
      </c>
      <c r="B29" s="78">
        <f t="shared" si="0"/>
        <v>43310</v>
      </c>
      <c r="C29" s="571" t="str">
        <f t="shared" si="1"/>
        <v>SX+LD cốt thép bệ móng + thân mô D ≤ 18 trên cạn ,thân A2L đợt 1</v>
      </c>
      <c r="D29" s="572"/>
      <c r="E29" s="573"/>
      <c r="F29" s="383">
        <f>[3]A2L!$O$212/1000</f>
        <v>0.9429281599999999</v>
      </c>
      <c r="G29" s="385">
        <f>942.93/1000</f>
        <v>0.94292999999999993</v>
      </c>
      <c r="H29" s="297">
        <f t="shared" si="7"/>
        <v>0.9429281599999999</v>
      </c>
      <c r="I29" s="107">
        <f t="shared" si="8"/>
        <v>0.9429281599999999</v>
      </c>
      <c r="J29" s="107">
        <f t="shared" si="2"/>
        <v>0</v>
      </c>
      <c r="K29" s="604"/>
      <c r="N29" s="118"/>
      <c r="O29" s="118" t="str">
        <f>'C.II.1.1.5'!O25</f>
        <v>,thân A2L đợt 1</v>
      </c>
      <c r="P29" s="90">
        <f>'C.II.1.1.5'!P25</f>
        <v>0</v>
      </c>
      <c r="Q29" s="89">
        <f>'C.II.1.1.5'!Q25</f>
        <v>43310</v>
      </c>
      <c r="R29" s="88"/>
      <c r="S29" s="88" t="e">
        <f t="shared" si="20"/>
        <v>#VALUE!</v>
      </c>
      <c r="T29" s="3" t="str">
        <f t="shared" si="21"/>
        <v>SX+LD cốt thép bệ móng + thân mô D ≤ 18 trên cạn ,thân A2L đợt 1</v>
      </c>
    </row>
    <row r="30" spans="1:20" ht="27.75" customHeight="1" outlineLevel="2">
      <c r="A30" s="81">
        <f>SUBTOTAL(103,$B$12:B30)</f>
        <v>19</v>
      </c>
      <c r="B30" s="78">
        <f t="shared" si="0"/>
        <v>43318</v>
      </c>
      <c r="C30" s="571" t="str">
        <f t="shared" si="1"/>
        <v>SX+LD cốt thép bệ móng + thân mô D ≤ 18 trên cạn ,thân A2L đợt 2</v>
      </c>
      <c r="D30" s="572"/>
      <c r="E30" s="573"/>
      <c r="F30" s="383">
        <f>[3]A2L!$O$216/1000</f>
        <v>1.01880544</v>
      </c>
      <c r="G30" s="385">
        <f>1018.81/1000</f>
        <v>1.01881</v>
      </c>
      <c r="H30" s="297">
        <f t="shared" si="7"/>
        <v>1.01880544</v>
      </c>
      <c r="I30" s="107">
        <f t="shared" si="8"/>
        <v>1.01880544</v>
      </c>
      <c r="J30" s="107">
        <f t="shared" si="2"/>
        <v>0</v>
      </c>
      <c r="K30" s="604"/>
      <c r="N30" s="118"/>
      <c r="O30" s="118" t="str">
        <f>'C.II.1.1.5'!O26</f>
        <v>,thân A2L đợt 2</v>
      </c>
      <c r="P30" s="90">
        <f>'C.II.1.1.5'!P26</f>
        <v>0</v>
      </c>
      <c r="Q30" s="89">
        <f>'C.II.1.1.5'!Q26</f>
        <v>43318</v>
      </c>
      <c r="R30" s="88"/>
      <c r="S30" s="88" t="e">
        <f t="shared" si="20"/>
        <v>#VALUE!</v>
      </c>
      <c r="T30" s="3" t="str">
        <f t="shared" si="21"/>
        <v>SX+LD cốt thép bệ móng + thân mô D ≤ 18 trên cạn ,thân A2L đợt 2</v>
      </c>
    </row>
    <row r="31" spans="1:20" ht="27.75" customHeight="1" outlineLevel="2">
      <c r="A31" s="81">
        <f>SUBTOTAL(103,$B$12:B31)</f>
        <v>20</v>
      </c>
      <c r="B31" s="78">
        <f t="shared" si="0"/>
        <v>43326</v>
      </c>
      <c r="C31" s="571" t="str">
        <f t="shared" si="1"/>
        <v>SX+LD cốt thép bệ móng + thân mô D ≤ 18 trên cạn ,thân A2L đợt 3</v>
      </c>
      <c r="D31" s="572"/>
      <c r="E31" s="573"/>
      <c r="F31" s="383">
        <f>[3]A2L!$O$220/1000</f>
        <v>0.99983701999999997</v>
      </c>
      <c r="G31" s="385">
        <f>999.84/1000</f>
        <v>0.99984000000000006</v>
      </c>
      <c r="H31" s="297">
        <f t="shared" si="7"/>
        <v>0.99983701999999997</v>
      </c>
      <c r="I31" s="107">
        <f t="shared" si="8"/>
        <v>0.99983701999999997</v>
      </c>
      <c r="J31" s="107">
        <f t="shared" si="2"/>
        <v>0</v>
      </c>
      <c r="K31" s="604"/>
      <c r="N31" s="118"/>
      <c r="O31" s="118" t="str">
        <f>'C.II.1.1.5'!O27</f>
        <v>,thân A2L đợt 3</v>
      </c>
      <c r="P31" s="90">
        <f>'C.II.1.1.5'!P27</f>
        <v>0</v>
      </c>
      <c r="Q31" s="89">
        <f>'C.II.1.1.5'!Q27</f>
        <v>43326</v>
      </c>
      <c r="R31" s="88"/>
      <c r="S31" s="88" t="e">
        <f t="shared" si="20"/>
        <v>#VALUE!</v>
      </c>
      <c r="T31" s="3" t="str">
        <f t="shared" si="21"/>
        <v>SX+LD cốt thép bệ móng + thân mô D ≤ 18 trên cạn ,thân A2L đợt 3</v>
      </c>
    </row>
    <row r="32" spans="1:20" ht="27.75" customHeight="1" outlineLevel="2">
      <c r="A32" s="81">
        <f>SUBTOTAL(103,$B$12:B32)</f>
        <v>21</v>
      </c>
      <c r="B32" s="78">
        <f t="shared" si="0"/>
        <v>43334</v>
      </c>
      <c r="C32" s="571" t="str">
        <f t="shared" si="1"/>
        <v>SX+LD cốt thép bệ móng + thân mô D ≤ 18 trên cạn ,thân A2L đợt 4</v>
      </c>
      <c r="D32" s="572"/>
      <c r="E32" s="573"/>
      <c r="F32" s="383">
        <f>[3]A2L!$O$224/1000</f>
        <v>1.0014900799999999</v>
      </c>
      <c r="G32" s="385">
        <f>1001.49/1000</f>
        <v>1.00149</v>
      </c>
      <c r="H32" s="297">
        <f t="shared" si="7"/>
        <v>1.00149</v>
      </c>
      <c r="I32" s="107">
        <f t="shared" si="8"/>
        <v>1.00149</v>
      </c>
      <c r="J32" s="107">
        <f t="shared" si="2"/>
        <v>0</v>
      </c>
      <c r="K32" s="604"/>
      <c r="N32" s="118"/>
      <c r="O32" s="118" t="str">
        <f>'C.II.1.1.5'!O28</f>
        <v>,thân A2L đợt 4</v>
      </c>
      <c r="P32" s="90">
        <f>'C.II.1.1.5'!P28</f>
        <v>0</v>
      </c>
      <c r="Q32" s="89">
        <f>'C.II.1.1.5'!Q28</f>
        <v>43334</v>
      </c>
      <c r="R32" s="88"/>
      <c r="S32" s="88" t="e">
        <f t="shared" si="20"/>
        <v>#VALUE!</v>
      </c>
      <c r="T32" s="3" t="str">
        <f t="shared" si="21"/>
        <v>SX+LD cốt thép bệ móng + thân mô D ≤ 18 trên cạn ,thân A2L đợt 4</v>
      </c>
    </row>
    <row r="33" spans="1:20" ht="27.75" customHeight="1" outlineLevel="2">
      <c r="A33" s="81">
        <f>SUBTOTAL(103,$B$12:B33)</f>
        <v>22</v>
      </c>
      <c r="B33" s="78">
        <f t="shared" si="0"/>
        <v>43342</v>
      </c>
      <c r="C33" s="571" t="str">
        <f t="shared" si="1"/>
        <v>SX+LD cốt thép bệ móng + thân mô D ≤ 18 trên cạn ,thân A2L đợt 5</v>
      </c>
      <c r="D33" s="572"/>
      <c r="E33" s="573"/>
      <c r="F33" s="383">
        <f>[3]A2L!$O$228/1000</f>
        <v>1.5653886200000005</v>
      </c>
      <c r="G33" s="385">
        <f>1565.39/1000</f>
        <v>1.5653900000000001</v>
      </c>
      <c r="H33" s="381">
        <f t="shared" si="7"/>
        <v>1.5653886200000005</v>
      </c>
      <c r="I33" s="107">
        <f t="shared" si="8"/>
        <v>1.5653886200000005</v>
      </c>
      <c r="J33" s="107">
        <f t="shared" si="2"/>
        <v>0</v>
      </c>
      <c r="K33" s="604"/>
      <c r="N33" s="118"/>
      <c r="O33" s="118" t="str">
        <f>'C.II.1.1.5'!O29</f>
        <v>,thân A2L đợt 5</v>
      </c>
      <c r="P33" s="90">
        <f>'C.II.1.1.5'!P29</f>
        <v>0</v>
      </c>
      <c r="Q33" s="89">
        <f>'C.II.1.1.5'!Q29</f>
        <v>43342</v>
      </c>
      <c r="R33" s="88"/>
      <c r="S33" s="88" t="e">
        <f t="shared" si="20"/>
        <v>#VALUE!</v>
      </c>
      <c r="T33" s="3" t="str">
        <f t="shared" si="21"/>
        <v>SX+LD cốt thép bệ móng + thân mô D ≤ 18 trên cạn ,thân A2L đợt 5</v>
      </c>
    </row>
    <row r="34" spans="1:20" ht="27.75" customHeight="1" outlineLevel="2">
      <c r="A34" s="81">
        <f>SUBTOTAL(103,$B$12:B34)</f>
        <v>23</v>
      </c>
      <c r="B34" s="78">
        <f t="shared" ref="B34" si="22">Q34</f>
        <v>43350</v>
      </c>
      <c r="C34" s="571" t="str">
        <f t="shared" ref="C34" si="23">T34</f>
        <v>SX+LD cốt thép bệ móng + thân mô D ≤ 18 trên cạn ,thân A2L đợt 6</v>
      </c>
      <c r="D34" s="572"/>
      <c r="E34" s="573"/>
      <c r="F34" s="383">
        <f>[3]A2L!$O$232/1000</f>
        <v>0.65000449999999999</v>
      </c>
      <c r="G34" s="385">
        <f>650/1000</f>
        <v>0.65</v>
      </c>
      <c r="H34" s="381">
        <f t="shared" ref="H34" si="24">MIN(F34:G34)</f>
        <v>0.65</v>
      </c>
      <c r="I34" s="107">
        <f t="shared" ref="I34" si="25">H34</f>
        <v>0.65</v>
      </c>
      <c r="J34" s="107">
        <f t="shared" ref="J34" si="26">P34</f>
        <v>0</v>
      </c>
      <c r="K34" s="604"/>
      <c r="N34" s="118"/>
      <c r="O34" s="118" t="str">
        <f>'C.II.1.1.5'!O30</f>
        <v>,thân A2L đợt 6</v>
      </c>
      <c r="P34" s="90">
        <f>'C.II.1.1.5'!P30</f>
        <v>0</v>
      </c>
      <c r="Q34" s="89">
        <f>'C.II.1.1.5'!Q30</f>
        <v>43350</v>
      </c>
      <c r="R34" s="88"/>
      <c r="S34" s="88" t="e">
        <f t="shared" ref="S34" si="27">VLOOKUP($S$11,hamchuigoi3,M34,0)</f>
        <v>#VALUE!</v>
      </c>
      <c r="T34" s="3" t="str">
        <f t="shared" ref="T34" si="28">$N$6&amp;" "&amp;O34</f>
        <v>SX+LD cốt thép bệ móng + thân mô D ≤ 18 trên cạn ,thân A2L đợt 6</v>
      </c>
    </row>
    <row r="35" spans="1:20" ht="27.75" customHeight="1" outlineLevel="2">
      <c r="A35" s="81">
        <f>SUBTOTAL(103,$B$12:B35)</f>
        <v>24</v>
      </c>
      <c r="B35" s="78">
        <f t="shared" ref="B35:B40" si="29">Q35</f>
        <v>43304</v>
      </c>
      <c r="C35" s="571" t="str">
        <f t="shared" ref="C35:C40" si="30">T35</f>
        <v>SX+LD cốt thép bệ móng + thân mô D ≤ 18 trên cạn ,thân A2R chờ ở bệ</v>
      </c>
      <c r="D35" s="572"/>
      <c r="E35" s="573"/>
      <c r="F35" s="383">
        <f>[3]A2R!$O$208/1000</f>
        <v>2.9771871999999999</v>
      </c>
      <c r="G35" s="385">
        <f>2977.19/1000</f>
        <v>2.9771900000000002</v>
      </c>
      <c r="H35" s="381">
        <f t="shared" ref="H35:H40" si="31">MIN(F35:G35)</f>
        <v>2.9771871999999999</v>
      </c>
      <c r="I35" s="107">
        <f t="shared" si="8"/>
        <v>2.9771871999999999</v>
      </c>
      <c r="J35" s="107">
        <f t="shared" ref="J35:J40" si="32">P35</f>
        <v>0</v>
      </c>
      <c r="K35" s="604"/>
      <c r="N35" s="118"/>
      <c r="O35" s="118" t="str">
        <f>'C.II.1.1.5'!O31</f>
        <v>,thân A2R chờ ở bệ</v>
      </c>
      <c r="P35" s="90">
        <f>'C.II.1.1.5'!P31</f>
        <v>0</v>
      </c>
      <c r="Q35" s="89">
        <f>'C.II.1.1.5'!Q31</f>
        <v>43304</v>
      </c>
      <c r="R35" s="88"/>
      <c r="S35" s="88" t="e">
        <f t="shared" ref="S35:S40" si="33">VLOOKUP($S$11,hamchuigoi3,M35,0)</f>
        <v>#VALUE!</v>
      </c>
      <c r="T35" s="3" t="str">
        <f t="shared" ref="T35:T40" si="34">$N$6&amp;" "&amp;O35</f>
        <v>SX+LD cốt thép bệ móng + thân mô D ≤ 18 trên cạn ,thân A2R chờ ở bệ</v>
      </c>
    </row>
    <row r="36" spans="1:20" ht="27.75" customHeight="1" outlineLevel="2">
      <c r="A36" s="81">
        <f>SUBTOTAL(103,$B$12:B36)</f>
        <v>25</v>
      </c>
      <c r="B36" s="78">
        <f t="shared" si="29"/>
        <v>43312</v>
      </c>
      <c r="C36" s="571" t="str">
        <f t="shared" si="30"/>
        <v>SX+LD cốt thép bệ móng + thân mô D ≤ 18 trên cạn ,thân A2R đợt 1</v>
      </c>
      <c r="D36" s="572"/>
      <c r="E36" s="573"/>
      <c r="F36" s="449">
        <f>[3]A2R!$O$212/1000</f>
        <v>0.91427486000000013</v>
      </c>
      <c r="G36" s="450">
        <f>914.27/1000</f>
        <v>0.91427000000000003</v>
      </c>
      <c r="H36" s="451">
        <f t="shared" si="31"/>
        <v>0.91427000000000003</v>
      </c>
      <c r="I36" s="452">
        <f t="shared" si="8"/>
        <v>0.91427000000000003</v>
      </c>
      <c r="J36" s="107">
        <f t="shared" si="32"/>
        <v>0</v>
      </c>
      <c r="K36" s="604"/>
      <c r="N36" s="118"/>
      <c r="O36" s="118" t="str">
        <f>'C.II.1.1.5'!O32</f>
        <v>,thân A2R đợt 1</v>
      </c>
      <c r="P36" s="90">
        <f>'C.II.1.1.5'!P32</f>
        <v>0</v>
      </c>
      <c r="Q36" s="89">
        <f>'C.II.1.1.5'!Q32</f>
        <v>43312</v>
      </c>
      <c r="R36" s="88"/>
      <c r="S36" s="88" t="e">
        <f t="shared" si="33"/>
        <v>#VALUE!</v>
      </c>
      <c r="T36" s="3" t="str">
        <f t="shared" si="34"/>
        <v>SX+LD cốt thép bệ móng + thân mô D ≤ 18 trên cạn ,thân A2R đợt 1</v>
      </c>
    </row>
    <row r="37" spans="1:20" ht="27.75" customHeight="1" outlineLevel="2">
      <c r="A37" s="81">
        <f>SUBTOTAL(103,$B$12:B37)</f>
        <v>26</v>
      </c>
      <c r="B37" s="78">
        <f t="shared" si="29"/>
        <v>43320</v>
      </c>
      <c r="C37" s="571" t="str">
        <f t="shared" si="30"/>
        <v>SX+LD cốt thép bệ móng + thân mô D ≤ 18 trên cạn ,thân A2R đợt 2</v>
      </c>
      <c r="D37" s="572"/>
      <c r="E37" s="573"/>
      <c r="F37" s="449">
        <f>[3]A2R!$O$216/1000</f>
        <v>0.98794804000000014</v>
      </c>
      <c r="G37" s="450">
        <f>987.95/1000</f>
        <v>0.98794999999999999</v>
      </c>
      <c r="H37" s="451">
        <f t="shared" si="31"/>
        <v>0.98794804000000014</v>
      </c>
      <c r="I37" s="452">
        <f t="shared" si="8"/>
        <v>0.98794804000000014</v>
      </c>
      <c r="J37" s="107">
        <f t="shared" si="32"/>
        <v>0</v>
      </c>
      <c r="K37" s="604"/>
      <c r="N37" s="118"/>
      <c r="O37" s="118" t="str">
        <f>'C.II.1.1.5'!O33</f>
        <v>,thân A2R đợt 2</v>
      </c>
      <c r="P37" s="90">
        <f>'C.II.1.1.5'!P33</f>
        <v>0</v>
      </c>
      <c r="Q37" s="89">
        <f>'C.II.1.1.5'!Q33</f>
        <v>43320</v>
      </c>
      <c r="R37" s="88"/>
      <c r="S37" s="88" t="e">
        <f t="shared" si="33"/>
        <v>#VALUE!</v>
      </c>
      <c r="T37" s="3" t="str">
        <f t="shared" si="34"/>
        <v>SX+LD cốt thép bệ móng + thân mô D ≤ 18 trên cạn ,thân A2R đợt 2</v>
      </c>
    </row>
    <row r="38" spans="1:20" ht="27.75" customHeight="1" outlineLevel="2">
      <c r="A38" s="81">
        <f>SUBTOTAL(103,$B$12:B38)</f>
        <v>27</v>
      </c>
      <c r="B38" s="78">
        <f t="shared" si="29"/>
        <v>43328</v>
      </c>
      <c r="C38" s="571" t="str">
        <f t="shared" si="30"/>
        <v>SX+LD cốt thép bệ móng + thân mô D ≤ 18 trên cạn ,thân A2R đợt 3</v>
      </c>
      <c r="D38" s="572"/>
      <c r="E38" s="573"/>
      <c r="F38" s="383">
        <f>[3]A2R!$O$220/1000</f>
        <v>1.0058520800000001</v>
      </c>
      <c r="G38" s="385">
        <f>1005.85/1000</f>
        <v>1.0058500000000001</v>
      </c>
      <c r="H38" s="381">
        <f t="shared" si="31"/>
        <v>1.0058500000000001</v>
      </c>
      <c r="I38" s="107">
        <f t="shared" si="8"/>
        <v>1.0058500000000001</v>
      </c>
      <c r="J38" s="107">
        <f t="shared" si="32"/>
        <v>0</v>
      </c>
      <c r="K38" s="604"/>
      <c r="N38" s="118"/>
      <c r="O38" s="118" t="str">
        <f>'C.II.1.1.5'!O34</f>
        <v>,thân A2R đợt 3</v>
      </c>
      <c r="P38" s="90">
        <f>'C.II.1.1.5'!P34</f>
        <v>0</v>
      </c>
      <c r="Q38" s="89">
        <f>'C.II.1.1.5'!Q34</f>
        <v>43328</v>
      </c>
      <c r="R38" s="88"/>
      <c r="S38" s="88" t="e">
        <f t="shared" si="33"/>
        <v>#VALUE!</v>
      </c>
      <c r="T38" s="3" t="str">
        <f t="shared" si="34"/>
        <v>SX+LD cốt thép bệ móng + thân mô D ≤ 18 trên cạn ,thân A2R đợt 3</v>
      </c>
    </row>
    <row r="39" spans="1:20" ht="27.75" customHeight="1" outlineLevel="2">
      <c r="A39" s="81">
        <f>SUBTOTAL(103,$B$12:B39)</f>
        <v>28</v>
      </c>
      <c r="B39" s="78">
        <f t="shared" si="29"/>
        <v>43336</v>
      </c>
      <c r="C39" s="571" t="str">
        <f t="shared" si="30"/>
        <v>SX+LD cốt thép bệ móng + thân mô D ≤ 18 trên cạn ,thân A2R đợt 4</v>
      </c>
      <c r="D39" s="572"/>
      <c r="E39" s="573"/>
      <c r="F39" s="383">
        <f>[3]A2R!$O$224/1000</f>
        <v>0.97150168000000003</v>
      </c>
      <c r="G39" s="385">
        <f>971.5/1000</f>
        <v>0.97150000000000003</v>
      </c>
      <c r="H39" s="381">
        <f t="shared" si="31"/>
        <v>0.97150000000000003</v>
      </c>
      <c r="I39" s="107">
        <f t="shared" si="8"/>
        <v>0.97150000000000003</v>
      </c>
      <c r="J39" s="107">
        <f t="shared" si="32"/>
        <v>0</v>
      </c>
      <c r="K39" s="604"/>
      <c r="N39" s="118"/>
      <c r="O39" s="118" t="str">
        <f>'C.II.1.1.5'!O35</f>
        <v>,thân A2R đợt 4</v>
      </c>
      <c r="P39" s="90">
        <f>'C.II.1.1.5'!P35</f>
        <v>0</v>
      </c>
      <c r="Q39" s="89">
        <f>'C.II.1.1.5'!Q35</f>
        <v>43336</v>
      </c>
      <c r="R39" s="88"/>
      <c r="S39" s="88" t="e">
        <f t="shared" si="33"/>
        <v>#VALUE!</v>
      </c>
      <c r="T39" s="3" t="str">
        <f t="shared" si="34"/>
        <v>SX+LD cốt thép bệ móng + thân mô D ≤ 18 trên cạn ,thân A2R đợt 4</v>
      </c>
    </row>
    <row r="40" spans="1:20" ht="27.75" customHeight="1" outlineLevel="2">
      <c r="A40" s="81">
        <f>SUBTOTAL(103,$B$12:B40)</f>
        <v>29</v>
      </c>
      <c r="B40" s="78">
        <f t="shared" si="29"/>
        <v>43344</v>
      </c>
      <c r="C40" s="571" t="str">
        <f t="shared" si="30"/>
        <v>SX+LD cốt thép bệ móng + thân mô D ≤ 18 trên cạn ,thân A2R đợt 5</v>
      </c>
      <c r="D40" s="572"/>
      <c r="E40" s="573"/>
      <c r="F40" s="383">
        <f>[3]A2R!$O$228/1000</f>
        <v>1.6177266200000004</v>
      </c>
      <c r="G40" s="385">
        <f>1617.73/1000</f>
        <v>1.6177300000000001</v>
      </c>
      <c r="H40" s="381">
        <f t="shared" si="31"/>
        <v>1.6177266200000004</v>
      </c>
      <c r="I40" s="107">
        <f t="shared" si="8"/>
        <v>1.6177266200000004</v>
      </c>
      <c r="J40" s="107">
        <f t="shared" si="32"/>
        <v>0</v>
      </c>
      <c r="K40" s="604"/>
      <c r="N40" s="118"/>
      <c r="O40" s="118" t="str">
        <f>'C.II.1.1.5'!O36</f>
        <v>,thân A2R đợt 5</v>
      </c>
      <c r="P40" s="90">
        <f>'C.II.1.1.5'!P36</f>
        <v>0</v>
      </c>
      <c r="Q40" s="89">
        <f>'C.II.1.1.5'!Q36</f>
        <v>43344</v>
      </c>
      <c r="R40" s="88"/>
      <c r="S40" s="88" t="e">
        <f t="shared" si="33"/>
        <v>#VALUE!</v>
      </c>
      <c r="T40" s="3" t="str">
        <f t="shared" si="34"/>
        <v>SX+LD cốt thép bệ móng + thân mô D ≤ 18 trên cạn ,thân A2R đợt 5</v>
      </c>
    </row>
    <row r="41" spans="1:20" ht="27.75" customHeight="1" outlineLevel="2">
      <c r="A41" s="81">
        <f>SUBTOTAL(103,$B$12:B41)</f>
        <v>30</v>
      </c>
      <c r="B41" s="78">
        <f t="shared" ref="B41" si="35">Q41</f>
        <v>43352</v>
      </c>
      <c r="C41" s="571" t="str">
        <f t="shared" ref="C41" si="36">T41</f>
        <v>SX+LD cốt thép bệ móng + thân mô D ≤ 18 trên cạn ,thân A2R đợt 6</v>
      </c>
      <c r="D41" s="572"/>
      <c r="E41" s="573"/>
      <c r="F41" s="383">
        <f>[3]A2R!$O$232/1000</f>
        <v>0.67226980000000003</v>
      </c>
      <c r="G41" s="385">
        <f>672.27/1000</f>
        <v>0.67227000000000003</v>
      </c>
      <c r="H41" s="381">
        <f t="shared" ref="H41" si="37">MIN(F41:G41)</f>
        <v>0.67226980000000003</v>
      </c>
      <c r="I41" s="107">
        <f t="shared" ref="I41" si="38">H41</f>
        <v>0.67226980000000003</v>
      </c>
      <c r="J41" s="107">
        <f t="shared" ref="J41" si="39">P41</f>
        <v>0</v>
      </c>
      <c r="K41" s="390"/>
      <c r="N41" s="118"/>
      <c r="O41" s="118" t="str">
        <f>'C.II.1.1.5'!O37</f>
        <v>,thân A2R đợt 6</v>
      </c>
      <c r="P41" s="90">
        <f>'C.II.1.1.5'!P37</f>
        <v>0</v>
      </c>
      <c r="Q41" s="89">
        <f>'C.II.1.1.5'!Q37</f>
        <v>43352</v>
      </c>
      <c r="R41" s="88"/>
      <c r="S41" s="88" t="e">
        <f t="shared" ref="S41" si="40">VLOOKUP($S$11,hamchuigoi3,M41,0)</f>
        <v>#VALUE!</v>
      </c>
      <c r="T41" s="3" t="str">
        <f t="shared" ref="T41" si="41">$N$6&amp;" "&amp;O41</f>
        <v>SX+LD cốt thép bệ móng + thân mô D ≤ 18 trên cạn ,thân A2R đợt 6</v>
      </c>
    </row>
    <row r="42" spans="1:20" ht="14.25" outlineLevel="2">
      <c r="A42" s="81"/>
      <c r="B42" s="78"/>
      <c r="C42" s="571"/>
      <c r="D42" s="572"/>
      <c r="E42" s="573"/>
      <c r="F42" s="27"/>
      <c r="G42" s="33"/>
      <c r="H42" s="31"/>
      <c r="I42" s="107"/>
      <c r="J42" s="107"/>
      <c r="K42" s="82"/>
      <c r="N42" s="118"/>
      <c r="O42" s="118"/>
      <c r="P42" s="88"/>
      <c r="Q42" s="89"/>
      <c r="R42" s="88"/>
      <c r="S42" s="88"/>
      <c r="T42" s="3"/>
    </row>
    <row r="43" spans="1:20" thickBot="1">
      <c r="A43" s="574" t="s">
        <v>4</v>
      </c>
      <c r="B43" s="575"/>
      <c r="C43" s="575"/>
      <c r="D43" s="575"/>
      <c r="E43" s="575"/>
      <c r="F43" s="79">
        <f>ROUND(SUM(F12:F42),2)</f>
        <v>53.91</v>
      </c>
      <c r="G43" s="79">
        <f>ROUND(SUM(G12:G42),2)</f>
        <v>53.91</v>
      </c>
      <c r="H43" s="79">
        <f>ROUND(SUM(H12:H42),2)</f>
        <v>53.91</v>
      </c>
      <c r="I43" s="79">
        <f>ROUND(SUM(I12:I42),2)</f>
        <v>53.91</v>
      </c>
      <c r="J43" s="79">
        <f>ROUND(SUM(J12:J42),2)</f>
        <v>27.85</v>
      </c>
      <c r="K43" s="80"/>
      <c r="N43" s="118"/>
      <c r="O43" s="118"/>
      <c r="P43" s="90" t="e">
        <f>SUM(#REF!)</f>
        <v>#REF!</v>
      </c>
    </row>
    <row r="44" spans="1:20" s="175" customFormat="1" ht="18" customHeight="1" thickTop="1" thickBot="1">
      <c r="A44" s="227"/>
      <c r="B44" s="227"/>
      <c r="C44" s="227"/>
      <c r="D44" s="227"/>
      <c r="E44" s="227"/>
      <c r="F44" s="116"/>
      <c r="G44" s="116"/>
      <c r="H44" s="116"/>
      <c r="I44" s="116"/>
      <c r="J44" s="116"/>
      <c r="K44" s="117"/>
      <c r="L44" s="4"/>
      <c r="M44" s="4" t="s">
        <v>353</v>
      </c>
      <c r="N44" s="118" t="s">
        <v>354</v>
      </c>
      <c r="O44" s="118" t="s">
        <v>351</v>
      </c>
      <c r="P44" s="119" t="s">
        <v>352</v>
      </c>
      <c r="Q44" s="120"/>
      <c r="R44" s="120"/>
      <c r="S44" s="120"/>
      <c r="T44" s="121"/>
    </row>
    <row r="45" spans="1:20" s="5" customFormat="1" ht="13.9" customHeight="1" thickTop="1">
      <c r="A45" s="578" t="s">
        <v>68</v>
      </c>
      <c r="B45" s="579"/>
      <c r="C45" s="579"/>
      <c r="D45" s="579"/>
      <c r="E45" s="579"/>
      <c r="F45" s="580" t="s">
        <v>69</v>
      </c>
      <c r="G45" s="580"/>
      <c r="H45" s="580"/>
      <c r="I45" s="581"/>
      <c r="J45" s="581"/>
      <c r="K45" s="582"/>
      <c r="L45" s="4"/>
      <c r="M45" s="4">
        <v>149.16999999999999</v>
      </c>
      <c r="N45" s="4">
        <v>149.11699999999999</v>
      </c>
      <c r="O45" s="4">
        <v>0</v>
      </c>
      <c r="P45" s="4">
        <v>0</v>
      </c>
    </row>
    <row r="46" spans="1:20" s="5" customFormat="1" ht="13.9" customHeight="1">
      <c r="A46" s="583" t="s">
        <v>5</v>
      </c>
      <c r="B46" s="584"/>
      <c r="C46" s="584"/>
      <c r="D46" s="584"/>
      <c r="E46" s="584"/>
      <c r="F46" s="585" t="s">
        <v>6</v>
      </c>
      <c r="G46" s="585"/>
      <c r="H46" s="585"/>
      <c r="I46" s="586"/>
      <c r="J46" s="586"/>
      <c r="K46" s="587"/>
      <c r="L46" s="4"/>
      <c r="M46" s="4">
        <v>0</v>
      </c>
      <c r="N46" s="4">
        <v>8.4559999999999995</v>
      </c>
      <c r="O46" s="4">
        <v>10.151999999999999</v>
      </c>
      <c r="P46" s="4">
        <v>0</v>
      </c>
    </row>
    <row r="47" spans="1:20" s="5" customFormat="1" ht="13.9" customHeight="1">
      <c r="A47" s="583" t="s">
        <v>836</v>
      </c>
      <c r="B47" s="584"/>
      <c r="C47" s="584"/>
      <c r="D47" s="584"/>
      <c r="E47" s="584"/>
      <c r="F47" s="590" t="s">
        <v>837</v>
      </c>
      <c r="G47" s="590"/>
      <c r="H47" s="590"/>
      <c r="I47" s="591"/>
      <c r="J47" s="591"/>
      <c r="K47" s="592"/>
      <c r="L47" s="4"/>
      <c r="M47" s="4">
        <v>0</v>
      </c>
      <c r="N47" s="4">
        <v>0</v>
      </c>
      <c r="O47" s="4">
        <v>9.2609999999999992</v>
      </c>
      <c r="P47" s="4">
        <v>0</v>
      </c>
    </row>
    <row r="48" spans="1:20" s="5" customFormat="1" ht="13.9" customHeight="1">
      <c r="A48" s="583"/>
      <c r="B48" s="584"/>
      <c r="C48" s="584"/>
      <c r="D48" s="584"/>
      <c r="E48" s="584"/>
      <c r="F48" s="590"/>
      <c r="G48" s="590"/>
      <c r="H48" s="590"/>
      <c r="I48" s="591"/>
      <c r="J48" s="591"/>
      <c r="K48" s="592"/>
      <c r="L48" s="4"/>
      <c r="M48" s="4">
        <v>4</v>
      </c>
      <c r="N48" s="4">
        <v>4</v>
      </c>
      <c r="O48" s="4">
        <v>4</v>
      </c>
      <c r="P48" s="4">
        <v>4</v>
      </c>
    </row>
    <row r="49" spans="1:20" s="5" customFormat="1" ht="13.9" customHeight="1">
      <c r="A49" s="583"/>
      <c r="B49" s="584"/>
      <c r="C49" s="584"/>
      <c r="D49" s="584"/>
      <c r="E49" s="584"/>
      <c r="F49" s="590"/>
      <c r="G49" s="590"/>
      <c r="H49" s="590"/>
      <c r="I49" s="591"/>
      <c r="J49" s="591"/>
      <c r="K49" s="592"/>
      <c r="L49" s="4"/>
      <c r="M49" s="4">
        <v>0</v>
      </c>
      <c r="N49" s="4">
        <v>0</v>
      </c>
      <c r="O49" s="4">
        <v>309</v>
      </c>
      <c r="P49" s="4">
        <v>309</v>
      </c>
    </row>
    <row r="50" spans="1:20" s="5" customFormat="1" ht="13.9" customHeight="1">
      <c r="A50" s="583"/>
      <c r="B50" s="584"/>
      <c r="C50" s="584"/>
      <c r="D50" s="584"/>
      <c r="E50" s="584"/>
      <c r="F50" s="590"/>
      <c r="G50" s="590"/>
      <c r="H50" s="590"/>
      <c r="I50" s="591"/>
      <c r="J50" s="591"/>
      <c r="K50" s="592"/>
      <c r="L50" s="4"/>
      <c r="M50" s="4">
        <v>2300.7199999999998</v>
      </c>
      <c r="N50" s="4">
        <v>3002.72</v>
      </c>
      <c r="O50" s="4">
        <v>562.11</v>
      </c>
      <c r="P50" s="4">
        <v>562.11</v>
      </c>
    </row>
    <row r="51" spans="1:20" s="5" customFormat="1" ht="13.9" customHeight="1">
      <c r="A51" s="583"/>
      <c r="B51" s="584"/>
      <c r="C51" s="584"/>
      <c r="D51" s="584"/>
      <c r="E51" s="584"/>
      <c r="F51" s="590"/>
      <c r="G51" s="590"/>
      <c r="H51" s="590"/>
      <c r="I51" s="591"/>
      <c r="J51" s="591"/>
      <c r="K51" s="592"/>
      <c r="L51" s="4"/>
      <c r="M51" s="4">
        <v>6369.45</v>
      </c>
      <c r="N51" s="4">
        <v>6905.47</v>
      </c>
      <c r="O51" s="4">
        <v>6119.16</v>
      </c>
      <c r="P51" s="4">
        <v>9046.5499999999993</v>
      </c>
    </row>
    <row r="52" spans="1:20" s="5" customFormat="1" ht="13.9" customHeight="1">
      <c r="A52" s="583"/>
      <c r="B52" s="584"/>
      <c r="C52" s="584"/>
      <c r="D52" s="584"/>
      <c r="E52" s="584"/>
      <c r="F52" s="590"/>
      <c r="G52" s="590"/>
      <c r="H52" s="590"/>
      <c r="I52" s="591"/>
      <c r="J52" s="591"/>
      <c r="K52" s="592"/>
      <c r="L52" s="4"/>
      <c r="M52" s="4">
        <v>7896.36</v>
      </c>
      <c r="N52" s="4">
        <v>7805.84</v>
      </c>
      <c r="O52" s="4">
        <v>1921.33</v>
      </c>
      <c r="P52" s="4">
        <v>13505.69</v>
      </c>
    </row>
    <row r="53" spans="1:20" s="5" customFormat="1" ht="13.9" customHeight="1" thickBot="1">
      <c r="A53" s="588"/>
      <c r="B53" s="589"/>
      <c r="C53" s="589"/>
      <c r="D53" s="589"/>
      <c r="E53" s="589"/>
      <c r="F53" s="593"/>
      <c r="G53" s="593"/>
      <c r="H53" s="593"/>
      <c r="I53" s="594"/>
      <c r="J53" s="594"/>
      <c r="K53" s="595"/>
      <c r="L53" s="4"/>
      <c r="M53" s="4">
        <v>140</v>
      </c>
      <c r="N53" s="4">
        <v>139.6</v>
      </c>
      <c r="O53" s="4">
        <v>218.6</v>
      </c>
      <c r="P53" s="4">
        <v>209.5</v>
      </c>
    </row>
    <row r="54" spans="1:20" s="175" customFormat="1" ht="18" customHeight="1" thickTop="1">
      <c r="A54" s="227"/>
      <c r="B54" s="227"/>
      <c r="C54" s="227"/>
      <c r="D54" s="227"/>
      <c r="E54" s="227"/>
      <c r="F54" s="116"/>
      <c r="G54" s="116"/>
      <c r="H54" s="116"/>
      <c r="I54" s="116"/>
      <c r="J54" s="116"/>
      <c r="K54" s="117"/>
      <c r="L54" s="118"/>
      <c r="M54" s="118"/>
      <c r="N54" s="118"/>
      <c r="O54" s="118"/>
      <c r="P54" s="119"/>
      <c r="Q54" s="120"/>
      <c r="R54" s="120"/>
      <c r="S54" s="120"/>
      <c r="T54" s="121"/>
    </row>
    <row r="55" spans="1:20" s="111" customFormat="1" ht="48" customHeight="1">
      <c r="A55" s="596" t="s">
        <v>87</v>
      </c>
      <c r="B55" s="596"/>
      <c r="C55" s="596"/>
      <c r="D55" s="596"/>
      <c r="E55" s="596"/>
      <c r="F55" s="596"/>
      <c r="G55" s="596"/>
      <c r="H55" s="596"/>
      <c r="I55" s="596"/>
      <c r="J55" s="596"/>
      <c r="K55" s="596"/>
      <c r="L55" s="108"/>
      <c r="M55" s="109"/>
      <c r="N55" s="110"/>
    </row>
    <row r="56" spans="1:20" s="112" customFormat="1" ht="18" customHeight="1">
      <c r="A56" s="597" t="s">
        <v>599</v>
      </c>
      <c r="B56" s="597"/>
      <c r="C56" s="597"/>
      <c r="D56" s="597"/>
      <c r="E56" s="597"/>
      <c r="F56" s="597"/>
      <c r="G56" s="597"/>
      <c r="H56" s="597"/>
      <c r="I56" s="597"/>
      <c r="J56" s="597"/>
      <c r="K56" s="597"/>
    </row>
    <row r="57" spans="1:20" s="175" customFormat="1" ht="20.100000000000001" customHeight="1">
      <c r="A57" s="598" t="s">
        <v>90</v>
      </c>
      <c r="B57" s="598"/>
      <c r="C57" s="598"/>
      <c r="D57" s="598"/>
      <c r="E57" s="598"/>
      <c r="F57" s="598"/>
      <c r="G57" s="598"/>
      <c r="H57" s="598"/>
      <c r="I57" s="598"/>
      <c r="J57" s="598"/>
      <c r="K57" s="598"/>
      <c r="L57" s="123"/>
      <c r="M57" s="124"/>
      <c r="N57" s="123"/>
      <c r="O57" s="123"/>
      <c r="P57" s="123"/>
      <c r="Q57" s="123"/>
      <c r="R57" s="123"/>
      <c r="S57" s="123"/>
      <c r="T57" s="123"/>
    </row>
    <row r="58" spans="1:20" s="175" customFormat="1" ht="15.95" customHeight="1">
      <c r="A58" s="599" t="s">
        <v>91</v>
      </c>
      <c r="B58" s="599"/>
      <c r="C58" s="599"/>
      <c r="D58" s="599"/>
      <c r="E58" s="599"/>
      <c r="F58" s="599"/>
      <c r="G58" s="599"/>
      <c r="H58" s="599"/>
      <c r="I58" s="599"/>
      <c r="J58" s="599"/>
      <c r="K58" s="599"/>
      <c r="L58" s="123"/>
      <c r="M58" s="124"/>
      <c r="N58" s="123"/>
      <c r="O58" s="123"/>
      <c r="P58" s="123"/>
      <c r="Q58" s="123"/>
      <c r="R58" s="123"/>
      <c r="S58" s="123"/>
      <c r="T58" s="123"/>
    </row>
    <row r="59" spans="1:20" s="175" customFormat="1" ht="15.95" customHeight="1">
      <c r="A59" s="600" t="str">
        <f>A4</f>
        <v>PHẦN C.: CẦU VƯỢT</v>
      </c>
      <c r="B59" s="601"/>
      <c r="C59" s="601"/>
      <c r="D59" s="601"/>
      <c r="E59" s="601"/>
      <c r="F59" s="601"/>
      <c r="G59" s="601"/>
      <c r="H59" s="601"/>
      <c r="I59" s="601"/>
      <c r="J59" s="601"/>
      <c r="K59" s="602"/>
      <c r="L59" s="123"/>
      <c r="M59" s="124"/>
      <c r="N59" s="123"/>
      <c r="O59" s="123"/>
      <c r="P59" s="123"/>
      <c r="Q59" s="123"/>
      <c r="R59" s="123"/>
      <c r="S59" s="123"/>
      <c r="T59" s="123"/>
    </row>
    <row r="60" spans="1:20" s="175" customFormat="1" ht="15.95" customHeight="1">
      <c r="A60" s="228" t="str">
        <f>A5</f>
        <v>Hạng mục C.II. HỆ MẶT CẦU, LAN CAN, THẢM MẶT CẦU, THOÁT NƯỚC, KHE CO GIÃN</v>
      </c>
      <c r="B60" s="229"/>
      <c r="C60" s="127"/>
      <c r="D60" s="127"/>
      <c r="E60" s="128"/>
      <c r="F60" s="129"/>
      <c r="G60" s="129"/>
      <c r="H60" s="129"/>
      <c r="I60" s="129"/>
      <c r="J60" s="129"/>
      <c r="K60" s="130"/>
      <c r="L60" s="123"/>
      <c r="M60" s="124"/>
      <c r="N60" s="123"/>
      <c r="O60" s="123"/>
      <c r="P60" s="123"/>
      <c r="Q60" s="123"/>
      <c r="R60" s="123"/>
      <c r="S60" s="123"/>
      <c r="T60" s="123"/>
    </row>
    <row r="61" spans="1:20" s="175" customFormat="1" ht="15.95" customHeight="1">
      <c r="A61" s="228" t="str">
        <f>A6</f>
        <v>Mục C.II.1.1.6. SX+LD cốt thép bệ móng + thân mô D ≤ 18 trên cạn</v>
      </c>
      <c r="B61" s="229"/>
      <c r="C61" s="127"/>
      <c r="D61" s="127"/>
      <c r="E61" s="128"/>
      <c r="F61" s="129"/>
      <c r="G61" s="129"/>
      <c r="H61" s="129"/>
      <c r="I61" s="129"/>
      <c r="J61" s="129"/>
      <c r="K61" s="130"/>
      <c r="L61" s="123"/>
      <c r="M61" s="124"/>
      <c r="N61" s="123"/>
      <c r="O61" s="123"/>
      <c r="P61" s="123"/>
      <c r="Q61" s="123"/>
      <c r="R61" s="123"/>
      <c r="S61" s="123"/>
      <c r="T61" s="123"/>
    </row>
    <row r="62" spans="1:20" s="175" customFormat="1" ht="15.95" customHeight="1">
      <c r="A62" s="639">
        <f>A7</f>
        <v>53.91</v>
      </c>
      <c r="B62" s="640"/>
      <c r="C62" s="640"/>
      <c r="D62" s="640"/>
      <c r="E62" s="131" t="str">
        <f>E7</f>
        <v>(T)</v>
      </c>
      <c r="F62" s="132"/>
      <c r="G62" s="132"/>
      <c r="H62" s="132"/>
      <c r="I62" s="132"/>
      <c r="J62" s="132"/>
      <c r="K62" s="133"/>
      <c r="L62" s="173"/>
      <c r="M62" s="135"/>
      <c r="N62" s="174"/>
      <c r="P62" s="174"/>
    </row>
    <row r="63" spans="1:20" s="5" customFormat="1" ht="13.5" customHeight="1" thickBot="1">
      <c r="A63" s="28"/>
      <c r="B63" s="28"/>
      <c r="C63" s="28"/>
      <c r="D63" s="28"/>
      <c r="E63" s="28"/>
      <c r="F63" s="30"/>
      <c r="G63" s="30"/>
      <c r="H63" s="30"/>
      <c r="I63" s="30"/>
      <c r="J63" s="30"/>
      <c r="K63" s="8"/>
      <c r="L63" s="23"/>
      <c r="M63" s="9"/>
      <c r="N63" s="4"/>
      <c r="O63" s="4"/>
      <c r="P63" s="4"/>
      <c r="R63" s="4"/>
      <c r="S63" s="4"/>
      <c r="T63" s="4"/>
    </row>
    <row r="64" spans="1:20" s="5" customFormat="1" ht="21.6" customHeight="1" thickTop="1">
      <c r="A64" s="576" t="s">
        <v>3</v>
      </c>
      <c r="B64" s="641" t="s">
        <v>84</v>
      </c>
      <c r="C64" s="641"/>
      <c r="D64" s="643" t="s">
        <v>96</v>
      </c>
      <c r="E64" s="643"/>
      <c r="F64" s="643"/>
      <c r="G64" s="643"/>
      <c r="H64" s="641" t="s">
        <v>89</v>
      </c>
      <c r="I64" s="641"/>
      <c r="J64" s="641" t="s">
        <v>85</v>
      </c>
      <c r="K64" s="645"/>
      <c r="L64"/>
      <c r="M64" s="94"/>
      <c r="N64" s="94"/>
      <c r="O64" s="95"/>
      <c r="P64" s="96"/>
    </row>
    <row r="65" spans="1:16" s="5" customFormat="1" ht="21.6" customHeight="1">
      <c r="A65" s="577"/>
      <c r="B65" s="642"/>
      <c r="C65" s="642"/>
      <c r="D65" s="644"/>
      <c r="E65" s="644"/>
      <c r="F65" s="644"/>
      <c r="G65" s="644"/>
      <c r="H65" s="642"/>
      <c r="I65" s="642"/>
      <c r="J65" s="642"/>
      <c r="K65" s="646"/>
      <c r="L65"/>
      <c r="M65" s="97"/>
      <c r="N65" s="97"/>
      <c r="O65" s="98"/>
      <c r="P65" s="99"/>
    </row>
    <row r="66" spans="1:16" s="5" customFormat="1" ht="17.100000000000001" customHeight="1">
      <c r="A66" s="100">
        <v>1</v>
      </c>
      <c r="B66" s="623" t="str">
        <f>"Tháng "&amp;IF(L66&lt;10,0&amp;L66&amp;"/"&amp;M66,L66&amp;"/"&amp;M66)</f>
        <v>Tháng 08/2017</v>
      </c>
      <c r="C66" s="623"/>
      <c r="D66" s="624" t="str">
        <f>N6</f>
        <v>SX+LD cốt thép bệ móng + thân mô D ≤ 18 trên cạn</v>
      </c>
      <c r="E66" s="624"/>
      <c r="F66" s="624"/>
      <c r="G66" s="624"/>
      <c r="H66" s="625">
        <f t="shared" ref="H66:H89" si="42">+SUMIFS($I$12:$I$42,$B$12:$B$42,"&gt;="&amp;$O66,$B$12:$B$42,"&lt;="&amp;$P66)</f>
        <v>0</v>
      </c>
      <c r="I66" s="625"/>
      <c r="J66" s="623"/>
      <c r="K66" s="626"/>
      <c r="L66">
        <v>8</v>
      </c>
      <c r="M66" s="101">
        <v>2017</v>
      </c>
      <c r="N66" s="97"/>
      <c r="O66" s="103">
        <f t="shared" ref="O66:O90" si="43">DATE(M66,L66,1)</f>
        <v>42948</v>
      </c>
      <c r="P66" s="103">
        <f t="shared" ref="P66:P90" si="44">DATE(M66,L66+1,0)</f>
        <v>42978</v>
      </c>
    </row>
    <row r="67" spans="1:16" s="5" customFormat="1" ht="17.100000000000001" customHeight="1">
      <c r="A67" s="104">
        <v>2</v>
      </c>
      <c r="B67" s="567" t="str">
        <f t="shared" ref="B67:B91" si="45">"Tháng "&amp;IF(L67&lt;10,0&amp;L67&amp;"/"&amp;M67,L67&amp;"/"&amp;M67)</f>
        <v>Tháng 09/2017</v>
      </c>
      <c r="C67" s="567"/>
      <c r="D67" s="568" t="str">
        <f>D66</f>
        <v>SX+LD cốt thép bệ móng + thân mô D ≤ 18 trên cạn</v>
      </c>
      <c r="E67" s="568"/>
      <c r="F67" s="568"/>
      <c r="G67" s="568"/>
      <c r="H67" s="569">
        <f t="shared" si="42"/>
        <v>0</v>
      </c>
      <c r="I67" s="569"/>
      <c r="J67" s="567"/>
      <c r="K67" s="570"/>
      <c r="L67">
        <v>9</v>
      </c>
      <c r="M67" s="101">
        <v>2017</v>
      </c>
      <c r="N67"/>
      <c r="O67" s="103">
        <f t="shared" si="43"/>
        <v>42979</v>
      </c>
      <c r="P67" s="103">
        <f t="shared" si="44"/>
        <v>43008</v>
      </c>
    </row>
    <row r="68" spans="1:16" s="5" customFormat="1" ht="17.100000000000001" customHeight="1">
      <c r="A68" s="104">
        <f>A67+1</f>
        <v>3</v>
      </c>
      <c r="B68" s="567" t="str">
        <f t="shared" si="45"/>
        <v>Tháng 10/2017</v>
      </c>
      <c r="C68" s="567"/>
      <c r="D68" s="568" t="str">
        <f t="shared" ref="D68:D90" si="46">D67</f>
        <v>SX+LD cốt thép bệ móng + thân mô D ≤ 18 trên cạn</v>
      </c>
      <c r="E68" s="568"/>
      <c r="F68" s="568"/>
      <c r="G68" s="568"/>
      <c r="H68" s="569">
        <f t="shared" si="42"/>
        <v>0</v>
      </c>
      <c r="I68" s="569"/>
      <c r="J68" s="567"/>
      <c r="K68" s="570"/>
      <c r="L68">
        <v>10</v>
      </c>
      <c r="M68" s="101">
        <v>2017</v>
      </c>
      <c r="N68"/>
      <c r="O68" s="103">
        <f t="shared" si="43"/>
        <v>43009</v>
      </c>
      <c r="P68" s="103">
        <f t="shared" si="44"/>
        <v>43039</v>
      </c>
    </row>
    <row r="69" spans="1:16" s="5" customFormat="1" ht="17.100000000000001" customHeight="1">
      <c r="A69" s="104">
        <f t="shared" ref="A69:A91" si="47">A68+1</f>
        <v>4</v>
      </c>
      <c r="B69" s="567" t="str">
        <f t="shared" si="45"/>
        <v>Tháng 11/2017</v>
      </c>
      <c r="C69" s="567"/>
      <c r="D69" s="568" t="str">
        <f t="shared" si="46"/>
        <v>SX+LD cốt thép bệ móng + thân mô D ≤ 18 trên cạn</v>
      </c>
      <c r="E69" s="568"/>
      <c r="F69" s="568"/>
      <c r="G69" s="568"/>
      <c r="H69" s="569">
        <f t="shared" si="42"/>
        <v>0</v>
      </c>
      <c r="I69" s="569"/>
      <c r="J69" s="567"/>
      <c r="K69" s="570"/>
      <c r="L69">
        <v>11</v>
      </c>
      <c r="M69" s="101">
        <v>2017</v>
      </c>
      <c r="N69"/>
      <c r="O69" s="103">
        <f t="shared" si="43"/>
        <v>43040</v>
      </c>
      <c r="P69" s="103">
        <f t="shared" si="44"/>
        <v>43069</v>
      </c>
    </row>
    <row r="70" spans="1:16" s="5" customFormat="1" ht="17.100000000000001" customHeight="1">
      <c r="A70" s="104">
        <f t="shared" si="47"/>
        <v>5</v>
      </c>
      <c r="B70" s="567" t="str">
        <f t="shared" si="45"/>
        <v>Tháng 12/2017</v>
      </c>
      <c r="C70" s="567"/>
      <c r="D70" s="568" t="str">
        <f t="shared" si="46"/>
        <v>SX+LD cốt thép bệ móng + thân mô D ≤ 18 trên cạn</v>
      </c>
      <c r="E70" s="568"/>
      <c r="F70" s="568"/>
      <c r="G70" s="568"/>
      <c r="H70" s="569">
        <f t="shared" si="42"/>
        <v>0</v>
      </c>
      <c r="I70" s="569"/>
      <c r="J70" s="567"/>
      <c r="K70" s="570"/>
      <c r="L70">
        <v>12</v>
      </c>
      <c r="M70" s="101">
        <v>2017</v>
      </c>
      <c r="N70"/>
      <c r="O70" s="103">
        <f t="shared" si="43"/>
        <v>43070</v>
      </c>
      <c r="P70" s="103">
        <f t="shared" si="44"/>
        <v>43100</v>
      </c>
    </row>
    <row r="71" spans="1:16" s="5" customFormat="1" ht="17.100000000000001" customHeight="1">
      <c r="A71" s="104">
        <f t="shared" si="47"/>
        <v>6</v>
      </c>
      <c r="B71" s="567" t="str">
        <f t="shared" si="45"/>
        <v>Tháng 01/2018</v>
      </c>
      <c r="C71" s="567"/>
      <c r="D71" s="568" t="str">
        <f t="shared" si="46"/>
        <v>SX+LD cốt thép bệ móng + thân mô D ≤ 18 trên cạn</v>
      </c>
      <c r="E71" s="568"/>
      <c r="F71" s="568"/>
      <c r="G71" s="568"/>
      <c r="H71" s="569">
        <f t="shared" si="42"/>
        <v>0</v>
      </c>
      <c r="I71" s="569"/>
      <c r="J71" s="567"/>
      <c r="K71" s="570"/>
      <c r="L71">
        <v>1</v>
      </c>
      <c r="M71" s="101">
        <v>2018</v>
      </c>
      <c r="N71"/>
      <c r="O71" s="103">
        <f t="shared" si="43"/>
        <v>43101</v>
      </c>
      <c r="P71" s="103">
        <f t="shared" si="44"/>
        <v>43131</v>
      </c>
    </row>
    <row r="72" spans="1:16" s="5" customFormat="1" ht="17.100000000000001" customHeight="1">
      <c r="A72" s="104">
        <f t="shared" si="47"/>
        <v>7</v>
      </c>
      <c r="B72" s="567" t="str">
        <f t="shared" si="45"/>
        <v>Tháng 02/2018</v>
      </c>
      <c r="C72" s="567"/>
      <c r="D72" s="568" t="str">
        <f t="shared" si="46"/>
        <v>SX+LD cốt thép bệ móng + thân mô D ≤ 18 trên cạn</v>
      </c>
      <c r="E72" s="568"/>
      <c r="F72" s="568"/>
      <c r="G72" s="568"/>
      <c r="H72" s="569">
        <f t="shared" si="42"/>
        <v>0</v>
      </c>
      <c r="I72" s="569"/>
      <c r="J72" s="567"/>
      <c r="K72" s="570"/>
      <c r="L72">
        <v>2</v>
      </c>
      <c r="M72" s="101">
        <v>2018</v>
      </c>
      <c r="N72"/>
      <c r="O72" s="103">
        <f t="shared" si="43"/>
        <v>43132</v>
      </c>
      <c r="P72" s="103">
        <f t="shared" si="44"/>
        <v>43159</v>
      </c>
    </row>
    <row r="73" spans="1:16" s="5" customFormat="1" ht="17.100000000000001" customHeight="1">
      <c r="A73" s="104">
        <f t="shared" si="47"/>
        <v>8</v>
      </c>
      <c r="B73" s="567" t="str">
        <f t="shared" si="45"/>
        <v>Tháng 03/2018</v>
      </c>
      <c r="C73" s="567"/>
      <c r="D73" s="568" t="str">
        <f t="shared" si="46"/>
        <v>SX+LD cốt thép bệ móng + thân mô D ≤ 18 trên cạn</v>
      </c>
      <c r="E73" s="568"/>
      <c r="F73" s="568"/>
      <c r="G73" s="568"/>
      <c r="H73" s="569">
        <f t="shared" si="42"/>
        <v>0</v>
      </c>
      <c r="I73" s="569"/>
      <c r="J73" s="567"/>
      <c r="K73" s="570"/>
      <c r="L73">
        <v>3</v>
      </c>
      <c r="M73" s="101">
        <v>2018</v>
      </c>
      <c r="N73"/>
      <c r="O73" s="103">
        <f t="shared" si="43"/>
        <v>43160</v>
      </c>
      <c r="P73" s="103">
        <f t="shared" si="44"/>
        <v>43190</v>
      </c>
    </row>
    <row r="74" spans="1:16" s="5" customFormat="1" ht="17.100000000000001" customHeight="1">
      <c r="A74" s="104">
        <f t="shared" si="47"/>
        <v>9</v>
      </c>
      <c r="B74" s="567" t="str">
        <f t="shared" si="45"/>
        <v>Tháng 04/2018</v>
      </c>
      <c r="C74" s="567"/>
      <c r="D74" s="568" t="str">
        <f t="shared" si="46"/>
        <v>SX+LD cốt thép bệ móng + thân mô D ≤ 18 trên cạn</v>
      </c>
      <c r="E74" s="568"/>
      <c r="F74" s="568"/>
      <c r="G74" s="568"/>
      <c r="H74" s="569">
        <f t="shared" si="42"/>
        <v>0</v>
      </c>
      <c r="I74" s="569"/>
      <c r="J74" s="567"/>
      <c r="K74" s="570"/>
      <c r="L74">
        <v>4</v>
      </c>
      <c r="M74" s="101">
        <v>2018</v>
      </c>
      <c r="N74"/>
      <c r="O74" s="103">
        <f t="shared" si="43"/>
        <v>43191</v>
      </c>
      <c r="P74" s="103">
        <f t="shared" si="44"/>
        <v>43220</v>
      </c>
    </row>
    <row r="75" spans="1:16" s="5" customFormat="1" ht="17.100000000000001" customHeight="1">
      <c r="A75" s="104">
        <f t="shared" si="47"/>
        <v>10</v>
      </c>
      <c r="B75" s="567" t="str">
        <f t="shared" si="45"/>
        <v>Tháng 05/2018</v>
      </c>
      <c r="C75" s="567"/>
      <c r="D75" s="568" t="str">
        <f t="shared" si="46"/>
        <v>SX+LD cốt thép bệ móng + thân mô D ≤ 18 trên cạn</v>
      </c>
      <c r="E75" s="568"/>
      <c r="F75" s="568"/>
      <c r="G75" s="568"/>
      <c r="H75" s="569">
        <f t="shared" si="42"/>
        <v>0</v>
      </c>
      <c r="I75" s="569"/>
      <c r="J75" s="567"/>
      <c r="K75" s="570"/>
      <c r="L75">
        <v>5</v>
      </c>
      <c r="M75" s="101">
        <v>2018</v>
      </c>
      <c r="N75"/>
      <c r="O75" s="103">
        <f t="shared" si="43"/>
        <v>43221</v>
      </c>
      <c r="P75" s="103">
        <f t="shared" si="44"/>
        <v>43251</v>
      </c>
    </row>
    <row r="76" spans="1:16" s="5" customFormat="1" ht="17.100000000000001" customHeight="1">
      <c r="A76" s="104">
        <f t="shared" si="47"/>
        <v>11</v>
      </c>
      <c r="B76" s="567" t="str">
        <f t="shared" si="45"/>
        <v>Tháng 06/2018</v>
      </c>
      <c r="C76" s="567"/>
      <c r="D76" s="568" t="str">
        <f t="shared" si="46"/>
        <v>SX+LD cốt thép bệ móng + thân mô D ≤ 18 trên cạn</v>
      </c>
      <c r="E76" s="568"/>
      <c r="F76" s="568"/>
      <c r="G76" s="568"/>
      <c r="H76" s="569">
        <f t="shared" si="42"/>
        <v>0</v>
      </c>
      <c r="I76" s="569"/>
      <c r="J76" s="567"/>
      <c r="K76" s="570"/>
      <c r="L76">
        <v>6</v>
      </c>
      <c r="M76" s="101">
        <v>2018</v>
      </c>
      <c r="N76"/>
      <c r="O76" s="103">
        <f t="shared" si="43"/>
        <v>43252</v>
      </c>
      <c r="P76" s="103">
        <f t="shared" si="44"/>
        <v>43281</v>
      </c>
    </row>
    <row r="77" spans="1:16" s="5" customFormat="1" ht="17.100000000000001" customHeight="1">
      <c r="A77" s="104">
        <f t="shared" si="47"/>
        <v>12</v>
      </c>
      <c r="B77" s="567" t="str">
        <f t="shared" si="45"/>
        <v>Tháng 07/2018</v>
      </c>
      <c r="C77" s="567"/>
      <c r="D77" s="568" t="str">
        <f t="shared" si="46"/>
        <v>SX+LD cốt thép bệ móng + thân mô D ≤ 18 trên cạn</v>
      </c>
      <c r="E77" s="568"/>
      <c r="F77" s="568"/>
      <c r="G77" s="568"/>
      <c r="H77" s="569">
        <f t="shared" si="42"/>
        <v>7.7024851600000002</v>
      </c>
      <c r="I77" s="569"/>
      <c r="J77" s="567"/>
      <c r="K77" s="570"/>
      <c r="L77">
        <v>7</v>
      </c>
      <c r="M77" s="101">
        <v>2018</v>
      </c>
      <c r="N77"/>
      <c r="O77" s="103">
        <f t="shared" si="43"/>
        <v>43282</v>
      </c>
      <c r="P77" s="103">
        <f t="shared" si="44"/>
        <v>43312</v>
      </c>
    </row>
    <row r="78" spans="1:16" s="5" customFormat="1" ht="17.100000000000001" customHeight="1">
      <c r="A78" s="104">
        <f t="shared" si="47"/>
        <v>13</v>
      </c>
      <c r="B78" s="567" t="str">
        <f t="shared" si="45"/>
        <v>Tháng 08/2018</v>
      </c>
      <c r="C78" s="567"/>
      <c r="D78" s="568" t="str">
        <f t="shared" si="46"/>
        <v>SX+LD cốt thép bệ móng + thân mô D ≤ 18 trên cạn</v>
      </c>
      <c r="E78" s="568"/>
      <c r="F78" s="568"/>
      <c r="G78" s="568"/>
      <c r="H78" s="569">
        <f t="shared" si="42"/>
        <v>22.335743519999998</v>
      </c>
      <c r="I78" s="569"/>
      <c r="J78" s="567"/>
      <c r="K78" s="570"/>
      <c r="L78">
        <v>8</v>
      </c>
      <c r="M78" s="101">
        <v>2018</v>
      </c>
      <c r="N78"/>
      <c r="O78" s="103">
        <f t="shared" si="43"/>
        <v>43313</v>
      </c>
      <c r="P78" s="103">
        <f t="shared" si="44"/>
        <v>43343</v>
      </c>
    </row>
    <row r="79" spans="1:16" s="5" customFormat="1" ht="17.100000000000001" customHeight="1">
      <c r="A79" s="104">
        <f t="shared" si="47"/>
        <v>14</v>
      </c>
      <c r="B79" s="567" t="str">
        <f t="shared" si="45"/>
        <v>Tháng 09/2018</v>
      </c>
      <c r="C79" s="567"/>
      <c r="D79" s="568" t="str">
        <f t="shared" si="46"/>
        <v>SX+LD cốt thép bệ móng + thân mô D ≤ 18 trên cạn</v>
      </c>
      <c r="E79" s="568"/>
      <c r="F79" s="568"/>
      <c r="G79" s="568"/>
      <c r="H79" s="569">
        <f t="shared" si="42"/>
        <v>21.131915279999998</v>
      </c>
      <c r="I79" s="569"/>
      <c r="J79" s="567"/>
      <c r="K79" s="570"/>
      <c r="L79">
        <v>9</v>
      </c>
      <c r="M79" s="101">
        <v>2018</v>
      </c>
      <c r="N79"/>
      <c r="O79" s="103">
        <f t="shared" si="43"/>
        <v>43344</v>
      </c>
      <c r="P79" s="103">
        <f t="shared" si="44"/>
        <v>43373</v>
      </c>
    </row>
    <row r="80" spans="1:16" s="5" customFormat="1" ht="17.100000000000001" customHeight="1">
      <c r="A80" s="104">
        <f t="shared" si="47"/>
        <v>15</v>
      </c>
      <c r="B80" s="567" t="str">
        <f t="shared" si="45"/>
        <v>Tháng 10/2018</v>
      </c>
      <c r="C80" s="567"/>
      <c r="D80" s="568" t="str">
        <f t="shared" si="46"/>
        <v>SX+LD cốt thép bệ móng + thân mô D ≤ 18 trên cạn</v>
      </c>
      <c r="E80" s="568"/>
      <c r="F80" s="568"/>
      <c r="G80" s="568"/>
      <c r="H80" s="569">
        <f t="shared" si="42"/>
        <v>2.7389999999999999</v>
      </c>
      <c r="I80" s="569"/>
      <c r="J80" s="567"/>
      <c r="K80" s="570"/>
      <c r="L80">
        <v>10</v>
      </c>
      <c r="M80" s="101">
        <v>2018</v>
      </c>
      <c r="N80"/>
      <c r="O80" s="103">
        <f t="shared" si="43"/>
        <v>43374</v>
      </c>
      <c r="P80" s="103">
        <f t="shared" si="44"/>
        <v>43404</v>
      </c>
    </row>
    <row r="81" spans="1:16" s="5" customFormat="1" ht="17.100000000000001" customHeight="1">
      <c r="A81" s="104">
        <f t="shared" si="47"/>
        <v>16</v>
      </c>
      <c r="B81" s="567" t="str">
        <f t="shared" si="45"/>
        <v>Tháng 11/2018</v>
      </c>
      <c r="C81" s="567"/>
      <c r="D81" s="568" t="str">
        <f t="shared" si="46"/>
        <v>SX+LD cốt thép bệ móng + thân mô D ≤ 18 trên cạn</v>
      </c>
      <c r="E81" s="568"/>
      <c r="F81" s="568"/>
      <c r="G81" s="568"/>
      <c r="H81" s="569">
        <f t="shared" si="42"/>
        <v>0</v>
      </c>
      <c r="I81" s="569"/>
      <c r="J81" s="567"/>
      <c r="K81" s="570"/>
      <c r="L81">
        <v>11</v>
      </c>
      <c r="M81" s="101">
        <v>2018</v>
      </c>
      <c r="N81"/>
      <c r="O81" s="103">
        <f t="shared" si="43"/>
        <v>43405</v>
      </c>
      <c r="P81" s="103">
        <f t="shared" si="44"/>
        <v>43434</v>
      </c>
    </row>
    <row r="82" spans="1:16" s="5" customFormat="1" ht="17.100000000000001" customHeight="1">
      <c r="A82" s="104">
        <f t="shared" si="47"/>
        <v>17</v>
      </c>
      <c r="B82" s="567" t="str">
        <f t="shared" si="45"/>
        <v>Tháng 12/2018</v>
      </c>
      <c r="C82" s="567"/>
      <c r="D82" s="568" t="str">
        <f t="shared" si="46"/>
        <v>SX+LD cốt thép bệ móng + thân mô D ≤ 18 trên cạn</v>
      </c>
      <c r="E82" s="568"/>
      <c r="F82" s="568"/>
      <c r="G82" s="568"/>
      <c r="H82" s="569">
        <f t="shared" si="42"/>
        <v>0</v>
      </c>
      <c r="I82" s="569"/>
      <c r="J82" s="567"/>
      <c r="K82" s="570"/>
      <c r="L82">
        <v>12</v>
      </c>
      <c r="M82" s="101">
        <v>2018</v>
      </c>
      <c r="N82"/>
      <c r="O82" s="103">
        <f t="shared" si="43"/>
        <v>43435</v>
      </c>
      <c r="P82" s="103">
        <f t="shared" si="44"/>
        <v>43465</v>
      </c>
    </row>
    <row r="83" spans="1:16" s="5" customFormat="1" ht="17.100000000000001" customHeight="1">
      <c r="A83" s="104">
        <f t="shared" si="47"/>
        <v>18</v>
      </c>
      <c r="B83" s="567" t="str">
        <f t="shared" si="45"/>
        <v>Tháng 01/2019</v>
      </c>
      <c r="C83" s="567"/>
      <c r="D83" s="568" t="str">
        <f t="shared" si="46"/>
        <v>SX+LD cốt thép bệ móng + thân mô D ≤ 18 trên cạn</v>
      </c>
      <c r="E83" s="568"/>
      <c r="F83" s="568"/>
      <c r="G83" s="568"/>
      <c r="H83" s="569">
        <f t="shared" si="42"/>
        <v>0</v>
      </c>
      <c r="I83" s="569"/>
      <c r="J83" s="567"/>
      <c r="K83" s="570"/>
      <c r="L83">
        <v>1</v>
      </c>
      <c r="M83" s="101">
        <v>2019</v>
      </c>
      <c r="N83"/>
      <c r="O83" s="103">
        <f t="shared" si="43"/>
        <v>43466</v>
      </c>
      <c r="P83" s="103">
        <f t="shared" si="44"/>
        <v>43496</v>
      </c>
    </row>
    <row r="84" spans="1:16" s="5" customFormat="1" ht="17.100000000000001" customHeight="1">
      <c r="A84" s="104">
        <f t="shared" si="47"/>
        <v>19</v>
      </c>
      <c r="B84" s="567" t="str">
        <f t="shared" si="45"/>
        <v>Tháng 02/2019</v>
      </c>
      <c r="C84" s="567"/>
      <c r="D84" s="568" t="str">
        <f t="shared" si="46"/>
        <v>SX+LD cốt thép bệ móng + thân mô D ≤ 18 trên cạn</v>
      </c>
      <c r="E84" s="568"/>
      <c r="F84" s="568"/>
      <c r="G84" s="568"/>
      <c r="H84" s="569">
        <f t="shared" si="42"/>
        <v>0</v>
      </c>
      <c r="I84" s="569"/>
      <c r="J84" s="567"/>
      <c r="K84" s="570"/>
      <c r="L84">
        <v>2</v>
      </c>
      <c r="M84" s="101">
        <v>2019</v>
      </c>
      <c r="N84"/>
      <c r="O84" s="103">
        <f t="shared" si="43"/>
        <v>43497</v>
      </c>
      <c r="P84" s="103">
        <f t="shared" si="44"/>
        <v>43524</v>
      </c>
    </row>
    <row r="85" spans="1:16" s="5" customFormat="1" ht="17.100000000000001" customHeight="1">
      <c r="A85" s="104">
        <f t="shared" si="47"/>
        <v>20</v>
      </c>
      <c r="B85" s="567" t="str">
        <f t="shared" si="45"/>
        <v>Tháng 03/2019</v>
      </c>
      <c r="C85" s="567"/>
      <c r="D85" s="568" t="str">
        <f t="shared" si="46"/>
        <v>SX+LD cốt thép bệ móng + thân mô D ≤ 18 trên cạn</v>
      </c>
      <c r="E85" s="568"/>
      <c r="F85" s="568"/>
      <c r="G85" s="568"/>
      <c r="H85" s="569">
        <f t="shared" si="42"/>
        <v>0</v>
      </c>
      <c r="I85" s="569"/>
      <c r="J85" s="567"/>
      <c r="K85" s="570"/>
      <c r="L85">
        <v>3</v>
      </c>
      <c r="M85" s="101">
        <v>2019</v>
      </c>
      <c r="N85"/>
      <c r="O85" s="103">
        <f t="shared" si="43"/>
        <v>43525</v>
      </c>
      <c r="P85" s="103">
        <f t="shared" si="44"/>
        <v>43555</v>
      </c>
    </row>
    <row r="86" spans="1:16" s="5" customFormat="1" ht="17.100000000000001" customHeight="1">
      <c r="A86" s="104">
        <f t="shared" si="47"/>
        <v>21</v>
      </c>
      <c r="B86" s="567" t="str">
        <f t="shared" si="45"/>
        <v>Tháng 04/2019</v>
      </c>
      <c r="C86" s="567"/>
      <c r="D86" s="568" t="str">
        <f t="shared" si="46"/>
        <v>SX+LD cốt thép bệ móng + thân mô D ≤ 18 trên cạn</v>
      </c>
      <c r="E86" s="568"/>
      <c r="F86" s="568"/>
      <c r="G86" s="568"/>
      <c r="H86" s="569">
        <f t="shared" si="42"/>
        <v>0</v>
      </c>
      <c r="I86" s="569"/>
      <c r="J86" s="567"/>
      <c r="K86" s="570"/>
      <c r="L86">
        <v>4</v>
      </c>
      <c r="M86" s="101">
        <v>2019</v>
      </c>
      <c r="N86"/>
      <c r="O86" s="103">
        <f t="shared" si="43"/>
        <v>43556</v>
      </c>
      <c r="P86" s="103">
        <f t="shared" si="44"/>
        <v>43585</v>
      </c>
    </row>
    <row r="87" spans="1:16" s="5" customFormat="1" ht="17.100000000000001" customHeight="1">
      <c r="A87" s="104">
        <f t="shared" si="47"/>
        <v>22</v>
      </c>
      <c r="B87" s="567" t="str">
        <f t="shared" si="45"/>
        <v>Tháng 05/2019</v>
      </c>
      <c r="C87" s="567"/>
      <c r="D87" s="568" t="str">
        <f t="shared" si="46"/>
        <v>SX+LD cốt thép bệ móng + thân mô D ≤ 18 trên cạn</v>
      </c>
      <c r="E87" s="568"/>
      <c r="F87" s="568"/>
      <c r="G87" s="568"/>
      <c r="H87" s="569">
        <f t="shared" si="42"/>
        <v>0</v>
      </c>
      <c r="I87" s="569"/>
      <c r="J87" s="567"/>
      <c r="K87" s="570"/>
      <c r="L87">
        <v>5</v>
      </c>
      <c r="M87" s="101">
        <v>2019</v>
      </c>
      <c r="N87"/>
      <c r="O87" s="103">
        <f t="shared" si="43"/>
        <v>43586</v>
      </c>
      <c r="P87" s="103">
        <f t="shared" si="44"/>
        <v>43616</v>
      </c>
    </row>
    <row r="88" spans="1:16" s="5" customFormat="1" ht="17.100000000000001" customHeight="1">
      <c r="A88" s="104">
        <f t="shared" si="47"/>
        <v>23</v>
      </c>
      <c r="B88" s="567" t="str">
        <f t="shared" si="45"/>
        <v>Tháng 06/2019</v>
      </c>
      <c r="C88" s="567"/>
      <c r="D88" s="568" t="str">
        <f t="shared" si="46"/>
        <v>SX+LD cốt thép bệ móng + thân mô D ≤ 18 trên cạn</v>
      </c>
      <c r="E88" s="568"/>
      <c r="F88" s="568"/>
      <c r="G88" s="568"/>
      <c r="H88" s="569">
        <f t="shared" si="42"/>
        <v>0</v>
      </c>
      <c r="I88" s="569"/>
      <c r="J88" s="567"/>
      <c r="K88" s="570"/>
      <c r="L88">
        <v>6</v>
      </c>
      <c r="M88" s="101">
        <v>2019</v>
      </c>
      <c r="N88"/>
      <c r="O88" s="103">
        <f t="shared" si="43"/>
        <v>43617</v>
      </c>
      <c r="P88" s="103">
        <f t="shared" si="44"/>
        <v>43646</v>
      </c>
    </row>
    <row r="89" spans="1:16" s="5" customFormat="1" ht="17.100000000000001" customHeight="1">
      <c r="A89" s="104">
        <f t="shared" si="47"/>
        <v>24</v>
      </c>
      <c r="B89" s="567" t="str">
        <f t="shared" si="45"/>
        <v>Tháng 07/2019</v>
      </c>
      <c r="C89" s="567"/>
      <c r="D89" s="568" t="str">
        <f t="shared" si="46"/>
        <v>SX+LD cốt thép bệ móng + thân mô D ≤ 18 trên cạn</v>
      </c>
      <c r="E89" s="568"/>
      <c r="F89" s="568"/>
      <c r="G89" s="568"/>
      <c r="H89" s="569">
        <f t="shared" si="42"/>
        <v>0</v>
      </c>
      <c r="I89" s="569"/>
      <c r="J89" s="567"/>
      <c r="K89" s="570"/>
      <c r="L89">
        <v>7</v>
      </c>
      <c r="M89" s="101">
        <v>2019</v>
      </c>
      <c r="N89"/>
      <c r="O89" s="103">
        <f t="shared" si="43"/>
        <v>43647</v>
      </c>
      <c r="P89" s="103">
        <f t="shared" si="44"/>
        <v>43677</v>
      </c>
    </row>
    <row r="90" spans="1:16" s="5" customFormat="1" ht="17.100000000000001" customHeight="1">
      <c r="A90" s="104">
        <f t="shared" si="47"/>
        <v>25</v>
      </c>
      <c r="B90" s="567" t="str">
        <f t="shared" si="45"/>
        <v>Tháng 08/2019</v>
      </c>
      <c r="C90" s="567"/>
      <c r="D90" s="568" t="str">
        <f t="shared" si="46"/>
        <v>SX+LD cốt thép bệ móng + thân mô D ≤ 18 trên cạn</v>
      </c>
      <c r="E90" s="568"/>
      <c r="F90" s="568"/>
      <c r="G90" s="568"/>
      <c r="H90" s="569">
        <f>+SUMIFS($I$12:$I$57,$B$12:$B$57,"&gt;="&amp;$O90,$B$12:$B$57,"&lt;="&amp;$P90)</f>
        <v>0</v>
      </c>
      <c r="I90" s="569"/>
      <c r="J90" s="567"/>
      <c r="K90" s="570"/>
      <c r="L90">
        <v>8</v>
      </c>
      <c r="M90" s="101">
        <v>2019</v>
      </c>
      <c r="N90"/>
      <c r="O90" s="103">
        <f t="shared" si="43"/>
        <v>43678</v>
      </c>
      <c r="P90" s="103">
        <f t="shared" si="44"/>
        <v>43708</v>
      </c>
    </row>
    <row r="91" spans="1:16" s="5" customFormat="1" ht="17.100000000000001" customHeight="1">
      <c r="A91" s="104">
        <f t="shared" si="47"/>
        <v>26</v>
      </c>
      <c r="B91" s="616" t="str">
        <f t="shared" si="45"/>
        <v>Tháng 09/2019</v>
      </c>
      <c r="C91" s="616"/>
      <c r="D91" s="652" t="str">
        <f>D89</f>
        <v>SX+LD cốt thép bệ móng + thân mô D ≤ 18 trên cạn</v>
      </c>
      <c r="E91" s="652"/>
      <c r="F91" s="652"/>
      <c r="G91" s="652"/>
      <c r="H91" s="615">
        <f>+SUMIFS($I$12:$I$57,$B$12:$B$57,"&gt;="&amp;$O91,$B$12:$B$57,"&lt;="&amp;$P91)</f>
        <v>0</v>
      </c>
      <c r="I91" s="615"/>
      <c r="J91" s="616"/>
      <c r="K91" s="617"/>
      <c r="L91">
        <v>9</v>
      </c>
      <c r="M91" s="101">
        <v>2019</v>
      </c>
      <c r="N91"/>
      <c r="O91" s="103">
        <f>DATE(M91,L91,1)</f>
        <v>43709</v>
      </c>
      <c r="P91" s="103">
        <f>DATE(M91,L91+1,0)</f>
        <v>43738</v>
      </c>
    </row>
    <row r="92" spans="1:16" s="5" customFormat="1" ht="21.6" customHeight="1" thickBot="1">
      <c r="A92" s="618" t="s">
        <v>86</v>
      </c>
      <c r="B92" s="619"/>
      <c r="C92" s="619"/>
      <c r="D92" s="619"/>
      <c r="E92" s="619"/>
      <c r="F92" s="619"/>
      <c r="G92" s="620"/>
      <c r="H92" s="621">
        <f t="shared" ref="H92" si="48">SUM(H66:I91)</f>
        <v>53.909143959999987</v>
      </c>
      <c r="I92" s="622"/>
      <c r="J92" s="621"/>
      <c r="K92" s="622"/>
      <c r="L92"/>
      <c r="M92"/>
      <c r="N92"/>
      <c r="O92"/>
      <c r="P92"/>
    </row>
    <row r="93" spans="1:16" s="5" customFormat="1" ht="18" customHeight="1" thickTop="1" thickBot="1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4"/>
      <c r="M93" s="4"/>
      <c r="N93" s="4"/>
      <c r="O93" s="4"/>
      <c r="P93" s="20"/>
    </row>
    <row r="94" spans="1:16" s="5" customFormat="1" ht="13.9" customHeight="1" thickTop="1">
      <c r="A94" s="647" t="s">
        <v>68</v>
      </c>
      <c r="B94" s="648"/>
      <c r="C94" s="648"/>
      <c r="D94" s="648"/>
      <c r="E94" s="648"/>
      <c r="F94" s="649" t="s">
        <v>69</v>
      </c>
      <c r="G94" s="649"/>
      <c r="H94" s="649"/>
      <c r="I94" s="650"/>
      <c r="J94" s="650"/>
      <c r="K94" s="651"/>
      <c r="L94" s="4"/>
      <c r="M94" s="4"/>
      <c r="N94" s="4"/>
      <c r="O94" s="4"/>
      <c r="P94" s="4"/>
    </row>
    <row r="95" spans="1:16" s="5" customFormat="1" ht="13.9" customHeight="1">
      <c r="A95" s="583" t="s">
        <v>5</v>
      </c>
      <c r="B95" s="584"/>
      <c r="C95" s="584"/>
      <c r="D95" s="584"/>
      <c r="E95" s="584"/>
      <c r="F95" s="585" t="s">
        <v>6</v>
      </c>
      <c r="G95" s="585"/>
      <c r="H95" s="585"/>
      <c r="I95" s="586"/>
      <c r="J95" s="586"/>
      <c r="K95" s="587"/>
      <c r="L95" s="4"/>
      <c r="M95" s="4"/>
      <c r="N95" s="4"/>
      <c r="O95" s="4"/>
      <c r="P95" s="4"/>
    </row>
    <row r="96" spans="1:16" s="5" customFormat="1" ht="13.9" customHeight="1">
      <c r="A96" s="583" t="s">
        <v>836</v>
      </c>
      <c r="B96" s="584"/>
      <c r="C96" s="584"/>
      <c r="D96" s="584"/>
      <c r="E96" s="584"/>
      <c r="F96" s="590" t="s">
        <v>837</v>
      </c>
      <c r="G96" s="590"/>
      <c r="H96" s="590"/>
      <c r="I96" s="591"/>
      <c r="J96" s="591"/>
      <c r="K96" s="592"/>
      <c r="L96" s="4"/>
      <c r="M96" s="4"/>
      <c r="N96" s="4"/>
      <c r="O96" s="4"/>
      <c r="P96" s="4"/>
    </row>
    <row r="97" spans="1:20" s="5" customFormat="1" ht="13.9" customHeight="1">
      <c r="A97" s="583"/>
      <c r="B97" s="584"/>
      <c r="C97" s="584"/>
      <c r="D97" s="584"/>
      <c r="E97" s="584"/>
      <c r="F97" s="590"/>
      <c r="G97" s="590"/>
      <c r="H97" s="590"/>
      <c r="I97" s="591"/>
      <c r="J97" s="591"/>
      <c r="K97" s="592"/>
      <c r="L97" s="4"/>
      <c r="M97" s="4"/>
      <c r="N97" s="4"/>
      <c r="O97" s="4"/>
      <c r="P97" s="4"/>
    </row>
    <row r="98" spans="1:20" s="5" customFormat="1" ht="13.9" customHeight="1">
      <c r="A98" s="583"/>
      <c r="B98" s="584"/>
      <c r="C98" s="584"/>
      <c r="D98" s="584"/>
      <c r="E98" s="584"/>
      <c r="F98" s="590"/>
      <c r="G98" s="590"/>
      <c r="H98" s="590"/>
      <c r="I98" s="591"/>
      <c r="J98" s="591"/>
      <c r="K98" s="592"/>
      <c r="L98" s="4"/>
      <c r="M98" s="4"/>
      <c r="N98" s="4"/>
      <c r="O98" s="4"/>
      <c r="P98" s="4"/>
    </row>
    <row r="99" spans="1:20" s="5" customFormat="1" ht="13.9" customHeight="1">
      <c r="A99" s="583"/>
      <c r="B99" s="584"/>
      <c r="C99" s="584"/>
      <c r="D99" s="584"/>
      <c r="E99" s="584"/>
      <c r="F99" s="590"/>
      <c r="G99" s="590"/>
      <c r="H99" s="590"/>
      <c r="I99" s="591"/>
      <c r="J99" s="591"/>
      <c r="K99" s="592"/>
      <c r="L99" s="4"/>
      <c r="M99" s="4"/>
      <c r="N99" s="4"/>
      <c r="O99" s="4"/>
      <c r="P99" s="4"/>
    </row>
    <row r="100" spans="1:20" s="5" customFormat="1" ht="13.9" customHeight="1">
      <c r="A100" s="583"/>
      <c r="B100" s="584"/>
      <c r="C100" s="584"/>
      <c r="D100" s="584"/>
      <c r="E100" s="584"/>
      <c r="F100" s="590"/>
      <c r="G100" s="590"/>
      <c r="H100" s="590"/>
      <c r="I100" s="591"/>
      <c r="J100" s="591"/>
      <c r="K100" s="592"/>
      <c r="L100" s="4"/>
      <c r="M100" s="4"/>
      <c r="N100" s="4"/>
      <c r="O100" s="4"/>
      <c r="P100" s="4"/>
    </row>
    <row r="101" spans="1:20" s="5" customFormat="1" ht="13.9" customHeight="1">
      <c r="A101" s="583"/>
      <c r="B101" s="584"/>
      <c r="C101" s="584"/>
      <c r="D101" s="584"/>
      <c r="E101" s="584"/>
      <c r="F101" s="590"/>
      <c r="G101" s="590"/>
      <c r="H101" s="590"/>
      <c r="I101" s="591"/>
      <c r="J101" s="591"/>
      <c r="K101" s="592"/>
      <c r="L101" s="4"/>
      <c r="M101" s="4"/>
      <c r="N101" s="4"/>
      <c r="O101" s="4"/>
      <c r="P101" s="4"/>
    </row>
    <row r="102" spans="1:20" s="5" customFormat="1" ht="13.9" customHeight="1" thickBot="1">
      <c r="A102" s="588"/>
      <c r="B102" s="589"/>
      <c r="C102" s="589"/>
      <c r="D102" s="589"/>
      <c r="E102" s="589"/>
      <c r="F102" s="593"/>
      <c r="G102" s="593"/>
      <c r="H102" s="593"/>
      <c r="I102" s="594"/>
      <c r="J102" s="594"/>
      <c r="K102" s="595"/>
      <c r="L102" s="4"/>
      <c r="M102" s="4"/>
      <c r="N102" s="4"/>
      <c r="O102" s="4"/>
      <c r="P102" s="4"/>
    </row>
    <row r="103" spans="1:20" s="5" customFormat="1" ht="15.75" thickTop="1">
      <c r="A103" s="4"/>
      <c r="B103" s="12"/>
      <c r="C103" s="10"/>
      <c r="D103" s="10"/>
      <c r="E103" s="10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R103" s="4"/>
      <c r="S103" s="4"/>
      <c r="T103" s="4"/>
    </row>
  </sheetData>
  <mergeCells count="176">
    <mergeCell ref="C36:E36"/>
    <mergeCell ref="C37:E37"/>
    <mergeCell ref="C38:E38"/>
    <mergeCell ref="C39:E39"/>
    <mergeCell ref="C40:E40"/>
    <mergeCell ref="A94:E94"/>
    <mergeCell ref="F94:K94"/>
    <mergeCell ref="A95:E95"/>
    <mergeCell ref="F95:K95"/>
    <mergeCell ref="B88:C88"/>
    <mergeCell ref="D88:G88"/>
    <mergeCell ref="H88:I88"/>
    <mergeCell ref="J88:K88"/>
    <mergeCell ref="B89:C89"/>
    <mergeCell ref="D89:G89"/>
    <mergeCell ref="H89:I89"/>
    <mergeCell ref="J89:K89"/>
    <mergeCell ref="B86:C86"/>
    <mergeCell ref="D86:G86"/>
    <mergeCell ref="H86:I86"/>
    <mergeCell ref="J86:K86"/>
    <mergeCell ref="B87:C87"/>
    <mergeCell ref="D87:G87"/>
    <mergeCell ref="H87:I87"/>
    <mergeCell ref="A96:E102"/>
    <mergeCell ref="F96:K102"/>
    <mergeCell ref="B90:C90"/>
    <mergeCell ref="D90:G90"/>
    <mergeCell ref="H90:I90"/>
    <mergeCell ref="J90:K90"/>
    <mergeCell ref="A92:G92"/>
    <mergeCell ref="H92:I92"/>
    <mergeCell ref="J92:K92"/>
    <mergeCell ref="B91:C91"/>
    <mergeCell ref="D91:G91"/>
    <mergeCell ref="H91:I91"/>
    <mergeCell ref="J91:K91"/>
    <mergeCell ref="J87:K87"/>
    <mergeCell ref="B84:C84"/>
    <mergeCell ref="D84:G84"/>
    <mergeCell ref="H84:I84"/>
    <mergeCell ref="J84:K84"/>
    <mergeCell ref="B85:C85"/>
    <mergeCell ref="D85:G85"/>
    <mergeCell ref="H85:I85"/>
    <mergeCell ref="J85:K85"/>
    <mergeCell ref="B82:C82"/>
    <mergeCell ref="D82:G82"/>
    <mergeCell ref="H82:I82"/>
    <mergeCell ref="J82:K82"/>
    <mergeCell ref="B83:C83"/>
    <mergeCell ref="D83:G83"/>
    <mergeCell ref="H83:I83"/>
    <mergeCell ref="J83:K83"/>
    <mergeCell ref="B80:C80"/>
    <mergeCell ref="D80:G80"/>
    <mergeCell ref="H80:I80"/>
    <mergeCell ref="J80:K80"/>
    <mergeCell ref="B81:C81"/>
    <mergeCell ref="D81:G81"/>
    <mergeCell ref="H81:I81"/>
    <mergeCell ref="J81:K81"/>
    <mergeCell ref="B78:C78"/>
    <mergeCell ref="D78:G78"/>
    <mergeCell ref="H78:I78"/>
    <mergeCell ref="J78:K78"/>
    <mergeCell ref="B79:C79"/>
    <mergeCell ref="D79:G79"/>
    <mergeCell ref="H79:I79"/>
    <mergeCell ref="J79:K79"/>
    <mergeCell ref="B76:C76"/>
    <mergeCell ref="D76:G76"/>
    <mergeCell ref="H76:I76"/>
    <mergeCell ref="J76:K76"/>
    <mergeCell ref="B77:C77"/>
    <mergeCell ref="D77:G77"/>
    <mergeCell ref="H77:I77"/>
    <mergeCell ref="J77:K77"/>
    <mergeCell ref="B74:C74"/>
    <mergeCell ref="D74:G74"/>
    <mergeCell ref="H74:I74"/>
    <mergeCell ref="J74:K74"/>
    <mergeCell ref="B75:C75"/>
    <mergeCell ref="D75:G75"/>
    <mergeCell ref="H75:I75"/>
    <mergeCell ref="J75:K75"/>
    <mergeCell ref="B72:C72"/>
    <mergeCell ref="D72:G72"/>
    <mergeCell ref="H72:I72"/>
    <mergeCell ref="J72:K72"/>
    <mergeCell ref="B73:C73"/>
    <mergeCell ref="D73:G73"/>
    <mergeCell ref="H73:I73"/>
    <mergeCell ref="J73:K73"/>
    <mergeCell ref="B70:C70"/>
    <mergeCell ref="D70:G70"/>
    <mergeCell ref="H70:I70"/>
    <mergeCell ref="J70:K70"/>
    <mergeCell ref="B71:C71"/>
    <mergeCell ref="D71:G71"/>
    <mergeCell ref="H71:I71"/>
    <mergeCell ref="J71:K71"/>
    <mergeCell ref="B68:C68"/>
    <mergeCell ref="D68:G68"/>
    <mergeCell ref="H68:I68"/>
    <mergeCell ref="J68:K68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A59:K59"/>
    <mergeCell ref="A62:D62"/>
    <mergeCell ref="A64:A65"/>
    <mergeCell ref="B64:C65"/>
    <mergeCell ref="D64:G65"/>
    <mergeCell ref="H64:I65"/>
    <mergeCell ref="J64:K65"/>
    <mergeCell ref="A47:E53"/>
    <mergeCell ref="F47:K53"/>
    <mergeCell ref="A55:K55"/>
    <mergeCell ref="A56:K56"/>
    <mergeCell ref="A57:K57"/>
    <mergeCell ref="A58:K58"/>
    <mergeCell ref="C42:E42"/>
    <mergeCell ref="A43:E43"/>
    <mergeCell ref="A45:E45"/>
    <mergeCell ref="F45:K45"/>
    <mergeCell ref="A46:E46"/>
    <mergeCell ref="F46:K46"/>
    <mergeCell ref="C17:E17"/>
    <mergeCell ref="C35:E35"/>
    <mergeCell ref="C31:E31"/>
    <mergeCell ref="C32:E32"/>
    <mergeCell ref="C33:E33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4:E34"/>
    <mergeCell ref="C41:E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I9:I11"/>
    <mergeCell ref="J9:J11"/>
    <mergeCell ref="K9:K11"/>
    <mergeCell ref="C12:E12"/>
    <mergeCell ref="C13:E13"/>
    <mergeCell ref="C14:E14"/>
    <mergeCell ref="C15:E15"/>
    <mergeCell ref="C16:E16"/>
    <mergeCell ref="K12:K40"/>
    <mergeCell ref="C18:E18"/>
    <mergeCell ref="C19:E19"/>
    <mergeCell ref="C20:E20"/>
    <mergeCell ref="C21:E2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54" max="10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>
    <tabColor rgb="FFFFFF00"/>
  </sheetPr>
  <dimension ref="A1:T103"/>
  <sheetViews>
    <sheetView topLeftCell="A34" zoomScaleSheetLayoutView="100" workbookViewId="0">
      <selection activeCell="A96" sqref="A96:K10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4.71093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C.II.1.1.7. SX+LD cốt thép bệ móng + thân mố D &gt; 18 trên cạn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364</v>
      </c>
      <c r="N6" s="245" t="str">
        <f>THKLQT!C107</f>
        <v>SX+LD cốt thép bệ móng + thân mố D &gt; 18 trên cạn</v>
      </c>
      <c r="Q6" s="17"/>
    </row>
    <row r="7" spans="1:20" s="178" customFormat="1" ht="18.75" customHeight="1">
      <c r="A7" s="634">
        <f>I43</f>
        <v>63.45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THKLQT!D107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7.75" customHeight="1" outlineLevel="2">
      <c r="A12" s="81">
        <f>SUBTOTAL(103,$B$12:B12)</f>
        <v>1</v>
      </c>
      <c r="B12" s="78">
        <f t="shared" ref="B12:B33" si="0">Q12</f>
        <v>43358</v>
      </c>
      <c r="C12" s="571" t="str">
        <f t="shared" ref="C12:C33" si="1">T12</f>
        <v>SX+LD cốt thép bệ móng + thân mố D &gt; 18 trên cạn ,bệ móng A1L</v>
      </c>
      <c r="D12" s="572"/>
      <c r="E12" s="573"/>
      <c r="F12" s="383">
        <f>-(-'[4]THKL MO M1L'!$I$5-'[4]THKL MO M1L'!$I$7)/1000</f>
        <v>3.8909327999999994</v>
      </c>
      <c r="G12" s="385">
        <f>3890.43/1000</f>
        <v>3.8904299999999998</v>
      </c>
      <c r="H12" s="297">
        <f t="shared" ref="H12:H15" si="2">MIN(F12:G12)</f>
        <v>3.8904299999999998</v>
      </c>
      <c r="I12" s="107">
        <f t="shared" ref="I12:I15" si="3">H12</f>
        <v>3.8904299999999998</v>
      </c>
      <c r="J12" s="107">
        <f t="shared" ref="J12:J33" si="4">P12</f>
        <v>10.745139999999999</v>
      </c>
      <c r="K12" s="603" t="s">
        <v>686</v>
      </c>
      <c r="L12" s="391"/>
      <c r="N12" s="118"/>
      <c r="O12" s="118" t="s">
        <v>367</v>
      </c>
      <c r="P12" s="88">
        <f>10745.14/1000</f>
        <v>10.745139999999999</v>
      </c>
      <c r="Q12" s="89">
        <v>43358</v>
      </c>
      <c r="R12" s="88"/>
      <c r="S12" s="88" t="e">
        <f t="shared" ref="S12:S16" si="5">VLOOKUP($S$11,hamchuigoi3,M12,0)</f>
        <v>#VALUE!</v>
      </c>
      <c r="T12" s="3" t="str">
        <f t="shared" ref="T12:T15" si="6">$N$6&amp;" "&amp;O12</f>
        <v>SX+LD cốt thép bệ móng + thân mố D &gt; 18 trên cạn ,bệ móng A1L</v>
      </c>
    </row>
    <row r="13" spans="1:20" ht="27.75" customHeight="1" outlineLevel="2">
      <c r="A13" s="81">
        <f>SUBTOTAL(103,$B$12:B13)</f>
        <v>2</v>
      </c>
      <c r="B13" s="78">
        <f t="shared" si="0"/>
        <v>43372</v>
      </c>
      <c r="C13" s="571" t="str">
        <f t="shared" si="1"/>
        <v>SX+LD cốt thép bệ móng + thân mố D &gt; 18 trên cạn ,bệ móng A1R</v>
      </c>
      <c r="D13" s="572"/>
      <c r="E13" s="573"/>
      <c r="F13" s="383">
        <f>-(-'[4]THKL MO M1R'!$I$5-'[4]THKL MO M1R'!$I$7)/1000</f>
        <v>3.8434824000000005</v>
      </c>
      <c r="G13" s="385">
        <f>3843.4824/1000</f>
        <v>3.8434824000000001</v>
      </c>
      <c r="H13" s="297">
        <f t="shared" si="2"/>
        <v>3.8434824000000001</v>
      </c>
      <c r="I13" s="107">
        <f t="shared" si="3"/>
        <v>3.8434824000000001</v>
      </c>
      <c r="J13" s="107">
        <f t="shared" si="4"/>
        <v>10.897590000000001</v>
      </c>
      <c r="K13" s="604"/>
      <c r="L13" s="391"/>
      <c r="N13" s="118"/>
      <c r="O13" s="118" t="s">
        <v>366</v>
      </c>
      <c r="P13" s="88">
        <f>10897.59/1000</f>
        <v>10.897590000000001</v>
      </c>
      <c r="Q13" s="89">
        <v>43372</v>
      </c>
      <c r="R13" s="88"/>
      <c r="S13" s="88" t="e">
        <f t="shared" si="5"/>
        <v>#VALUE!</v>
      </c>
      <c r="T13" s="3" t="str">
        <f t="shared" si="6"/>
        <v>SX+LD cốt thép bệ móng + thân mố D &gt; 18 trên cạn ,bệ móng A1R</v>
      </c>
    </row>
    <row r="14" spans="1:20" ht="27.75" customHeight="1" outlineLevel="2">
      <c r="A14" s="81">
        <f>SUBTOTAL(103,$B$12:B14)</f>
        <v>3</v>
      </c>
      <c r="B14" s="78">
        <f t="shared" si="0"/>
        <v>43330</v>
      </c>
      <c r="C14" s="571" t="str">
        <f t="shared" si="1"/>
        <v>SX+LD cốt thép bệ móng + thân mố D &gt; 18 trên cạn ,bệ móng A2L</v>
      </c>
      <c r="D14" s="572"/>
      <c r="E14" s="573"/>
      <c r="F14" s="383">
        <f>-(-'[4]THKL MO M2L'!$I$5-'[4]THKL MO M2L'!$I$7)/1000</f>
        <v>5.1421215999999994</v>
      </c>
      <c r="G14" s="385">
        <f>5142.1216/1000</f>
        <v>5.1421216000000003</v>
      </c>
      <c r="H14" s="297">
        <f t="shared" si="2"/>
        <v>5.1421215999999994</v>
      </c>
      <c r="I14" s="107">
        <f t="shared" si="3"/>
        <v>5.1421215999999994</v>
      </c>
      <c r="J14" s="107">
        <f t="shared" si="4"/>
        <v>5.1421200000000002</v>
      </c>
      <c r="K14" s="604"/>
      <c r="L14" s="391"/>
      <c r="N14" s="118"/>
      <c r="O14" s="118" t="s">
        <v>365</v>
      </c>
      <c r="P14" s="88">
        <f>5142.12/1000</f>
        <v>5.1421200000000002</v>
      </c>
      <c r="Q14" s="89">
        <v>43330</v>
      </c>
      <c r="R14" s="88"/>
      <c r="S14" s="88" t="e">
        <f t="shared" si="5"/>
        <v>#VALUE!</v>
      </c>
      <c r="T14" s="3" t="str">
        <f t="shared" si="6"/>
        <v>SX+LD cốt thép bệ móng + thân mố D &gt; 18 trên cạn ,bệ móng A2L</v>
      </c>
    </row>
    <row r="15" spans="1:20" ht="27.75" customHeight="1" outlineLevel="2">
      <c r="A15" s="81">
        <f>SUBTOTAL(103,$B$12:B15)</f>
        <v>4</v>
      </c>
      <c r="B15" s="78">
        <f t="shared" si="0"/>
        <v>43332</v>
      </c>
      <c r="C15" s="571" t="str">
        <f t="shared" si="1"/>
        <v>SX+LD cốt thép bệ móng + thân mố D &gt; 18 trên cạn ,bệ móng A2R</v>
      </c>
      <c r="D15" s="572"/>
      <c r="E15" s="573"/>
      <c r="F15" s="383">
        <f>-(-'[4]THKL MO M2R'!$I$5-'[4]THKL MO M2R'!$I$7)/1000</f>
        <v>5.0852955999999994</v>
      </c>
      <c r="G15" s="385">
        <f>5085.2956/1000</f>
        <v>5.0852956000000002</v>
      </c>
      <c r="H15" s="297">
        <f t="shared" si="2"/>
        <v>5.0852955999999994</v>
      </c>
      <c r="I15" s="107">
        <f t="shared" si="3"/>
        <v>5.0852955999999994</v>
      </c>
      <c r="J15" s="107">
        <f t="shared" si="4"/>
        <v>17.882990000000003</v>
      </c>
      <c r="K15" s="604"/>
      <c r="L15" s="391"/>
      <c r="N15" s="118"/>
      <c r="O15" s="118" t="s">
        <v>368</v>
      </c>
      <c r="P15" s="88">
        <f>17882.99/1000</f>
        <v>17.882990000000003</v>
      </c>
      <c r="Q15" s="89">
        <v>43332</v>
      </c>
      <c r="R15" s="88"/>
      <c r="S15" s="88" t="e">
        <f t="shared" si="5"/>
        <v>#VALUE!</v>
      </c>
      <c r="T15" s="3" t="str">
        <f t="shared" si="6"/>
        <v>SX+LD cốt thép bệ móng + thân mố D &gt; 18 trên cạn ,bệ móng A2R</v>
      </c>
    </row>
    <row r="16" spans="1:20" ht="27.75" customHeight="1" outlineLevel="2">
      <c r="A16" s="81">
        <f>SUBTOTAL(103,$B$12:B16)</f>
        <v>5</v>
      </c>
      <c r="B16" s="78">
        <f t="shared" si="0"/>
        <v>43330</v>
      </c>
      <c r="C16" s="571" t="str">
        <f t="shared" si="1"/>
        <v>SX+LD cốt thép bệ móng + thân mố D &gt; 18 trên cạn ,thân A1L chờ ở bệ</v>
      </c>
      <c r="D16" s="572"/>
      <c r="E16" s="573"/>
      <c r="F16" s="383">
        <f>[3]A1L!$O$199/1000</f>
        <v>6.8542098899999999</v>
      </c>
      <c r="G16" s="385">
        <f>6854.21/1000</f>
        <v>6.8542100000000001</v>
      </c>
      <c r="H16" s="297">
        <f t="shared" ref="H16:H33" si="7">MIN(F16:G16)</f>
        <v>6.8542098899999999</v>
      </c>
      <c r="I16" s="107">
        <f t="shared" ref="I16:I40" si="8">H16</f>
        <v>6.8542098899999999</v>
      </c>
      <c r="J16" s="107">
        <f t="shared" si="4"/>
        <v>0</v>
      </c>
      <c r="K16" s="604"/>
      <c r="L16" s="391"/>
      <c r="N16" s="118"/>
      <c r="O16" s="118" t="str">
        <f>'C.II.1.1.5'!O12</f>
        <v>,thân A1L chờ ở bệ</v>
      </c>
      <c r="P16" s="90">
        <f>'C.II.1.1.5'!P12</f>
        <v>0</v>
      </c>
      <c r="Q16" s="89">
        <f>'C.II.1.1.5'!Q12</f>
        <v>43330</v>
      </c>
      <c r="R16" s="88"/>
      <c r="S16" s="88" t="e">
        <f t="shared" si="5"/>
        <v>#VALUE!</v>
      </c>
      <c r="T16" s="3" t="str">
        <f t="shared" ref="T16" si="9">$N$6&amp;" "&amp;O16</f>
        <v>SX+LD cốt thép bệ móng + thân mố D &gt; 18 trên cạn ,thân A1L chờ ở bệ</v>
      </c>
    </row>
    <row r="17" spans="1:20" s="430" customFormat="1" ht="27.75" customHeight="1" outlineLevel="2">
      <c r="A17" s="424">
        <f>SUBTOTAL(103,$B$12:B17)</f>
        <v>6</v>
      </c>
      <c r="B17" s="425">
        <f t="shared" si="0"/>
        <v>43338</v>
      </c>
      <c r="C17" s="706" t="str">
        <f t="shared" si="1"/>
        <v>SX+LD cốt thép bệ móng + thân mố D &gt; 18 trên cạn ,thân A1L đợt 1</v>
      </c>
      <c r="D17" s="707"/>
      <c r="E17" s="708"/>
      <c r="F17" s="426">
        <f>[3]A1L!$O$203/1000</f>
        <v>0.2107105</v>
      </c>
      <c r="G17" s="427">
        <f>210.71/1000</f>
        <v>0.21071000000000001</v>
      </c>
      <c r="H17" s="428">
        <f t="shared" si="7"/>
        <v>0.21071000000000001</v>
      </c>
      <c r="I17" s="429">
        <f t="shared" si="8"/>
        <v>0.21071000000000001</v>
      </c>
      <c r="J17" s="429">
        <f t="shared" si="4"/>
        <v>0</v>
      </c>
      <c r="K17" s="604"/>
      <c r="L17" s="438"/>
      <c r="N17" s="431"/>
      <c r="O17" s="431" t="str">
        <f>'C.II.1.1.5'!O13</f>
        <v>,thân A1L đợt 1</v>
      </c>
      <c r="P17" s="437">
        <f>'C.II.1.1.5'!P13</f>
        <v>0</v>
      </c>
      <c r="Q17" s="433">
        <f>'C.II.1.1.5'!Q13</f>
        <v>43338</v>
      </c>
      <c r="R17" s="432"/>
      <c r="S17" s="432" t="e">
        <f t="shared" ref="S17" si="10">VLOOKUP($S$11,hamchuigoi3,M17,0)</f>
        <v>#VALUE!</v>
      </c>
      <c r="T17" s="434" t="str">
        <f t="shared" ref="T17" si="11">$N$6&amp;" "&amp;O17</f>
        <v>SX+LD cốt thép bệ móng + thân mố D &gt; 18 trên cạn ,thân A1L đợt 1</v>
      </c>
    </row>
    <row r="18" spans="1:20" s="430" customFormat="1" ht="27.75" customHeight="1" outlineLevel="2">
      <c r="A18" s="424">
        <f>SUBTOTAL(103,$B$12:B18)</f>
        <v>7</v>
      </c>
      <c r="B18" s="425">
        <f t="shared" si="0"/>
        <v>43346</v>
      </c>
      <c r="C18" s="706" t="str">
        <f t="shared" si="1"/>
        <v>SX+LD cốt thép bệ móng + thân mố D &gt; 18 trên cạn ,thân A1L đợt 2</v>
      </c>
      <c r="D18" s="707"/>
      <c r="E18" s="708"/>
      <c r="F18" s="426">
        <f>[3]A1L!$O$207/1000</f>
        <v>0.28559300000000004</v>
      </c>
      <c r="G18" s="427">
        <f>285.59/1000</f>
        <v>0.28558999999999996</v>
      </c>
      <c r="H18" s="428">
        <f t="shared" si="7"/>
        <v>0.28558999999999996</v>
      </c>
      <c r="I18" s="440">
        <f t="shared" si="8"/>
        <v>0.28558999999999996</v>
      </c>
      <c r="J18" s="429">
        <f t="shared" si="4"/>
        <v>0</v>
      </c>
      <c r="K18" s="604"/>
      <c r="L18" s="438"/>
      <c r="N18" s="431"/>
      <c r="O18" s="431" t="str">
        <f>'C.II.1.1.5'!O14</f>
        <v>,thân A1L đợt 2</v>
      </c>
      <c r="P18" s="437">
        <f>'C.II.1.1.5'!P14</f>
        <v>0</v>
      </c>
      <c r="Q18" s="433">
        <f>'C.II.1.1.5'!Q14</f>
        <v>43346</v>
      </c>
      <c r="R18" s="432"/>
      <c r="S18" s="432" t="e">
        <f t="shared" ref="S18" si="12">VLOOKUP($S$11,hamchuigoi3,M18,0)</f>
        <v>#VALUE!</v>
      </c>
      <c r="T18" s="434" t="str">
        <f t="shared" ref="T18" si="13">$N$6&amp;" "&amp;O18</f>
        <v>SX+LD cốt thép bệ móng + thân mố D &gt; 18 trên cạn ,thân A1L đợt 2</v>
      </c>
    </row>
    <row r="19" spans="1:20" s="430" customFormat="1" ht="27.75" customHeight="1" outlineLevel="2">
      <c r="A19" s="424">
        <f>SUBTOTAL(103,$B$12:B19)</f>
        <v>8</v>
      </c>
      <c r="B19" s="425">
        <f t="shared" si="0"/>
        <v>43354</v>
      </c>
      <c r="C19" s="706" t="str">
        <f t="shared" si="1"/>
        <v>SX+LD cốt thép bệ móng + thân mố D &gt; 18 trên cạn ,thân A1L đợt 3</v>
      </c>
      <c r="D19" s="707"/>
      <c r="E19" s="708"/>
      <c r="F19" s="426">
        <f>[3]A1L!$O$211/1000</f>
        <v>0.30605575000000002</v>
      </c>
      <c r="G19" s="427">
        <f>306.06/1000</f>
        <v>0.30606</v>
      </c>
      <c r="H19" s="428">
        <f t="shared" si="7"/>
        <v>0.30605575000000002</v>
      </c>
      <c r="I19" s="429">
        <f t="shared" si="8"/>
        <v>0.30605575000000002</v>
      </c>
      <c r="J19" s="429">
        <f t="shared" si="4"/>
        <v>0</v>
      </c>
      <c r="K19" s="604"/>
      <c r="L19" s="438"/>
      <c r="N19" s="431"/>
      <c r="O19" s="431" t="str">
        <f>'C.II.1.1.5'!O15</f>
        <v>,thân A1L đợt 3</v>
      </c>
      <c r="P19" s="437">
        <f>'C.II.1.1.5'!P15</f>
        <v>0</v>
      </c>
      <c r="Q19" s="433">
        <f>'C.II.1.1.5'!Q15</f>
        <v>43354</v>
      </c>
      <c r="R19" s="432"/>
      <c r="S19" s="432" t="e">
        <f t="shared" ref="S19" si="14">VLOOKUP($S$11,hamchuigoi3,M19,0)</f>
        <v>#VALUE!</v>
      </c>
      <c r="T19" s="434" t="str">
        <f t="shared" ref="T19" si="15">$N$6&amp;" "&amp;O19</f>
        <v>SX+LD cốt thép bệ móng + thân mố D &gt; 18 trên cạn ,thân A1L đợt 3</v>
      </c>
    </row>
    <row r="20" spans="1:20" ht="27.75" customHeight="1" outlineLevel="2">
      <c r="A20" s="81">
        <f>SUBTOTAL(103,$B$12:B20)</f>
        <v>9</v>
      </c>
      <c r="B20" s="78">
        <f t="shared" si="0"/>
        <v>43362</v>
      </c>
      <c r="C20" s="571" t="str">
        <f t="shared" si="1"/>
        <v>SX+LD cốt thép bệ móng + thân mố D &gt; 18 trên cạn ,thân A1L đợt 4</v>
      </c>
      <c r="D20" s="572"/>
      <c r="E20" s="573"/>
      <c r="F20" s="449">
        <f>[3]A1L!$O$215/1000</f>
        <v>0.41773215000000002</v>
      </c>
      <c r="G20" s="450">
        <f>417.73/1000</f>
        <v>0.41773000000000005</v>
      </c>
      <c r="H20" s="451">
        <f t="shared" si="7"/>
        <v>0.41773000000000005</v>
      </c>
      <c r="I20" s="452">
        <f t="shared" si="8"/>
        <v>0.41773000000000005</v>
      </c>
      <c r="J20" s="107">
        <f t="shared" si="4"/>
        <v>0</v>
      </c>
      <c r="K20" s="604"/>
      <c r="L20" s="391"/>
      <c r="N20" s="118"/>
      <c r="O20" s="118" t="str">
        <f>'C.II.1.1.5'!O16</f>
        <v>,thân A1L đợt 4</v>
      </c>
      <c r="P20" s="90">
        <f>'C.II.1.1.5'!P16</f>
        <v>0</v>
      </c>
      <c r="Q20" s="89">
        <f>'C.II.1.1.5'!Q16</f>
        <v>43362</v>
      </c>
      <c r="R20" s="88"/>
      <c r="S20" s="88" t="e">
        <f t="shared" ref="S20" si="16">VLOOKUP($S$11,hamchuigoi3,M20,0)</f>
        <v>#VALUE!</v>
      </c>
      <c r="T20" s="3" t="str">
        <f t="shared" ref="T20" si="17">$N$6&amp;" "&amp;O20</f>
        <v>SX+LD cốt thép bệ móng + thân mố D &gt; 18 trên cạn ,thân A1L đợt 4</v>
      </c>
    </row>
    <row r="21" spans="1:20" ht="27.75" customHeight="1" outlineLevel="2">
      <c r="A21" s="81">
        <f>SUBTOTAL(103,$B$12:B21)</f>
        <v>10</v>
      </c>
      <c r="B21" s="78">
        <f t="shared" si="0"/>
        <v>43370</v>
      </c>
      <c r="C21" s="571" t="str">
        <f t="shared" si="1"/>
        <v>SX+LD cốt thép bệ móng + thân mố D &gt; 18 trên cạn ,thân A1L đợt 5</v>
      </c>
      <c r="D21" s="572"/>
      <c r="E21" s="573"/>
      <c r="F21" s="383">
        <f>[3]A1L!$O$219/1000</f>
        <v>0.38193362999999997</v>
      </c>
      <c r="G21" s="385">
        <f>381.93/1000</f>
        <v>0.38192999999999999</v>
      </c>
      <c r="H21" s="297">
        <f t="shared" si="7"/>
        <v>0.38192999999999999</v>
      </c>
      <c r="I21" s="107">
        <f t="shared" si="8"/>
        <v>0.38192999999999999</v>
      </c>
      <c r="J21" s="107">
        <f t="shared" si="4"/>
        <v>0</v>
      </c>
      <c r="K21" s="604"/>
      <c r="L21" s="391"/>
      <c r="N21" s="118"/>
      <c r="O21" s="118" t="str">
        <f>'C.II.1.1.5'!O17</f>
        <v>,thân A1L đợt 5</v>
      </c>
      <c r="P21" s="90">
        <f>'C.II.1.1.5'!P17</f>
        <v>0</v>
      </c>
      <c r="Q21" s="89">
        <f>'C.II.1.1.5'!Q17</f>
        <v>43370</v>
      </c>
      <c r="R21" s="88"/>
      <c r="S21" s="88" t="e">
        <f t="shared" ref="S21:S26" si="18">VLOOKUP($S$11,hamchuigoi3,M21,0)</f>
        <v>#VALUE!</v>
      </c>
      <c r="T21" s="3" t="str">
        <f t="shared" ref="T21:T26" si="19">$N$6&amp;" "&amp;O21</f>
        <v>SX+LD cốt thép bệ móng + thân mố D &gt; 18 trên cạn ,thân A1L đợt 5</v>
      </c>
    </row>
    <row r="22" spans="1:20" ht="27.75" customHeight="1" outlineLevel="2">
      <c r="A22" s="81">
        <f>SUBTOTAL(103,$B$12:B22)</f>
        <v>11</v>
      </c>
      <c r="B22" s="78">
        <f t="shared" si="0"/>
        <v>43344</v>
      </c>
      <c r="C22" s="571" t="str">
        <f t="shared" si="1"/>
        <v>SX+LD cốt thép bệ móng + thân mố D &gt; 18 trên cạn ,thân A1R chờ ở bệ</v>
      </c>
      <c r="D22" s="572"/>
      <c r="E22" s="573"/>
      <c r="F22" s="383">
        <f>[3]A1R!$O$199/1000</f>
        <v>7.0541117900000003</v>
      </c>
      <c r="G22" s="385">
        <f>7054.11/1000</f>
        <v>7.0541099999999997</v>
      </c>
      <c r="H22" s="297">
        <f t="shared" si="7"/>
        <v>7.0541099999999997</v>
      </c>
      <c r="I22" s="107">
        <f t="shared" si="8"/>
        <v>7.0541099999999997</v>
      </c>
      <c r="J22" s="107">
        <f t="shared" si="4"/>
        <v>0</v>
      </c>
      <c r="K22" s="604"/>
      <c r="L22" s="391"/>
      <c r="N22" s="118"/>
      <c r="O22" s="118" t="str">
        <f>'C.II.1.1.5'!O18</f>
        <v>,thân A1R chờ ở bệ</v>
      </c>
      <c r="P22" s="90">
        <f>'C.II.1.1.5'!P18</f>
        <v>0</v>
      </c>
      <c r="Q22" s="89">
        <f>'C.II.1.1.5'!Q18</f>
        <v>43344</v>
      </c>
      <c r="R22" s="88"/>
      <c r="S22" s="88" t="e">
        <f t="shared" si="18"/>
        <v>#VALUE!</v>
      </c>
      <c r="T22" s="3" t="str">
        <f t="shared" si="19"/>
        <v>SX+LD cốt thép bệ móng + thân mố D &gt; 18 trên cạn ,thân A1R chờ ở bệ</v>
      </c>
    </row>
    <row r="23" spans="1:20" ht="27.75" customHeight="1" outlineLevel="2">
      <c r="A23" s="81">
        <f>SUBTOTAL(103,$B$12:B23)</f>
        <v>12</v>
      </c>
      <c r="B23" s="78">
        <f t="shared" si="0"/>
        <v>43352</v>
      </c>
      <c r="C23" s="571" t="str">
        <f t="shared" si="1"/>
        <v>SX+LD cốt thép bệ móng + thân mố D &gt; 18 trên cạn ,thân A1R đợt 1</v>
      </c>
      <c r="D23" s="572"/>
      <c r="E23" s="573"/>
      <c r="F23" s="383">
        <f>[3]A1R!$O$203/1000</f>
        <v>0.21021000000000001</v>
      </c>
      <c r="G23" s="385">
        <f>210.21/1000</f>
        <v>0.21021000000000001</v>
      </c>
      <c r="H23" s="297">
        <f t="shared" si="7"/>
        <v>0.21021000000000001</v>
      </c>
      <c r="I23" s="107">
        <f t="shared" si="8"/>
        <v>0.21021000000000001</v>
      </c>
      <c r="J23" s="107">
        <f t="shared" si="4"/>
        <v>0</v>
      </c>
      <c r="K23" s="604"/>
      <c r="L23" s="391"/>
      <c r="N23" s="118"/>
      <c r="O23" s="118" t="str">
        <f>'C.II.1.1.5'!O19</f>
        <v>,thân A1R đợt 1</v>
      </c>
      <c r="P23" s="90">
        <f>'C.II.1.1.5'!P19</f>
        <v>0</v>
      </c>
      <c r="Q23" s="89">
        <f>'C.II.1.1.5'!Q19</f>
        <v>43352</v>
      </c>
      <c r="R23" s="88"/>
      <c r="S23" s="88" t="e">
        <f t="shared" si="18"/>
        <v>#VALUE!</v>
      </c>
      <c r="T23" s="3" t="str">
        <f t="shared" si="19"/>
        <v>SX+LD cốt thép bệ móng + thân mố D &gt; 18 trên cạn ,thân A1R đợt 1</v>
      </c>
    </row>
    <row r="24" spans="1:20" ht="27.75" customHeight="1" outlineLevel="2">
      <c r="A24" s="81">
        <f>SUBTOTAL(103,$B$12:B24)</f>
        <v>13</v>
      </c>
      <c r="B24" s="78">
        <f t="shared" si="0"/>
        <v>43360</v>
      </c>
      <c r="C24" s="571" t="str">
        <f t="shared" si="1"/>
        <v>SX+LD cốt thép bệ móng + thân mố D &gt; 18 trên cạn ,thân A1R đợt 2</v>
      </c>
      <c r="D24" s="572"/>
      <c r="E24" s="573"/>
      <c r="F24" s="383">
        <f>[3]A1R!$O$207/1000</f>
        <v>0.24131799999999998</v>
      </c>
      <c r="G24" s="385">
        <f>241.32/1000</f>
        <v>0.24132000000000001</v>
      </c>
      <c r="H24" s="297">
        <f t="shared" si="7"/>
        <v>0.24131799999999998</v>
      </c>
      <c r="I24" s="107">
        <f t="shared" si="8"/>
        <v>0.24131799999999998</v>
      </c>
      <c r="J24" s="107">
        <f t="shared" si="4"/>
        <v>0</v>
      </c>
      <c r="K24" s="604"/>
      <c r="L24" s="391"/>
      <c r="N24" s="118"/>
      <c r="O24" s="118" t="str">
        <f>'C.II.1.1.5'!O20</f>
        <v>,thân A1R đợt 2</v>
      </c>
      <c r="P24" s="90">
        <f>'C.II.1.1.5'!P20</f>
        <v>0</v>
      </c>
      <c r="Q24" s="89">
        <f>'C.II.1.1.5'!Q20</f>
        <v>43360</v>
      </c>
      <c r="R24" s="88"/>
      <c r="S24" s="88" t="e">
        <f t="shared" si="18"/>
        <v>#VALUE!</v>
      </c>
      <c r="T24" s="3" t="str">
        <f t="shared" si="19"/>
        <v>SX+LD cốt thép bệ móng + thân mố D &gt; 18 trên cạn ,thân A1R đợt 2</v>
      </c>
    </row>
    <row r="25" spans="1:20" ht="27.75" customHeight="1" outlineLevel="2">
      <c r="A25" s="81">
        <f>SUBTOTAL(103,$B$12:B25)</f>
        <v>14</v>
      </c>
      <c r="B25" s="78">
        <f t="shared" si="0"/>
        <v>43368</v>
      </c>
      <c r="C25" s="571" t="str">
        <f t="shared" si="1"/>
        <v>SX+LD cốt thép bệ móng + thân mố D &gt; 18 trên cạn ,thân A1R đợt 3</v>
      </c>
      <c r="D25" s="572"/>
      <c r="E25" s="573"/>
      <c r="F25" s="383">
        <f>[3]A1R!$O$211/1000</f>
        <v>0.307307</v>
      </c>
      <c r="G25" s="385">
        <f>307.31/1000</f>
        <v>0.30731000000000003</v>
      </c>
      <c r="H25" s="297">
        <f t="shared" si="7"/>
        <v>0.307307</v>
      </c>
      <c r="I25" s="107">
        <f t="shared" si="8"/>
        <v>0.307307</v>
      </c>
      <c r="J25" s="107">
        <f t="shared" si="4"/>
        <v>0</v>
      </c>
      <c r="K25" s="604"/>
      <c r="L25" s="391"/>
      <c r="N25" s="118"/>
      <c r="O25" s="118" t="str">
        <f>'C.II.1.1.5'!O21</f>
        <v>,thân A1R đợt 3</v>
      </c>
      <c r="P25" s="90">
        <f>'C.II.1.1.5'!P21</f>
        <v>0</v>
      </c>
      <c r="Q25" s="89">
        <f>'C.II.1.1.5'!Q21</f>
        <v>43368</v>
      </c>
      <c r="R25" s="88"/>
      <c r="S25" s="88" t="e">
        <f t="shared" si="18"/>
        <v>#VALUE!</v>
      </c>
      <c r="T25" s="3" t="str">
        <f t="shared" si="19"/>
        <v>SX+LD cốt thép bệ móng + thân mố D &gt; 18 trên cạn ,thân A1R đợt 3</v>
      </c>
    </row>
    <row r="26" spans="1:20" ht="27.75" customHeight="1" outlineLevel="2">
      <c r="A26" s="81">
        <f>SUBTOTAL(103,$B$12:B26)</f>
        <v>15</v>
      </c>
      <c r="B26" s="78">
        <f t="shared" si="0"/>
        <v>43376</v>
      </c>
      <c r="C26" s="571" t="str">
        <f t="shared" si="1"/>
        <v>SX+LD cốt thép bệ móng + thân mố D &gt; 18 trên cạn ,thân A1R đợt 4</v>
      </c>
      <c r="D26" s="572"/>
      <c r="E26" s="573"/>
      <c r="F26" s="383">
        <f>[3]A1R!$O$215/1000</f>
        <v>0.36933764999999996</v>
      </c>
      <c r="G26" s="385">
        <f>369.34/1000</f>
        <v>0.36934</v>
      </c>
      <c r="H26" s="297">
        <f t="shared" si="7"/>
        <v>0.36933764999999996</v>
      </c>
      <c r="I26" s="107">
        <f t="shared" si="8"/>
        <v>0.36933764999999996</v>
      </c>
      <c r="J26" s="107">
        <f t="shared" si="4"/>
        <v>0</v>
      </c>
      <c r="K26" s="604"/>
      <c r="L26" s="391"/>
      <c r="N26" s="118"/>
      <c r="O26" s="118" t="str">
        <f>'C.II.1.1.5'!O22</f>
        <v>,thân A1R đợt 4</v>
      </c>
      <c r="P26" s="90">
        <f>'C.II.1.1.5'!P22</f>
        <v>0</v>
      </c>
      <c r="Q26" s="89">
        <f>'C.II.1.1.5'!Q22</f>
        <v>43376</v>
      </c>
      <c r="R26" s="88"/>
      <c r="S26" s="88" t="e">
        <f t="shared" si="18"/>
        <v>#VALUE!</v>
      </c>
      <c r="T26" s="3" t="str">
        <f t="shared" si="19"/>
        <v>SX+LD cốt thép bệ móng + thân mố D &gt; 18 trên cạn ,thân A1R đợt 4</v>
      </c>
    </row>
    <row r="27" spans="1:20" ht="27.75" customHeight="1" outlineLevel="2">
      <c r="A27" s="81">
        <f>SUBTOTAL(103,$B$12:B27)</f>
        <v>16</v>
      </c>
      <c r="B27" s="78">
        <f t="shared" si="0"/>
        <v>43384</v>
      </c>
      <c r="C27" s="571" t="str">
        <f t="shared" si="1"/>
        <v>SX+LD cốt thép bệ móng + thân mố D &gt; 18 trên cạn ,thân A1R đợt 5</v>
      </c>
      <c r="D27" s="572"/>
      <c r="E27" s="573"/>
      <c r="F27" s="383">
        <f>[3]A1R!$O$219/1000</f>
        <v>0.54767613000000004</v>
      </c>
      <c r="G27" s="385">
        <f>547.68/1000</f>
        <v>0.54767999999999994</v>
      </c>
      <c r="H27" s="297">
        <f t="shared" si="7"/>
        <v>0.54767613000000004</v>
      </c>
      <c r="I27" s="107">
        <f t="shared" si="8"/>
        <v>0.54767613000000004</v>
      </c>
      <c r="J27" s="107">
        <f t="shared" si="4"/>
        <v>0</v>
      </c>
      <c r="K27" s="604"/>
      <c r="L27" s="391"/>
      <c r="N27" s="118"/>
      <c r="O27" s="118" t="str">
        <f>'C.II.1.1.5'!O23</f>
        <v>,thân A1R đợt 5</v>
      </c>
      <c r="P27" s="90">
        <f>'C.II.1.1.5'!P23</f>
        <v>0</v>
      </c>
      <c r="Q27" s="89">
        <f>'C.II.1.1.5'!Q23</f>
        <v>43384</v>
      </c>
      <c r="R27" s="88"/>
      <c r="S27" s="88" t="e">
        <f t="shared" ref="S27:S33" si="20">VLOOKUP($S$11,hamchuigoi3,M27,0)</f>
        <v>#VALUE!</v>
      </c>
      <c r="T27" s="3" t="str">
        <f t="shared" ref="T27:T33" si="21">$N$6&amp;" "&amp;O27</f>
        <v>SX+LD cốt thép bệ móng + thân mố D &gt; 18 trên cạn ,thân A1R đợt 5</v>
      </c>
    </row>
    <row r="28" spans="1:20" ht="27.75" customHeight="1" outlineLevel="2">
      <c r="A28" s="81">
        <f>SUBTOTAL(103,$B$12:B28)</f>
        <v>17</v>
      </c>
      <c r="B28" s="78">
        <f t="shared" si="0"/>
        <v>43302</v>
      </c>
      <c r="C28" s="571" t="str">
        <f t="shared" si="1"/>
        <v>SX+LD cốt thép bệ móng + thân mố D &gt; 18 trên cạn ,thân A2L chờ ở bệ</v>
      </c>
      <c r="D28" s="572"/>
      <c r="E28" s="573"/>
      <c r="F28" s="383">
        <f>[3]A2L!$O$209/1000</f>
        <v>11.564198599999997</v>
      </c>
      <c r="G28" s="385">
        <f>11564.2/1000</f>
        <v>11.564200000000001</v>
      </c>
      <c r="H28" s="297">
        <f t="shared" si="7"/>
        <v>11.564198599999997</v>
      </c>
      <c r="I28" s="107">
        <f t="shared" si="8"/>
        <v>11.564198599999997</v>
      </c>
      <c r="J28" s="107">
        <f t="shared" si="4"/>
        <v>0</v>
      </c>
      <c r="K28" s="604"/>
      <c r="L28" s="391"/>
      <c r="N28" s="118"/>
      <c r="O28" s="118" t="str">
        <f>'C.II.1.1.5'!O24</f>
        <v>,thân A2L chờ ở bệ</v>
      </c>
      <c r="P28" s="90">
        <f>'C.II.1.1.5'!P24</f>
        <v>0</v>
      </c>
      <c r="Q28" s="89">
        <f>'C.II.1.1.5'!Q24</f>
        <v>43302</v>
      </c>
      <c r="R28" s="88"/>
      <c r="S28" s="88" t="e">
        <f t="shared" si="20"/>
        <v>#VALUE!</v>
      </c>
      <c r="T28" s="3" t="str">
        <f t="shared" si="21"/>
        <v>SX+LD cốt thép bệ móng + thân mố D &gt; 18 trên cạn ,thân A2L chờ ở bệ</v>
      </c>
    </row>
    <row r="29" spans="1:20" ht="27.75" customHeight="1" outlineLevel="2">
      <c r="A29" s="81">
        <f>SUBTOTAL(103,$B$12:B29)</f>
        <v>18</v>
      </c>
      <c r="B29" s="78">
        <f t="shared" si="0"/>
        <v>43310</v>
      </c>
      <c r="C29" s="571" t="str">
        <f t="shared" si="1"/>
        <v>SX+LD cốt thép bệ móng + thân mố D &gt; 18 trên cạn ,thân A2L đợt 1</v>
      </c>
      <c r="D29" s="572"/>
      <c r="E29" s="573"/>
      <c r="F29" s="383">
        <f>[3]A2L!$O$213/1000</f>
        <v>0.26491465000000003</v>
      </c>
      <c r="G29" s="385">
        <f>264.91/1000</f>
        <v>0.26491000000000003</v>
      </c>
      <c r="H29" s="297">
        <f t="shared" si="7"/>
        <v>0.26491000000000003</v>
      </c>
      <c r="I29" s="107">
        <f t="shared" si="8"/>
        <v>0.26491000000000003</v>
      </c>
      <c r="J29" s="107">
        <f t="shared" si="4"/>
        <v>0</v>
      </c>
      <c r="K29" s="604"/>
      <c r="L29" s="391"/>
      <c r="N29" s="118"/>
      <c r="O29" s="118" t="str">
        <f>'C.II.1.1.5'!O25</f>
        <v>,thân A2L đợt 1</v>
      </c>
      <c r="P29" s="90">
        <f>'C.II.1.1.5'!P25</f>
        <v>0</v>
      </c>
      <c r="Q29" s="89">
        <f>'C.II.1.1.5'!Q25</f>
        <v>43310</v>
      </c>
      <c r="R29" s="88"/>
      <c r="S29" s="88" t="e">
        <f t="shared" si="20"/>
        <v>#VALUE!</v>
      </c>
      <c r="T29" s="3" t="str">
        <f t="shared" si="21"/>
        <v>SX+LD cốt thép bệ móng + thân mố D &gt; 18 trên cạn ,thân A2L đợt 1</v>
      </c>
    </row>
    <row r="30" spans="1:20" ht="27.75" customHeight="1" outlineLevel="2">
      <c r="A30" s="81">
        <f>SUBTOTAL(103,$B$12:B30)</f>
        <v>19</v>
      </c>
      <c r="B30" s="78">
        <f t="shared" si="0"/>
        <v>43318</v>
      </c>
      <c r="C30" s="571" t="str">
        <f t="shared" si="1"/>
        <v>SX+LD cốt thép bệ móng + thân mố D &gt; 18 trên cạn ,thân A2L đợt 2</v>
      </c>
      <c r="D30" s="572"/>
      <c r="E30" s="573"/>
      <c r="F30" s="383">
        <f>[3]A2L!$O$217/1000</f>
        <v>0.28529270000000001</v>
      </c>
      <c r="G30" s="385">
        <f>285.29/1000</f>
        <v>0.28529000000000004</v>
      </c>
      <c r="H30" s="297">
        <f t="shared" si="7"/>
        <v>0.28529000000000004</v>
      </c>
      <c r="I30" s="107">
        <f t="shared" si="8"/>
        <v>0.28529000000000004</v>
      </c>
      <c r="J30" s="107">
        <f t="shared" si="4"/>
        <v>0</v>
      </c>
      <c r="K30" s="604"/>
      <c r="L30" s="391"/>
      <c r="N30" s="118"/>
      <c r="O30" s="118" t="str">
        <f>'C.II.1.1.5'!O26</f>
        <v>,thân A2L đợt 2</v>
      </c>
      <c r="P30" s="90">
        <f>'C.II.1.1.5'!P26</f>
        <v>0</v>
      </c>
      <c r="Q30" s="89">
        <f>'C.II.1.1.5'!Q26</f>
        <v>43318</v>
      </c>
      <c r="R30" s="88"/>
      <c r="S30" s="88" t="e">
        <f t="shared" si="20"/>
        <v>#VALUE!</v>
      </c>
      <c r="T30" s="3" t="str">
        <f t="shared" si="21"/>
        <v>SX+LD cốt thép bệ móng + thân mố D &gt; 18 trên cạn ,thân A2L đợt 2</v>
      </c>
    </row>
    <row r="31" spans="1:20" ht="27.75" customHeight="1" outlineLevel="2">
      <c r="A31" s="81">
        <f>SUBTOTAL(103,$B$12:B31)</f>
        <v>20</v>
      </c>
      <c r="B31" s="78">
        <f t="shared" si="0"/>
        <v>43326</v>
      </c>
      <c r="C31" s="571" t="str">
        <f t="shared" si="1"/>
        <v>SX+LD cốt thép bệ móng + thân mố D &gt; 18 trên cạn ,thân A2L đợt 3</v>
      </c>
      <c r="D31" s="572"/>
      <c r="E31" s="573"/>
      <c r="F31" s="383">
        <f>[3]A2L!$O$221/1000</f>
        <v>0.28154665000000001</v>
      </c>
      <c r="G31" s="385">
        <f>281.55/1000</f>
        <v>0.28155000000000002</v>
      </c>
      <c r="H31" s="297">
        <f t="shared" si="7"/>
        <v>0.28154665000000001</v>
      </c>
      <c r="I31" s="107">
        <f t="shared" si="8"/>
        <v>0.28154665000000001</v>
      </c>
      <c r="J31" s="107">
        <f t="shared" si="4"/>
        <v>0</v>
      </c>
      <c r="K31" s="604"/>
      <c r="L31" s="391"/>
      <c r="N31" s="118"/>
      <c r="O31" s="118" t="str">
        <f>'C.II.1.1.5'!O27</f>
        <v>,thân A2L đợt 3</v>
      </c>
      <c r="P31" s="90">
        <f>'C.II.1.1.5'!P27</f>
        <v>0</v>
      </c>
      <c r="Q31" s="89">
        <f>'C.II.1.1.5'!Q27</f>
        <v>43326</v>
      </c>
      <c r="R31" s="88"/>
      <c r="S31" s="88" t="e">
        <f t="shared" si="20"/>
        <v>#VALUE!</v>
      </c>
      <c r="T31" s="3" t="str">
        <f t="shared" si="21"/>
        <v>SX+LD cốt thép bệ móng + thân mố D &gt; 18 trên cạn ,thân A2L đợt 3</v>
      </c>
    </row>
    <row r="32" spans="1:20" ht="27.75" customHeight="1" outlineLevel="2">
      <c r="A32" s="81">
        <f>SUBTOTAL(103,$B$12:B32)</f>
        <v>21</v>
      </c>
      <c r="B32" s="78">
        <f t="shared" si="0"/>
        <v>43334</v>
      </c>
      <c r="C32" s="571" t="str">
        <f t="shared" si="1"/>
        <v>SX+LD cốt thép bệ móng + thân mố D &gt; 18 trên cạn ,thân A2L đợt 4</v>
      </c>
      <c r="D32" s="572"/>
      <c r="E32" s="573"/>
      <c r="F32" s="383">
        <f>[3]A2L!$O$225/1000</f>
        <v>0.33698665</v>
      </c>
      <c r="G32" s="385">
        <f>336.99/1000</f>
        <v>0.33699000000000001</v>
      </c>
      <c r="H32" s="297">
        <f t="shared" si="7"/>
        <v>0.33698665</v>
      </c>
      <c r="I32" s="107">
        <f t="shared" si="8"/>
        <v>0.33698665</v>
      </c>
      <c r="J32" s="107">
        <f t="shared" si="4"/>
        <v>0</v>
      </c>
      <c r="K32" s="604"/>
      <c r="L32" s="391"/>
      <c r="N32" s="118"/>
      <c r="O32" s="118" t="str">
        <f>'C.II.1.1.5'!O28</f>
        <v>,thân A2L đợt 4</v>
      </c>
      <c r="P32" s="90">
        <f>'C.II.1.1.5'!P28</f>
        <v>0</v>
      </c>
      <c r="Q32" s="89">
        <f>'C.II.1.1.5'!Q28</f>
        <v>43334</v>
      </c>
      <c r="R32" s="88"/>
      <c r="S32" s="88" t="e">
        <f t="shared" si="20"/>
        <v>#VALUE!</v>
      </c>
      <c r="T32" s="3" t="str">
        <f t="shared" si="21"/>
        <v>SX+LD cốt thép bệ móng + thân mố D &gt; 18 trên cạn ,thân A2L đợt 4</v>
      </c>
    </row>
    <row r="33" spans="1:20" ht="27.75" customHeight="1" outlineLevel="2">
      <c r="A33" s="81">
        <f>SUBTOTAL(103,$B$12:B33)</f>
        <v>22</v>
      </c>
      <c r="B33" s="78">
        <f t="shared" si="0"/>
        <v>43342</v>
      </c>
      <c r="C33" s="571" t="str">
        <f t="shared" si="1"/>
        <v>SX+LD cốt thép bệ móng + thân mố D &gt; 18 trên cạn ,thân A2L đợt 5</v>
      </c>
      <c r="D33" s="572"/>
      <c r="E33" s="573"/>
      <c r="F33" s="383">
        <f>[3]A2L!$O$229/1000</f>
        <v>0.43941700000000006</v>
      </c>
      <c r="G33" s="385">
        <f>439.42/1000</f>
        <v>0.43942000000000003</v>
      </c>
      <c r="H33" s="381">
        <f t="shared" si="7"/>
        <v>0.43941700000000006</v>
      </c>
      <c r="I33" s="107">
        <f t="shared" si="8"/>
        <v>0.43941700000000006</v>
      </c>
      <c r="J33" s="107">
        <f t="shared" si="4"/>
        <v>0</v>
      </c>
      <c r="K33" s="604"/>
      <c r="L33" s="391"/>
      <c r="N33" s="118"/>
      <c r="O33" s="118" t="str">
        <f>'C.II.1.1.5'!O29</f>
        <v>,thân A2L đợt 5</v>
      </c>
      <c r="P33" s="90">
        <f>'C.II.1.1.5'!P29</f>
        <v>0</v>
      </c>
      <c r="Q33" s="89">
        <f>'C.II.1.1.5'!Q29</f>
        <v>43342</v>
      </c>
      <c r="R33" s="88"/>
      <c r="S33" s="88" t="e">
        <f t="shared" si="20"/>
        <v>#VALUE!</v>
      </c>
      <c r="T33" s="3" t="str">
        <f t="shared" si="21"/>
        <v>SX+LD cốt thép bệ móng + thân mố D &gt; 18 trên cạn ,thân A2L đợt 5</v>
      </c>
    </row>
    <row r="34" spans="1:20" ht="27.75" customHeight="1" outlineLevel="2">
      <c r="A34" s="81">
        <f>SUBTOTAL(103,$B$12:B34)</f>
        <v>23</v>
      </c>
      <c r="B34" s="78">
        <f t="shared" ref="B34" si="22">Q34</f>
        <v>43350</v>
      </c>
      <c r="C34" s="571" t="str">
        <f t="shared" ref="C34" si="23">T34</f>
        <v>SX+LD cốt thép bệ móng + thân mố D &gt; 18 trên cạn ,thân A2L đợt 6</v>
      </c>
      <c r="D34" s="572"/>
      <c r="E34" s="573"/>
      <c r="F34" s="383">
        <f>[3]A2L!$O$233/1000</f>
        <v>0.33333144000000003</v>
      </c>
      <c r="G34" s="385">
        <f>333.33/1000</f>
        <v>0.33332999999999996</v>
      </c>
      <c r="H34" s="381">
        <f t="shared" ref="H34" si="24">MIN(F34:G34)</f>
        <v>0.33332999999999996</v>
      </c>
      <c r="I34" s="107">
        <f t="shared" ref="I34" si="25">H34</f>
        <v>0.33332999999999996</v>
      </c>
      <c r="J34" s="107">
        <f t="shared" ref="J34" si="26">P34</f>
        <v>0</v>
      </c>
      <c r="K34" s="604"/>
      <c r="L34" s="391"/>
      <c r="N34" s="118"/>
      <c r="O34" s="118" t="str">
        <f>'C.II.1.1.5'!O30</f>
        <v>,thân A2L đợt 6</v>
      </c>
      <c r="P34" s="90">
        <f>'C.II.1.1.5'!P30</f>
        <v>0</v>
      </c>
      <c r="Q34" s="89">
        <f>'C.II.1.1.5'!Q30</f>
        <v>43350</v>
      </c>
      <c r="R34" s="88"/>
      <c r="S34" s="88" t="e">
        <f t="shared" ref="S34" si="27">VLOOKUP($S$11,hamchuigoi3,M34,0)</f>
        <v>#VALUE!</v>
      </c>
      <c r="T34" s="3" t="str">
        <f t="shared" ref="T34" si="28">$N$6&amp;" "&amp;O34</f>
        <v>SX+LD cốt thép bệ móng + thân mố D &gt; 18 trên cạn ,thân A2L đợt 6</v>
      </c>
    </row>
    <row r="35" spans="1:20" ht="27.75" customHeight="1" outlineLevel="2">
      <c r="A35" s="81">
        <f>SUBTOTAL(103,$B$12:B35)</f>
        <v>24</v>
      </c>
      <c r="B35" s="78">
        <f t="shared" ref="B35:B40" si="29">Q35</f>
        <v>43304</v>
      </c>
      <c r="C35" s="571" t="str">
        <f t="shared" ref="C35:C40" si="30">T35</f>
        <v>SX+LD cốt thép bệ móng + thân mố D &gt; 18 trên cạn ,thân A2R chờ ở bệ</v>
      </c>
      <c r="D35" s="572"/>
      <c r="E35" s="573"/>
      <c r="F35" s="383">
        <f>[3]A2R!$O$209/1000</f>
        <v>12.797693599999999</v>
      </c>
      <c r="G35" s="385">
        <f>12797.69/1000</f>
        <v>12.797690000000001</v>
      </c>
      <c r="H35" s="381">
        <f t="shared" ref="H35:H40" si="31">MIN(F35:G35)</f>
        <v>12.797690000000001</v>
      </c>
      <c r="I35" s="107">
        <f t="shared" si="8"/>
        <v>12.797690000000001</v>
      </c>
      <c r="J35" s="107">
        <f t="shared" ref="J35:J40" si="32">P35</f>
        <v>0</v>
      </c>
      <c r="K35" s="604"/>
      <c r="L35" s="391"/>
      <c r="N35" s="118"/>
      <c r="O35" s="118" t="str">
        <f>'C.II.1.1.5'!O31</f>
        <v>,thân A2R chờ ở bệ</v>
      </c>
      <c r="P35" s="90">
        <f>'C.II.1.1.5'!P31</f>
        <v>0</v>
      </c>
      <c r="Q35" s="89">
        <f>'C.II.1.1.5'!Q31</f>
        <v>43304</v>
      </c>
      <c r="R35" s="88"/>
      <c r="S35" s="88" t="e">
        <f t="shared" ref="S35:S40" si="33">VLOOKUP($S$11,hamchuigoi3,M35,0)</f>
        <v>#VALUE!</v>
      </c>
      <c r="T35" s="3" t="str">
        <f t="shared" ref="T35:T40" si="34">$N$6&amp;" "&amp;O35</f>
        <v>SX+LD cốt thép bệ móng + thân mố D &gt; 18 trên cạn ,thân A2R chờ ở bệ</v>
      </c>
    </row>
    <row r="36" spans="1:20" ht="27.75" customHeight="1" outlineLevel="2">
      <c r="A36" s="81">
        <f>SUBTOTAL(103,$B$12:B36)</f>
        <v>25</v>
      </c>
      <c r="B36" s="78">
        <f t="shared" si="29"/>
        <v>43312</v>
      </c>
      <c r="C36" s="571" t="str">
        <f t="shared" si="30"/>
        <v>SX+LD cốt thép bệ móng + thân mố D &gt; 18 trên cạn ,thân A2R đợt 1</v>
      </c>
      <c r="D36" s="572"/>
      <c r="E36" s="573"/>
      <c r="F36" s="449">
        <f>[3]A2R!$O$213/1000</f>
        <v>0.26196170000000002</v>
      </c>
      <c r="G36" s="450">
        <f>261.96/1000</f>
        <v>0.26195999999999997</v>
      </c>
      <c r="H36" s="451">
        <f t="shared" si="31"/>
        <v>0.26195999999999997</v>
      </c>
      <c r="I36" s="452">
        <f t="shared" si="8"/>
        <v>0.26195999999999997</v>
      </c>
      <c r="J36" s="107">
        <f t="shared" si="32"/>
        <v>0</v>
      </c>
      <c r="K36" s="604"/>
      <c r="L36" s="391"/>
      <c r="N36" s="118"/>
      <c r="O36" s="118" t="str">
        <f>'C.II.1.1.5'!O32</f>
        <v>,thân A2R đợt 1</v>
      </c>
      <c r="P36" s="90">
        <f>'C.II.1.1.5'!P32</f>
        <v>0</v>
      </c>
      <c r="Q36" s="89">
        <f>'C.II.1.1.5'!Q32</f>
        <v>43312</v>
      </c>
      <c r="R36" s="88"/>
      <c r="S36" s="88" t="e">
        <f t="shared" si="33"/>
        <v>#VALUE!</v>
      </c>
      <c r="T36" s="3" t="str">
        <f t="shared" si="34"/>
        <v>SX+LD cốt thép bệ móng + thân mố D &gt; 18 trên cạn ,thân A2R đợt 1</v>
      </c>
    </row>
    <row r="37" spans="1:20" ht="27.75" customHeight="1" outlineLevel="2">
      <c r="A37" s="81">
        <f>SUBTOTAL(103,$B$12:B37)</f>
        <v>26</v>
      </c>
      <c r="B37" s="78">
        <f t="shared" si="29"/>
        <v>43320</v>
      </c>
      <c r="C37" s="571" t="str">
        <f t="shared" si="30"/>
        <v>SX+LD cốt thép bệ móng + thân mố D &gt; 18 trên cạn ,thân A2R đợt 2</v>
      </c>
      <c r="D37" s="572"/>
      <c r="E37" s="573"/>
      <c r="F37" s="449">
        <f>[3]A2R!$O$217/1000</f>
        <v>0.28211260000000005</v>
      </c>
      <c r="G37" s="450">
        <f>282.11/1000</f>
        <v>0.28211000000000003</v>
      </c>
      <c r="H37" s="451">
        <f t="shared" si="31"/>
        <v>0.28211000000000003</v>
      </c>
      <c r="I37" s="452">
        <f t="shared" si="8"/>
        <v>0.28211000000000003</v>
      </c>
      <c r="J37" s="107">
        <f t="shared" si="32"/>
        <v>0</v>
      </c>
      <c r="K37" s="604"/>
      <c r="L37" s="391"/>
      <c r="N37" s="118"/>
      <c r="O37" s="118" t="str">
        <f>'C.II.1.1.5'!O33</f>
        <v>,thân A2R đợt 2</v>
      </c>
      <c r="P37" s="90">
        <f>'C.II.1.1.5'!P33</f>
        <v>0</v>
      </c>
      <c r="Q37" s="89">
        <f>'C.II.1.1.5'!Q33</f>
        <v>43320</v>
      </c>
      <c r="R37" s="88"/>
      <c r="S37" s="88" t="e">
        <f t="shared" si="33"/>
        <v>#VALUE!</v>
      </c>
      <c r="T37" s="3" t="str">
        <f t="shared" si="34"/>
        <v>SX+LD cốt thép bệ móng + thân mố D &gt; 18 trên cạn ,thân A2R đợt 2</v>
      </c>
    </row>
    <row r="38" spans="1:20" ht="27.75" customHeight="1" outlineLevel="2">
      <c r="A38" s="81">
        <f>SUBTOTAL(103,$B$12:B38)</f>
        <v>27</v>
      </c>
      <c r="B38" s="78">
        <f t="shared" si="29"/>
        <v>43328</v>
      </c>
      <c r="C38" s="571" t="str">
        <f t="shared" si="30"/>
        <v>SX+LD cốt thép bệ móng + thân mố D &gt; 18 trên cạn ,thân A2R đợt 3</v>
      </c>
      <c r="D38" s="572"/>
      <c r="E38" s="573"/>
      <c r="F38" s="383">
        <f>[3]A2R!$O$221/1000</f>
        <v>0.35838880000000006</v>
      </c>
      <c r="G38" s="385">
        <f>358.39/1000</f>
        <v>0.35838999999999999</v>
      </c>
      <c r="H38" s="381">
        <f t="shared" si="31"/>
        <v>0.35838880000000006</v>
      </c>
      <c r="I38" s="107">
        <f t="shared" si="8"/>
        <v>0.35838880000000006</v>
      </c>
      <c r="J38" s="107">
        <f t="shared" si="32"/>
        <v>0</v>
      </c>
      <c r="K38" s="604"/>
      <c r="L38" s="391"/>
      <c r="N38" s="118"/>
      <c r="O38" s="118" t="str">
        <f>'C.II.1.1.5'!O34</f>
        <v>,thân A2R đợt 3</v>
      </c>
      <c r="P38" s="90">
        <f>'C.II.1.1.5'!P34</f>
        <v>0</v>
      </c>
      <c r="Q38" s="89">
        <f>'C.II.1.1.5'!Q34</f>
        <v>43328</v>
      </c>
      <c r="R38" s="88"/>
      <c r="S38" s="88" t="e">
        <f t="shared" si="33"/>
        <v>#VALUE!</v>
      </c>
      <c r="T38" s="3" t="str">
        <f t="shared" si="34"/>
        <v>SX+LD cốt thép bệ móng + thân mố D &gt; 18 trên cạn ,thân A2R đợt 3</v>
      </c>
    </row>
    <row r="39" spans="1:20" ht="27.75" customHeight="1" outlineLevel="2">
      <c r="A39" s="81">
        <f>SUBTOTAL(103,$B$12:B39)</f>
        <v>28</v>
      </c>
      <c r="B39" s="78">
        <f t="shared" si="29"/>
        <v>43336</v>
      </c>
      <c r="C39" s="571" t="str">
        <f t="shared" si="30"/>
        <v>SX+LD cốt thép bệ móng + thân mố D &gt; 18 trên cạn ,thân A2R đợt 4</v>
      </c>
      <c r="D39" s="572"/>
      <c r="E39" s="573"/>
      <c r="F39" s="383">
        <f>[3]A2R!$O$225/1000</f>
        <v>0.33053020000000005</v>
      </c>
      <c r="G39" s="385">
        <f>330.53/1000</f>
        <v>0.33052999999999999</v>
      </c>
      <c r="H39" s="381">
        <f t="shared" si="31"/>
        <v>0.33052999999999999</v>
      </c>
      <c r="I39" s="107">
        <f t="shared" si="8"/>
        <v>0.33052999999999999</v>
      </c>
      <c r="J39" s="107">
        <f t="shared" si="32"/>
        <v>0</v>
      </c>
      <c r="K39" s="604"/>
      <c r="L39" s="391"/>
      <c r="N39" s="118"/>
      <c r="O39" s="118" t="str">
        <f>'C.II.1.1.5'!O35</f>
        <v>,thân A2R đợt 4</v>
      </c>
      <c r="P39" s="90">
        <f>'C.II.1.1.5'!P35</f>
        <v>0</v>
      </c>
      <c r="Q39" s="89">
        <f>'C.II.1.1.5'!Q35</f>
        <v>43336</v>
      </c>
      <c r="R39" s="88"/>
      <c r="S39" s="88" t="e">
        <f t="shared" si="33"/>
        <v>#VALUE!</v>
      </c>
      <c r="T39" s="3" t="str">
        <f t="shared" si="34"/>
        <v>SX+LD cốt thép bệ móng + thân mố D &gt; 18 trên cạn ,thân A2R đợt 4</v>
      </c>
    </row>
    <row r="40" spans="1:20" ht="27.75" customHeight="1" outlineLevel="2">
      <c r="A40" s="81">
        <f>SUBTOTAL(103,$B$12:B40)</f>
        <v>29</v>
      </c>
      <c r="B40" s="78">
        <f t="shared" si="29"/>
        <v>43344</v>
      </c>
      <c r="C40" s="571" t="str">
        <f t="shared" si="30"/>
        <v>SX+LD cốt thép bệ móng + thân mố D &gt; 18 trên cạn ,thân A2R đợt 5</v>
      </c>
      <c r="D40" s="572"/>
      <c r="E40" s="573"/>
      <c r="F40" s="383">
        <f>[3]A2R!$O$229/1000</f>
        <v>0.43561320000000003</v>
      </c>
      <c r="G40" s="385">
        <f>435.61/1000</f>
        <v>0.43561</v>
      </c>
      <c r="H40" s="381">
        <f t="shared" si="31"/>
        <v>0.43561</v>
      </c>
      <c r="I40" s="107">
        <f t="shared" si="8"/>
        <v>0.43561</v>
      </c>
      <c r="J40" s="107">
        <f t="shared" si="32"/>
        <v>0</v>
      </c>
      <c r="K40" s="604"/>
      <c r="L40" s="391"/>
      <c r="N40" s="118"/>
      <c r="O40" s="118" t="str">
        <f>'C.II.1.1.5'!O36</f>
        <v>,thân A2R đợt 5</v>
      </c>
      <c r="P40" s="90">
        <f>'C.II.1.1.5'!P36</f>
        <v>0</v>
      </c>
      <c r="Q40" s="89">
        <f>'C.II.1.1.5'!Q36</f>
        <v>43344</v>
      </c>
      <c r="R40" s="88"/>
      <c r="S40" s="88" t="e">
        <f t="shared" si="33"/>
        <v>#VALUE!</v>
      </c>
      <c r="T40" s="3" t="str">
        <f t="shared" si="34"/>
        <v>SX+LD cốt thép bệ móng + thân mố D &gt; 18 trên cạn ,thân A2R đợt 5</v>
      </c>
    </row>
    <row r="41" spans="1:20" ht="27.75" customHeight="1" outlineLevel="2">
      <c r="A41" s="81">
        <f>SUBTOTAL(103,$B$12:B41)</f>
        <v>30</v>
      </c>
      <c r="B41" s="78">
        <f t="shared" ref="B41" si="35">Q41</f>
        <v>43352</v>
      </c>
      <c r="C41" s="571" t="str">
        <f t="shared" ref="C41" si="36">T41</f>
        <v>SX+LD cốt thép bệ móng + thân mố D &gt; 18 trên cạn ,thân A2R đợt 6</v>
      </c>
      <c r="D41" s="572"/>
      <c r="E41" s="573"/>
      <c r="F41" s="383">
        <f>[3]A2R!$O$233/1000</f>
        <v>0.33333144000000003</v>
      </c>
      <c r="G41" s="385">
        <f>333.33/1000</f>
        <v>0.33332999999999996</v>
      </c>
      <c r="H41" s="381">
        <f t="shared" ref="H41" si="37">MIN(F41:G41)</f>
        <v>0.33332999999999996</v>
      </c>
      <c r="I41" s="107">
        <f t="shared" ref="I41" si="38">H41</f>
        <v>0.33332999999999996</v>
      </c>
      <c r="J41" s="107">
        <f t="shared" ref="J41" si="39">P41</f>
        <v>0</v>
      </c>
      <c r="K41" s="390"/>
      <c r="L41" s="391"/>
      <c r="N41" s="118"/>
      <c r="O41" s="118" t="str">
        <f>'C.II.1.1.5'!O37</f>
        <v>,thân A2R đợt 6</v>
      </c>
      <c r="P41" s="90">
        <f>'C.II.1.1.5'!P37</f>
        <v>0</v>
      </c>
      <c r="Q41" s="89">
        <f>'C.II.1.1.5'!Q37</f>
        <v>43352</v>
      </c>
      <c r="R41" s="88"/>
      <c r="S41" s="88" t="e">
        <f t="shared" ref="S41" si="40">VLOOKUP($S$11,hamchuigoi3,M41,0)</f>
        <v>#VALUE!</v>
      </c>
      <c r="T41" s="3" t="str">
        <f t="shared" ref="T41" si="41">$N$6&amp;" "&amp;O41</f>
        <v>SX+LD cốt thép bệ móng + thân mố D &gt; 18 trên cạn ,thân A2R đợt 6</v>
      </c>
    </row>
    <row r="42" spans="1:20" ht="14.25" outlineLevel="2">
      <c r="A42" s="81"/>
      <c r="B42" s="78"/>
      <c r="C42" s="571"/>
      <c r="D42" s="572"/>
      <c r="E42" s="573"/>
      <c r="F42" s="27"/>
      <c r="G42" s="33"/>
      <c r="H42" s="31"/>
      <c r="I42" s="107"/>
      <c r="J42" s="107"/>
      <c r="K42" s="82"/>
      <c r="N42" s="118"/>
      <c r="O42" s="118"/>
      <c r="P42" s="88"/>
      <c r="Q42" s="89"/>
      <c r="R42" s="88"/>
      <c r="S42" s="88"/>
      <c r="T42" s="3"/>
    </row>
    <row r="43" spans="1:20" thickBot="1">
      <c r="A43" s="574" t="s">
        <v>4</v>
      </c>
      <c r="B43" s="575"/>
      <c r="C43" s="575"/>
      <c r="D43" s="575"/>
      <c r="E43" s="575"/>
      <c r="F43" s="79">
        <f>ROUND(SUM(F12:F42),2)</f>
        <v>63.45</v>
      </c>
      <c r="G43" s="79">
        <f>ROUND(SUM(G12:G42),2)</f>
        <v>63.45</v>
      </c>
      <c r="H43" s="79">
        <f>ROUND(SUM(H12:H42),2)</f>
        <v>63.45</v>
      </c>
      <c r="I43" s="79">
        <f>ROUND(SUM(I12:I42),2)</f>
        <v>63.45</v>
      </c>
      <c r="J43" s="79">
        <f>ROUND(SUM(J12:J42),2)</f>
        <v>44.67</v>
      </c>
      <c r="K43" s="80"/>
      <c r="N43" s="118"/>
      <c r="O43" s="118"/>
      <c r="P43" s="90"/>
    </row>
    <row r="44" spans="1:20" s="175" customFormat="1" ht="18" customHeight="1" thickTop="1" thickBot="1">
      <c r="A44" s="227"/>
      <c r="B44" s="227"/>
      <c r="C44" s="227"/>
      <c r="D44" s="227"/>
      <c r="E44" s="227"/>
      <c r="F44" s="116"/>
      <c r="G44" s="116"/>
      <c r="H44" s="116"/>
      <c r="I44" s="116"/>
      <c r="J44" s="116"/>
      <c r="K44" s="117"/>
      <c r="L44" s="4"/>
      <c r="M44" s="4" t="s">
        <v>353</v>
      </c>
      <c r="N44" s="118" t="s">
        <v>354</v>
      </c>
      <c r="O44" s="118" t="s">
        <v>351</v>
      </c>
      <c r="P44" s="119" t="s">
        <v>352</v>
      </c>
      <c r="Q44" s="120"/>
      <c r="R44" s="120"/>
      <c r="S44" s="120"/>
      <c r="T44" s="121"/>
    </row>
    <row r="45" spans="1:20" s="5" customFormat="1" ht="13.9" customHeight="1" thickTop="1">
      <c r="A45" s="578" t="s">
        <v>68</v>
      </c>
      <c r="B45" s="579"/>
      <c r="C45" s="579"/>
      <c r="D45" s="579"/>
      <c r="E45" s="579"/>
      <c r="F45" s="580" t="s">
        <v>69</v>
      </c>
      <c r="G45" s="580"/>
      <c r="H45" s="580"/>
      <c r="I45" s="581"/>
      <c r="J45" s="581"/>
      <c r="K45" s="582"/>
      <c r="L45" s="4"/>
      <c r="M45" s="4">
        <v>149.16999999999999</v>
      </c>
      <c r="N45" s="4">
        <v>149.11699999999999</v>
      </c>
      <c r="O45" s="4">
        <v>0</v>
      </c>
      <c r="P45" s="4">
        <v>0</v>
      </c>
    </row>
    <row r="46" spans="1:20" s="5" customFormat="1" ht="13.9" customHeight="1">
      <c r="A46" s="583" t="s">
        <v>5</v>
      </c>
      <c r="B46" s="584"/>
      <c r="C46" s="584"/>
      <c r="D46" s="584"/>
      <c r="E46" s="584"/>
      <c r="F46" s="585" t="s">
        <v>6</v>
      </c>
      <c r="G46" s="585"/>
      <c r="H46" s="585"/>
      <c r="I46" s="586"/>
      <c r="J46" s="586"/>
      <c r="K46" s="587"/>
      <c r="L46" s="4"/>
      <c r="M46" s="4">
        <v>0</v>
      </c>
      <c r="N46" s="4">
        <v>8.4559999999999995</v>
      </c>
      <c r="O46" s="4">
        <v>10.151999999999999</v>
      </c>
      <c r="P46" s="4">
        <v>0</v>
      </c>
    </row>
    <row r="47" spans="1:20" s="5" customFormat="1" ht="13.9" customHeight="1">
      <c r="A47" s="583" t="s">
        <v>836</v>
      </c>
      <c r="B47" s="584"/>
      <c r="C47" s="584"/>
      <c r="D47" s="584"/>
      <c r="E47" s="584"/>
      <c r="F47" s="590" t="s">
        <v>837</v>
      </c>
      <c r="G47" s="590"/>
      <c r="H47" s="590"/>
      <c r="I47" s="591"/>
      <c r="J47" s="591"/>
      <c r="K47" s="592"/>
      <c r="L47" s="4"/>
      <c r="M47" s="4">
        <v>0</v>
      </c>
      <c r="N47" s="4">
        <v>0</v>
      </c>
      <c r="O47" s="4">
        <v>9.2609999999999992</v>
      </c>
      <c r="P47" s="4">
        <v>0</v>
      </c>
    </row>
    <row r="48" spans="1:20" s="5" customFormat="1" ht="13.9" customHeight="1">
      <c r="A48" s="583"/>
      <c r="B48" s="584"/>
      <c r="C48" s="584"/>
      <c r="D48" s="584"/>
      <c r="E48" s="584"/>
      <c r="F48" s="590"/>
      <c r="G48" s="590"/>
      <c r="H48" s="590"/>
      <c r="I48" s="591"/>
      <c r="J48" s="591"/>
      <c r="K48" s="592"/>
      <c r="L48" s="4"/>
      <c r="M48" s="4">
        <v>4</v>
      </c>
      <c r="N48" s="4">
        <v>4</v>
      </c>
      <c r="O48" s="4">
        <v>4</v>
      </c>
      <c r="P48" s="4">
        <v>4</v>
      </c>
    </row>
    <row r="49" spans="1:20" s="5" customFormat="1" ht="13.9" customHeight="1">
      <c r="A49" s="583"/>
      <c r="B49" s="584"/>
      <c r="C49" s="584"/>
      <c r="D49" s="584"/>
      <c r="E49" s="584"/>
      <c r="F49" s="590"/>
      <c r="G49" s="590"/>
      <c r="H49" s="590"/>
      <c r="I49" s="591"/>
      <c r="J49" s="591"/>
      <c r="K49" s="592"/>
      <c r="L49" s="4"/>
      <c r="M49" s="4">
        <v>0</v>
      </c>
      <c r="N49" s="4">
        <v>0</v>
      </c>
      <c r="O49" s="4">
        <v>309</v>
      </c>
      <c r="P49" s="4">
        <v>309</v>
      </c>
    </row>
    <row r="50" spans="1:20" s="5" customFormat="1" ht="13.9" customHeight="1">
      <c r="A50" s="583"/>
      <c r="B50" s="584"/>
      <c r="C50" s="584"/>
      <c r="D50" s="584"/>
      <c r="E50" s="584"/>
      <c r="F50" s="590"/>
      <c r="G50" s="590"/>
      <c r="H50" s="590"/>
      <c r="I50" s="591"/>
      <c r="J50" s="591"/>
      <c r="K50" s="592"/>
      <c r="L50" s="4"/>
      <c r="M50" s="4">
        <v>2300.7199999999998</v>
      </c>
      <c r="N50" s="4">
        <v>3002.72</v>
      </c>
      <c r="O50" s="4">
        <v>562.11</v>
      </c>
      <c r="P50" s="4">
        <v>562.11</v>
      </c>
    </row>
    <row r="51" spans="1:20" s="5" customFormat="1" ht="13.9" customHeight="1">
      <c r="A51" s="583"/>
      <c r="B51" s="584"/>
      <c r="C51" s="584"/>
      <c r="D51" s="584"/>
      <c r="E51" s="584"/>
      <c r="F51" s="590"/>
      <c r="G51" s="590"/>
      <c r="H51" s="590"/>
      <c r="I51" s="591"/>
      <c r="J51" s="591"/>
      <c r="K51" s="592"/>
      <c r="L51" s="4"/>
      <c r="M51" s="4">
        <v>6369.45</v>
      </c>
      <c r="N51" s="4">
        <v>6905.47</v>
      </c>
      <c r="O51" s="4">
        <v>6119.16</v>
      </c>
      <c r="P51" s="4">
        <v>9046.5499999999993</v>
      </c>
    </row>
    <row r="52" spans="1:20" s="5" customFormat="1" ht="13.9" customHeight="1">
      <c r="A52" s="583"/>
      <c r="B52" s="584"/>
      <c r="C52" s="584"/>
      <c r="D52" s="584"/>
      <c r="E52" s="584"/>
      <c r="F52" s="590"/>
      <c r="G52" s="590"/>
      <c r="H52" s="590"/>
      <c r="I52" s="591"/>
      <c r="J52" s="591"/>
      <c r="K52" s="592"/>
      <c r="L52" s="4"/>
      <c r="M52" s="4">
        <v>7896.36</v>
      </c>
      <c r="N52" s="4">
        <v>7805.84</v>
      </c>
      <c r="O52" s="4">
        <v>1921.33</v>
      </c>
      <c r="P52" s="4">
        <v>13505.69</v>
      </c>
    </row>
    <row r="53" spans="1:20" s="5" customFormat="1" ht="13.9" customHeight="1" thickBot="1">
      <c r="A53" s="588"/>
      <c r="B53" s="589"/>
      <c r="C53" s="589"/>
      <c r="D53" s="589"/>
      <c r="E53" s="589"/>
      <c r="F53" s="593"/>
      <c r="G53" s="593"/>
      <c r="H53" s="593"/>
      <c r="I53" s="594"/>
      <c r="J53" s="594"/>
      <c r="K53" s="595"/>
      <c r="L53" s="4"/>
      <c r="M53" s="4">
        <v>140</v>
      </c>
      <c r="N53" s="4">
        <v>139.6</v>
      </c>
      <c r="O53" s="4">
        <v>218.6</v>
      </c>
      <c r="P53" s="4">
        <v>209.5</v>
      </c>
    </row>
    <row r="54" spans="1:20" s="175" customFormat="1" ht="18" customHeight="1" thickTop="1">
      <c r="A54" s="227"/>
      <c r="B54" s="227"/>
      <c r="C54" s="227"/>
      <c r="D54" s="227"/>
      <c r="E54" s="227"/>
      <c r="F54" s="116"/>
      <c r="G54" s="116"/>
      <c r="H54" s="116"/>
      <c r="I54" s="116"/>
      <c r="J54" s="116"/>
      <c r="K54" s="117"/>
      <c r="L54" s="118"/>
      <c r="M54" s="118"/>
      <c r="N54" s="118"/>
      <c r="O54" s="118"/>
      <c r="P54" s="119"/>
      <c r="Q54" s="120"/>
      <c r="R54" s="120"/>
      <c r="S54" s="120"/>
      <c r="T54" s="121"/>
    </row>
    <row r="55" spans="1:20" s="111" customFormat="1" ht="48" customHeight="1">
      <c r="A55" s="596" t="s">
        <v>87</v>
      </c>
      <c r="B55" s="596"/>
      <c r="C55" s="596"/>
      <c r="D55" s="596"/>
      <c r="E55" s="596"/>
      <c r="F55" s="596"/>
      <c r="G55" s="596"/>
      <c r="H55" s="596"/>
      <c r="I55" s="596"/>
      <c r="J55" s="596"/>
      <c r="K55" s="596"/>
      <c r="L55" s="108"/>
      <c r="M55" s="109"/>
      <c r="N55" s="110"/>
    </row>
    <row r="56" spans="1:20" s="112" customFormat="1" ht="18" customHeight="1">
      <c r="A56" s="597" t="s">
        <v>599</v>
      </c>
      <c r="B56" s="597"/>
      <c r="C56" s="597"/>
      <c r="D56" s="597"/>
      <c r="E56" s="597"/>
      <c r="F56" s="597"/>
      <c r="G56" s="597"/>
      <c r="H56" s="597"/>
      <c r="I56" s="597"/>
      <c r="J56" s="597"/>
      <c r="K56" s="597"/>
    </row>
    <row r="57" spans="1:20" s="175" customFormat="1" ht="20.100000000000001" customHeight="1">
      <c r="A57" s="598" t="s">
        <v>90</v>
      </c>
      <c r="B57" s="598"/>
      <c r="C57" s="598"/>
      <c r="D57" s="598"/>
      <c r="E57" s="598"/>
      <c r="F57" s="598"/>
      <c r="G57" s="598"/>
      <c r="H57" s="598"/>
      <c r="I57" s="598"/>
      <c r="J57" s="598"/>
      <c r="K57" s="598"/>
      <c r="L57" s="123"/>
      <c r="M57" s="124"/>
      <c r="N57" s="123"/>
      <c r="O57" s="123"/>
      <c r="P57" s="123"/>
      <c r="Q57" s="123"/>
      <c r="R57" s="123"/>
      <c r="S57" s="123"/>
      <c r="T57" s="123"/>
    </row>
    <row r="58" spans="1:20" s="175" customFormat="1" ht="15.95" customHeight="1">
      <c r="A58" s="599" t="s">
        <v>91</v>
      </c>
      <c r="B58" s="599"/>
      <c r="C58" s="599"/>
      <c r="D58" s="599"/>
      <c r="E58" s="599"/>
      <c r="F58" s="599"/>
      <c r="G58" s="599"/>
      <c r="H58" s="599"/>
      <c r="I58" s="599"/>
      <c r="J58" s="599"/>
      <c r="K58" s="599"/>
      <c r="L58" s="123"/>
      <c r="M58" s="124"/>
      <c r="N58" s="123"/>
      <c r="O58" s="123"/>
      <c r="P58" s="123"/>
      <c r="Q58" s="123"/>
      <c r="R58" s="123"/>
      <c r="S58" s="123"/>
      <c r="T58" s="123"/>
    </row>
    <row r="59" spans="1:20" s="175" customFormat="1" ht="15.95" customHeight="1">
      <c r="A59" s="600" t="str">
        <f>A4</f>
        <v>PHẦN C.: CẦU VƯỢT</v>
      </c>
      <c r="B59" s="601"/>
      <c r="C59" s="601"/>
      <c r="D59" s="601"/>
      <c r="E59" s="601"/>
      <c r="F59" s="601"/>
      <c r="G59" s="601"/>
      <c r="H59" s="601"/>
      <c r="I59" s="601"/>
      <c r="J59" s="601"/>
      <c r="K59" s="602"/>
      <c r="L59" s="123"/>
      <c r="M59" s="124"/>
      <c r="N59" s="123"/>
      <c r="O59" s="123"/>
      <c r="P59" s="123"/>
      <c r="Q59" s="123"/>
      <c r="R59" s="123"/>
      <c r="S59" s="123"/>
      <c r="T59" s="123"/>
    </row>
    <row r="60" spans="1:20" s="175" customFormat="1" ht="15.95" customHeight="1">
      <c r="A60" s="228" t="str">
        <f>A5</f>
        <v>Hạng mục C.II. HỆ MẶT CẦU, LAN CAN, THẢM MẶT CẦU, THOÁT NƯỚC, KHE CO GIÃN</v>
      </c>
      <c r="B60" s="229"/>
      <c r="C60" s="127"/>
      <c r="D60" s="127"/>
      <c r="E60" s="128"/>
      <c r="F60" s="129"/>
      <c r="G60" s="129"/>
      <c r="H60" s="129"/>
      <c r="I60" s="129"/>
      <c r="J60" s="129"/>
      <c r="K60" s="130"/>
      <c r="L60" s="123"/>
      <c r="M60" s="124"/>
      <c r="N60" s="123"/>
      <c r="O60" s="123"/>
      <c r="P60" s="123"/>
      <c r="Q60" s="123"/>
      <c r="R60" s="123"/>
      <c r="S60" s="123"/>
      <c r="T60" s="123"/>
    </row>
    <row r="61" spans="1:20" s="175" customFormat="1" ht="15.95" customHeight="1">
      <c r="A61" s="228" t="str">
        <f>A6</f>
        <v>Mục C.II.1.1.7. SX+LD cốt thép bệ móng + thân mố D &gt; 18 trên cạn</v>
      </c>
      <c r="B61" s="229"/>
      <c r="C61" s="127"/>
      <c r="D61" s="127"/>
      <c r="E61" s="128"/>
      <c r="F61" s="129"/>
      <c r="G61" s="129"/>
      <c r="H61" s="129"/>
      <c r="I61" s="129"/>
      <c r="J61" s="129"/>
      <c r="K61" s="130"/>
      <c r="L61" s="123"/>
      <c r="M61" s="124"/>
      <c r="N61" s="123"/>
      <c r="O61" s="123"/>
      <c r="P61" s="123"/>
      <c r="Q61" s="123"/>
      <c r="R61" s="123"/>
      <c r="S61" s="123"/>
      <c r="T61" s="123"/>
    </row>
    <row r="62" spans="1:20" s="175" customFormat="1" ht="15.95" customHeight="1">
      <c r="A62" s="639">
        <f>A7</f>
        <v>63.45</v>
      </c>
      <c r="B62" s="640"/>
      <c r="C62" s="640"/>
      <c r="D62" s="640"/>
      <c r="E62" s="131" t="str">
        <f>E7</f>
        <v>(T)</v>
      </c>
      <c r="F62" s="132"/>
      <c r="G62" s="132"/>
      <c r="H62" s="132"/>
      <c r="I62" s="132"/>
      <c r="J62" s="132"/>
      <c r="K62" s="133"/>
      <c r="L62" s="173"/>
      <c r="M62" s="135"/>
      <c r="N62" s="174"/>
      <c r="P62" s="174"/>
    </row>
    <row r="63" spans="1:20" s="5" customFormat="1" ht="13.5" customHeight="1" thickBot="1">
      <c r="A63" s="28"/>
      <c r="B63" s="28"/>
      <c r="C63" s="28"/>
      <c r="D63" s="28"/>
      <c r="E63" s="28"/>
      <c r="F63" s="30"/>
      <c r="G63" s="30"/>
      <c r="H63" s="30"/>
      <c r="I63" s="30"/>
      <c r="J63" s="30"/>
      <c r="K63" s="8"/>
      <c r="L63" s="23"/>
      <c r="M63" s="9"/>
      <c r="N63" s="4"/>
      <c r="O63" s="4"/>
      <c r="P63" s="4"/>
      <c r="R63" s="4"/>
      <c r="S63" s="4"/>
      <c r="T63" s="4"/>
    </row>
    <row r="64" spans="1:20" s="5" customFormat="1" ht="21.6" customHeight="1" thickTop="1">
      <c r="A64" s="576" t="s">
        <v>3</v>
      </c>
      <c r="B64" s="641" t="s">
        <v>84</v>
      </c>
      <c r="C64" s="641"/>
      <c r="D64" s="643" t="s">
        <v>96</v>
      </c>
      <c r="E64" s="643"/>
      <c r="F64" s="643"/>
      <c r="G64" s="643"/>
      <c r="H64" s="641" t="s">
        <v>89</v>
      </c>
      <c r="I64" s="641"/>
      <c r="J64" s="641" t="s">
        <v>85</v>
      </c>
      <c r="K64" s="645"/>
      <c r="L64"/>
      <c r="M64" s="94"/>
      <c r="N64" s="94"/>
      <c r="O64" s="95"/>
      <c r="P64" s="96"/>
    </row>
    <row r="65" spans="1:16" s="5" customFormat="1" ht="21.6" customHeight="1">
      <c r="A65" s="577"/>
      <c r="B65" s="642"/>
      <c r="C65" s="642"/>
      <c r="D65" s="644"/>
      <c r="E65" s="644"/>
      <c r="F65" s="644"/>
      <c r="G65" s="644"/>
      <c r="H65" s="642"/>
      <c r="I65" s="642"/>
      <c r="J65" s="642"/>
      <c r="K65" s="646"/>
      <c r="L65"/>
      <c r="M65" s="97"/>
      <c r="N65" s="97"/>
      <c r="O65" s="98"/>
      <c r="P65" s="99"/>
    </row>
    <row r="66" spans="1:16" s="5" customFormat="1" ht="17.100000000000001" customHeight="1">
      <c r="A66" s="100">
        <v>1</v>
      </c>
      <c r="B66" s="623" t="str">
        <f>"Tháng "&amp;IF(L66&lt;10,0&amp;L66&amp;"/"&amp;M66,L66&amp;"/"&amp;M66)</f>
        <v>Tháng 08/2017</v>
      </c>
      <c r="C66" s="623"/>
      <c r="D66" s="624" t="str">
        <f>N6</f>
        <v>SX+LD cốt thép bệ móng + thân mố D &gt; 18 trên cạn</v>
      </c>
      <c r="E66" s="624"/>
      <c r="F66" s="624"/>
      <c r="G66" s="624"/>
      <c r="H66" s="625">
        <f t="shared" ref="H66:H89" si="42">+SUMIFS($I$12:$I$42,$B$12:$B$42,"&gt;="&amp;$O66,$B$12:$B$42,"&lt;="&amp;$P66)</f>
        <v>0</v>
      </c>
      <c r="I66" s="625"/>
      <c r="J66" s="623"/>
      <c r="K66" s="626"/>
      <c r="L66">
        <v>8</v>
      </c>
      <c r="M66" s="101">
        <v>2017</v>
      </c>
      <c r="N66" s="97"/>
      <c r="O66" s="103">
        <f t="shared" ref="O66:O90" si="43">DATE(M66,L66,1)</f>
        <v>42948</v>
      </c>
      <c r="P66" s="103">
        <f t="shared" ref="P66:P90" si="44">DATE(M66,L66+1,0)</f>
        <v>42978</v>
      </c>
    </row>
    <row r="67" spans="1:16" s="5" customFormat="1" ht="17.100000000000001" customHeight="1">
      <c r="A67" s="104">
        <v>2</v>
      </c>
      <c r="B67" s="567" t="str">
        <f t="shared" ref="B67:B91" si="45">"Tháng "&amp;IF(L67&lt;10,0&amp;L67&amp;"/"&amp;M67,L67&amp;"/"&amp;M67)</f>
        <v>Tháng 09/2017</v>
      </c>
      <c r="C67" s="567"/>
      <c r="D67" s="568" t="str">
        <f>D66</f>
        <v>SX+LD cốt thép bệ móng + thân mố D &gt; 18 trên cạn</v>
      </c>
      <c r="E67" s="568"/>
      <c r="F67" s="568"/>
      <c r="G67" s="568"/>
      <c r="H67" s="569">
        <f t="shared" si="42"/>
        <v>0</v>
      </c>
      <c r="I67" s="569"/>
      <c r="J67" s="567"/>
      <c r="K67" s="570"/>
      <c r="L67">
        <v>9</v>
      </c>
      <c r="M67" s="101">
        <v>2017</v>
      </c>
      <c r="N67"/>
      <c r="O67" s="103">
        <f t="shared" si="43"/>
        <v>42979</v>
      </c>
      <c r="P67" s="103">
        <f t="shared" si="44"/>
        <v>43008</v>
      </c>
    </row>
    <row r="68" spans="1:16" s="5" customFormat="1" ht="17.100000000000001" customHeight="1">
      <c r="A68" s="104">
        <f>A67+1</f>
        <v>3</v>
      </c>
      <c r="B68" s="567" t="str">
        <f t="shared" si="45"/>
        <v>Tháng 10/2017</v>
      </c>
      <c r="C68" s="567"/>
      <c r="D68" s="568" t="str">
        <f t="shared" ref="D68:D90" si="46">D67</f>
        <v>SX+LD cốt thép bệ móng + thân mố D &gt; 18 trên cạn</v>
      </c>
      <c r="E68" s="568"/>
      <c r="F68" s="568"/>
      <c r="G68" s="568"/>
      <c r="H68" s="569">
        <f t="shared" si="42"/>
        <v>0</v>
      </c>
      <c r="I68" s="569"/>
      <c r="J68" s="567"/>
      <c r="K68" s="570"/>
      <c r="L68">
        <v>10</v>
      </c>
      <c r="M68" s="101">
        <v>2017</v>
      </c>
      <c r="N68"/>
      <c r="O68" s="103">
        <f t="shared" si="43"/>
        <v>43009</v>
      </c>
      <c r="P68" s="103">
        <f t="shared" si="44"/>
        <v>43039</v>
      </c>
    </row>
    <row r="69" spans="1:16" s="5" customFormat="1" ht="17.100000000000001" customHeight="1">
      <c r="A69" s="104">
        <f t="shared" ref="A69:A91" si="47">A68+1</f>
        <v>4</v>
      </c>
      <c r="B69" s="567" t="str">
        <f t="shared" si="45"/>
        <v>Tháng 11/2017</v>
      </c>
      <c r="C69" s="567"/>
      <c r="D69" s="568" t="str">
        <f t="shared" si="46"/>
        <v>SX+LD cốt thép bệ móng + thân mố D &gt; 18 trên cạn</v>
      </c>
      <c r="E69" s="568"/>
      <c r="F69" s="568"/>
      <c r="G69" s="568"/>
      <c r="H69" s="569">
        <f t="shared" si="42"/>
        <v>0</v>
      </c>
      <c r="I69" s="569"/>
      <c r="J69" s="567"/>
      <c r="K69" s="570"/>
      <c r="L69">
        <v>11</v>
      </c>
      <c r="M69" s="101">
        <v>2017</v>
      </c>
      <c r="N69"/>
      <c r="O69" s="103">
        <f t="shared" si="43"/>
        <v>43040</v>
      </c>
      <c r="P69" s="103">
        <f t="shared" si="44"/>
        <v>43069</v>
      </c>
    </row>
    <row r="70" spans="1:16" s="5" customFormat="1" ht="17.100000000000001" customHeight="1">
      <c r="A70" s="104">
        <f t="shared" si="47"/>
        <v>5</v>
      </c>
      <c r="B70" s="567" t="str">
        <f t="shared" si="45"/>
        <v>Tháng 12/2017</v>
      </c>
      <c r="C70" s="567"/>
      <c r="D70" s="568" t="str">
        <f t="shared" si="46"/>
        <v>SX+LD cốt thép bệ móng + thân mố D &gt; 18 trên cạn</v>
      </c>
      <c r="E70" s="568"/>
      <c r="F70" s="568"/>
      <c r="G70" s="568"/>
      <c r="H70" s="569">
        <f t="shared" si="42"/>
        <v>0</v>
      </c>
      <c r="I70" s="569"/>
      <c r="J70" s="567"/>
      <c r="K70" s="570"/>
      <c r="L70">
        <v>12</v>
      </c>
      <c r="M70" s="101">
        <v>2017</v>
      </c>
      <c r="N70"/>
      <c r="O70" s="103">
        <f t="shared" si="43"/>
        <v>43070</v>
      </c>
      <c r="P70" s="103">
        <f t="shared" si="44"/>
        <v>43100</v>
      </c>
    </row>
    <row r="71" spans="1:16" s="5" customFormat="1" ht="17.100000000000001" customHeight="1">
      <c r="A71" s="104">
        <f t="shared" si="47"/>
        <v>6</v>
      </c>
      <c r="B71" s="567" t="str">
        <f t="shared" si="45"/>
        <v>Tháng 01/2018</v>
      </c>
      <c r="C71" s="567"/>
      <c r="D71" s="568" t="str">
        <f t="shared" si="46"/>
        <v>SX+LD cốt thép bệ móng + thân mố D &gt; 18 trên cạn</v>
      </c>
      <c r="E71" s="568"/>
      <c r="F71" s="568"/>
      <c r="G71" s="568"/>
      <c r="H71" s="569">
        <f t="shared" si="42"/>
        <v>0</v>
      </c>
      <c r="I71" s="569"/>
      <c r="J71" s="567"/>
      <c r="K71" s="570"/>
      <c r="L71">
        <v>1</v>
      </c>
      <c r="M71" s="101">
        <v>2018</v>
      </c>
      <c r="N71"/>
      <c r="O71" s="103">
        <f t="shared" si="43"/>
        <v>43101</v>
      </c>
      <c r="P71" s="103">
        <f t="shared" si="44"/>
        <v>43131</v>
      </c>
    </row>
    <row r="72" spans="1:16" s="5" customFormat="1" ht="17.100000000000001" customHeight="1">
      <c r="A72" s="104">
        <f t="shared" si="47"/>
        <v>7</v>
      </c>
      <c r="B72" s="567" t="str">
        <f t="shared" si="45"/>
        <v>Tháng 02/2018</v>
      </c>
      <c r="C72" s="567"/>
      <c r="D72" s="568" t="str">
        <f t="shared" si="46"/>
        <v>SX+LD cốt thép bệ móng + thân mố D &gt; 18 trên cạn</v>
      </c>
      <c r="E72" s="568"/>
      <c r="F72" s="568"/>
      <c r="G72" s="568"/>
      <c r="H72" s="569">
        <f t="shared" si="42"/>
        <v>0</v>
      </c>
      <c r="I72" s="569"/>
      <c r="J72" s="567"/>
      <c r="K72" s="570"/>
      <c r="L72">
        <v>2</v>
      </c>
      <c r="M72" s="101">
        <v>2018</v>
      </c>
      <c r="N72"/>
      <c r="O72" s="103">
        <f t="shared" si="43"/>
        <v>43132</v>
      </c>
      <c r="P72" s="103">
        <f t="shared" si="44"/>
        <v>43159</v>
      </c>
    </row>
    <row r="73" spans="1:16" s="5" customFormat="1" ht="17.100000000000001" customHeight="1">
      <c r="A73" s="104">
        <f t="shared" si="47"/>
        <v>8</v>
      </c>
      <c r="B73" s="567" t="str">
        <f t="shared" si="45"/>
        <v>Tháng 03/2018</v>
      </c>
      <c r="C73" s="567"/>
      <c r="D73" s="568" t="str">
        <f t="shared" si="46"/>
        <v>SX+LD cốt thép bệ móng + thân mố D &gt; 18 trên cạn</v>
      </c>
      <c r="E73" s="568"/>
      <c r="F73" s="568"/>
      <c r="G73" s="568"/>
      <c r="H73" s="569">
        <f t="shared" si="42"/>
        <v>0</v>
      </c>
      <c r="I73" s="569"/>
      <c r="J73" s="567"/>
      <c r="K73" s="570"/>
      <c r="L73">
        <v>3</v>
      </c>
      <c r="M73" s="101">
        <v>2018</v>
      </c>
      <c r="N73"/>
      <c r="O73" s="103">
        <f t="shared" si="43"/>
        <v>43160</v>
      </c>
      <c r="P73" s="103">
        <f t="shared" si="44"/>
        <v>43190</v>
      </c>
    </row>
    <row r="74" spans="1:16" s="5" customFormat="1" ht="17.100000000000001" customHeight="1">
      <c r="A74" s="104">
        <f t="shared" si="47"/>
        <v>9</v>
      </c>
      <c r="B74" s="567" t="str">
        <f t="shared" si="45"/>
        <v>Tháng 04/2018</v>
      </c>
      <c r="C74" s="567"/>
      <c r="D74" s="568" t="str">
        <f t="shared" si="46"/>
        <v>SX+LD cốt thép bệ móng + thân mố D &gt; 18 trên cạn</v>
      </c>
      <c r="E74" s="568"/>
      <c r="F74" s="568"/>
      <c r="G74" s="568"/>
      <c r="H74" s="569">
        <f t="shared" si="42"/>
        <v>0</v>
      </c>
      <c r="I74" s="569"/>
      <c r="J74" s="567"/>
      <c r="K74" s="570"/>
      <c r="L74">
        <v>4</v>
      </c>
      <c r="M74" s="101">
        <v>2018</v>
      </c>
      <c r="N74"/>
      <c r="O74" s="103">
        <f t="shared" si="43"/>
        <v>43191</v>
      </c>
      <c r="P74" s="103">
        <f t="shared" si="44"/>
        <v>43220</v>
      </c>
    </row>
    <row r="75" spans="1:16" s="5" customFormat="1" ht="17.100000000000001" customHeight="1">
      <c r="A75" s="104">
        <f t="shared" si="47"/>
        <v>10</v>
      </c>
      <c r="B75" s="567" t="str">
        <f t="shared" si="45"/>
        <v>Tháng 05/2018</v>
      </c>
      <c r="C75" s="567"/>
      <c r="D75" s="568" t="str">
        <f t="shared" si="46"/>
        <v>SX+LD cốt thép bệ móng + thân mố D &gt; 18 trên cạn</v>
      </c>
      <c r="E75" s="568"/>
      <c r="F75" s="568"/>
      <c r="G75" s="568"/>
      <c r="H75" s="569">
        <f t="shared" si="42"/>
        <v>0</v>
      </c>
      <c r="I75" s="569"/>
      <c r="J75" s="567"/>
      <c r="K75" s="570"/>
      <c r="L75">
        <v>5</v>
      </c>
      <c r="M75" s="101">
        <v>2018</v>
      </c>
      <c r="N75"/>
      <c r="O75" s="103">
        <f t="shared" si="43"/>
        <v>43221</v>
      </c>
      <c r="P75" s="103">
        <f t="shared" si="44"/>
        <v>43251</v>
      </c>
    </row>
    <row r="76" spans="1:16" s="5" customFormat="1" ht="17.100000000000001" customHeight="1">
      <c r="A76" s="104">
        <f t="shared" si="47"/>
        <v>11</v>
      </c>
      <c r="B76" s="567" t="str">
        <f t="shared" si="45"/>
        <v>Tháng 06/2018</v>
      </c>
      <c r="C76" s="567"/>
      <c r="D76" s="568" t="str">
        <f t="shared" si="46"/>
        <v>SX+LD cốt thép bệ móng + thân mố D &gt; 18 trên cạn</v>
      </c>
      <c r="E76" s="568"/>
      <c r="F76" s="568"/>
      <c r="G76" s="568"/>
      <c r="H76" s="569">
        <f t="shared" si="42"/>
        <v>0</v>
      </c>
      <c r="I76" s="569"/>
      <c r="J76" s="567"/>
      <c r="K76" s="570"/>
      <c r="L76">
        <v>6</v>
      </c>
      <c r="M76" s="101">
        <v>2018</v>
      </c>
      <c r="N76"/>
      <c r="O76" s="103">
        <f t="shared" si="43"/>
        <v>43252</v>
      </c>
      <c r="P76" s="103">
        <f t="shared" si="44"/>
        <v>43281</v>
      </c>
    </row>
    <row r="77" spans="1:16" s="5" customFormat="1" ht="17.100000000000001" customHeight="1">
      <c r="A77" s="104">
        <f t="shared" si="47"/>
        <v>12</v>
      </c>
      <c r="B77" s="567" t="str">
        <f t="shared" si="45"/>
        <v>Tháng 07/2018</v>
      </c>
      <c r="C77" s="567"/>
      <c r="D77" s="568" t="str">
        <f t="shared" si="46"/>
        <v>SX+LD cốt thép bệ móng + thân mố D &gt; 18 trên cạn</v>
      </c>
      <c r="E77" s="568"/>
      <c r="F77" s="568"/>
      <c r="G77" s="568"/>
      <c r="H77" s="569">
        <f t="shared" si="42"/>
        <v>24.888758599999999</v>
      </c>
      <c r="I77" s="569"/>
      <c r="J77" s="567"/>
      <c r="K77" s="570"/>
      <c r="L77">
        <v>7</v>
      </c>
      <c r="M77" s="101">
        <v>2018</v>
      </c>
      <c r="N77"/>
      <c r="O77" s="103">
        <f t="shared" si="43"/>
        <v>43282</v>
      </c>
      <c r="P77" s="103">
        <f t="shared" si="44"/>
        <v>43312</v>
      </c>
    </row>
    <row r="78" spans="1:16" s="5" customFormat="1" ht="17.100000000000001" customHeight="1">
      <c r="A78" s="104">
        <f t="shared" si="47"/>
        <v>13</v>
      </c>
      <c r="B78" s="567" t="str">
        <f t="shared" si="45"/>
        <v>Tháng 08/2018</v>
      </c>
      <c r="C78" s="567"/>
      <c r="D78" s="568" t="str">
        <f t="shared" si="46"/>
        <v>SX+LD cốt thép bệ móng + thân mố D &gt; 18 trên cạn</v>
      </c>
      <c r="E78" s="568"/>
      <c r="F78" s="568"/>
      <c r="G78" s="568"/>
      <c r="H78" s="569">
        <f t="shared" si="42"/>
        <v>19.606606189999994</v>
      </c>
      <c r="I78" s="569"/>
      <c r="J78" s="567"/>
      <c r="K78" s="570"/>
      <c r="L78">
        <v>8</v>
      </c>
      <c r="M78" s="101">
        <v>2018</v>
      </c>
      <c r="N78"/>
      <c r="O78" s="103">
        <f t="shared" si="43"/>
        <v>43313</v>
      </c>
      <c r="P78" s="103">
        <f t="shared" si="44"/>
        <v>43343</v>
      </c>
    </row>
    <row r="79" spans="1:16" s="5" customFormat="1" ht="17.100000000000001" customHeight="1">
      <c r="A79" s="104">
        <f t="shared" si="47"/>
        <v>14</v>
      </c>
      <c r="B79" s="567" t="str">
        <f t="shared" si="45"/>
        <v>Tháng 09/2018</v>
      </c>
      <c r="C79" s="567"/>
      <c r="D79" s="568" t="str">
        <f t="shared" si="46"/>
        <v>SX+LD cốt thép bệ móng + thân mố D &gt; 18 trên cạn</v>
      </c>
      <c r="E79" s="568"/>
      <c r="F79" s="568"/>
      <c r="G79" s="568"/>
      <c r="H79" s="569">
        <f t="shared" si="42"/>
        <v>18.040433150000002</v>
      </c>
      <c r="I79" s="569"/>
      <c r="J79" s="567"/>
      <c r="K79" s="570"/>
      <c r="L79">
        <v>9</v>
      </c>
      <c r="M79" s="101">
        <v>2018</v>
      </c>
      <c r="N79"/>
      <c r="O79" s="103">
        <f t="shared" si="43"/>
        <v>43344</v>
      </c>
      <c r="P79" s="103">
        <f t="shared" si="44"/>
        <v>43373</v>
      </c>
    </row>
    <row r="80" spans="1:16" s="5" customFormat="1" ht="17.100000000000001" customHeight="1">
      <c r="A80" s="104">
        <f t="shared" si="47"/>
        <v>15</v>
      </c>
      <c r="B80" s="567" t="str">
        <f t="shared" si="45"/>
        <v>Tháng 10/2018</v>
      </c>
      <c r="C80" s="567"/>
      <c r="D80" s="568" t="str">
        <f t="shared" si="46"/>
        <v>SX+LD cốt thép bệ móng + thân mố D &gt; 18 trên cạn</v>
      </c>
      <c r="E80" s="568"/>
      <c r="F80" s="568"/>
      <c r="G80" s="568"/>
      <c r="H80" s="569">
        <f t="shared" si="42"/>
        <v>0.91701378</v>
      </c>
      <c r="I80" s="569"/>
      <c r="J80" s="567"/>
      <c r="K80" s="570"/>
      <c r="L80">
        <v>10</v>
      </c>
      <c r="M80" s="101">
        <v>2018</v>
      </c>
      <c r="N80"/>
      <c r="O80" s="103">
        <f t="shared" si="43"/>
        <v>43374</v>
      </c>
      <c r="P80" s="103">
        <f t="shared" si="44"/>
        <v>43404</v>
      </c>
    </row>
    <row r="81" spans="1:16" s="5" customFormat="1" ht="17.100000000000001" customHeight="1">
      <c r="A81" s="104">
        <f t="shared" si="47"/>
        <v>16</v>
      </c>
      <c r="B81" s="567" t="str">
        <f t="shared" si="45"/>
        <v>Tháng 11/2018</v>
      </c>
      <c r="C81" s="567"/>
      <c r="D81" s="568" t="str">
        <f t="shared" si="46"/>
        <v>SX+LD cốt thép bệ móng + thân mố D &gt; 18 trên cạn</v>
      </c>
      <c r="E81" s="568"/>
      <c r="F81" s="568"/>
      <c r="G81" s="568"/>
      <c r="H81" s="569">
        <f t="shared" si="42"/>
        <v>0</v>
      </c>
      <c r="I81" s="569"/>
      <c r="J81" s="567"/>
      <c r="K81" s="570"/>
      <c r="L81">
        <v>11</v>
      </c>
      <c r="M81" s="101">
        <v>2018</v>
      </c>
      <c r="N81"/>
      <c r="O81" s="103">
        <f t="shared" si="43"/>
        <v>43405</v>
      </c>
      <c r="P81" s="103">
        <f t="shared" si="44"/>
        <v>43434</v>
      </c>
    </row>
    <row r="82" spans="1:16" s="5" customFormat="1" ht="17.100000000000001" customHeight="1">
      <c r="A82" s="104">
        <f t="shared" si="47"/>
        <v>17</v>
      </c>
      <c r="B82" s="567" t="str">
        <f t="shared" si="45"/>
        <v>Tháng 12/2018</v>
      </c>
      <c r="C82" s="567"/>
      <c r="D82" s="568" t="str">
        <f t="shared" si="46"/>
        <v>SX+LD cốt thép bệ móng + thân mố D &gt; 18 trên cạn</v>
      </c>
      <c r="E82" s="568"/>
      <c r="F82" s="568"/>
      <c r="G82" s="568"/>
      <c r="H82" s="569">
        <f t="shared" si="42"/>
        <v>0</v>
      </c>
      <c r="I82" s="569"/>
      <c r="J82" s="567"/>
      <c r="K82" s="570"/>
      <c r="L82">
        <v>12</v>
      </c>
      <c r="M82" s="101">
        <v>2018</v>
      </c>
      <c r="N82"/>
      <c r="O82" s="103">
        <f t="shared" si="43"/>
        <v>43435</v>
      </c>
      <c r="P82" s="103">
        <f t="shared" si="44"/>
        <v>43465</v>
      </c>
    </row>
    <row r="83" spans="1:16" s="5" customFormat="1" ht="17.100000000000001" customHeight="1">
      <c r="A83" s="104">
        <f t="shared" si="47"/>
        <v>18</v>
      </c>
      <c r="B83" s="567" t="str">
        <f t="shared" si="45"/>
        <v>Tháng 01/2019</v>
      </c>
      <c r="C83" s="567"/>
      <c r="D83" s="568" t="str">
        <f t="shared" si="46"/>
        <v>SX+LD cốt thép bệ móng + thân mố D &gt; 18 trên cạn</v>
      </c>
      <c r="E83" s="568"/>
      <c r="F83" s="568"/>
      <c r="G83" s="568"/>
      <c r="H83" s="569">
        <f t="shared" si="42"/>
        <v>0</v>
      </c>
      <c r="I83" s="569"/>
      <c r="J83" s="567"/>
      <c r="K83" s="570"/>
      <c r="L83">
        <v>1</v>
      </c>
      <c r="M83" s="101">
        <v>2019</v>
      </c>
      <c r="N83"/>
      <c r="O83" s="103">
        <f t="shared" si="43"/>
        <v>43466</v>
      </c>
      <c r="P83" s="103">
        <f t="shared" si="44"/>
        <v>43496</v>
      </c>
    </row>
    <row r="84" spans="1:16" s="5" customFormat="1" ht="17.100000000000001" customHeight="1">
      <c r="A84" s="104">
        <f t="shared" si="47"/>
        <v>19</v>
      </c>
      <c r="B84" s="567" t="str">
        <f t="shared" si="45"/>
        <v>Tháng 02/2019</v>
      </c>
      <c r="C84" s="567"/>
      <c r="D84" s="568" t="str">
        <f t="shared" si="46"/>
        <v>SX+LD cốt thép bệ móng + thân mố D &gt; 18 trên cạn</v>
      </c>
      <c r="E84" s="568"/>
      <c r="F84" s="568"/>
      <c r="G84" s="568"/>
      <c r="H84" s="569">
        <f t="shared" si="42"/>
        <v>0</v>
      </c>
      <c r="I84" s="569"/>
      <c r="J84" s="567"/>
      <c r="K84" s="570"/>
      <c r="L84">
        <v>2</v>
      </c>
      <c r="M84" s="101">
        <v>2019</v>
      </c>
      <c r="N84"/>
      <c r="O84" s="103">
        <f t="shared" si="43"/>
        <v>43497</v>
      </c>
      <c r="P84" s="103">
        <f t="shared" si="44"/>
        <v>43524</v>
      </c>
    </row>
    <row r="85" spans="1:16" s="5" customFormat="1" ht="17.100000000000001" customHeight="1">
      <c r="A85" s="104">
        <f t="shared" si="47"/>
        <v>20</v>
      </c>
      <c r="B85" s="567" t="str">
        <f t="shared" si="45"/>
        <v>Tháng 03/2019</v>
      </c>
      <c r="C85" s="567"/>
      <c r="D85" s="568" t="str">
        <f t="shared" si="46"/>
        <v>SX+LD cốt thép bệ móng + thân mố D &gt; 18 trên cạn</v>
      </c>
      <c r="E85" s="568"/>
      <c r="F85" s="568"/>
      <c r="G85" s="568"/>
      <c r="H85" s="569">
        <f t="shared" si="42"/>
        <v>0</v>
      </c>
      <c r="I85" s="569"/>
      <c r="J85" s="567"/>
      <c r="K85" s="570"/>
      <c r="L85">
        <v>3</v>
      </c>
      <c r="M85" s="101">
        <v>2019</v>
      </c>
      <c r="N85"/>
      <c r="O85" s="103">
        <f t="shared" si="43"/>
        <v>43525</v>
      </c>
      <c r="P85" s="103">
        <f t="shared" si="44"/>
        <v>43555</v>
      </c>
    </row>
    <row r="86" spans="1:16" s="5" customFormat="1" ht="17.100000000000001" customHeight="1">
      <c r="A86" s="104">
        <f t="shared" si="47"/>
        <v>21</v>
      </c>
      <c r="B86" s="567" t="str">
        <f t="shared" si="45"/>
        <v>Tháng 04/2019</v>
      </c>
      <c r="C86" s="567"/>
      <c r="D86" s="568" t="str">
        <f t="shared" si="46"/>
        <v>SX+LD cốt thép bệ móng + thân mố D &gt; 18 trên cạn</v>
      </c>
      <c r="E86" s="568"/>
      <c r="F86" s="568"/>
      <c r="G86" s="568"/>
      <c r="H86" s="569">
        <f t="shared" si="42"/>
        <v>0</v>
      </c>
      <c r="I86" s="569"/>
      <c r="J86" s="567"/>
      <c r="K86" s="570"/>
      <c r="L86">
        <v>4</v>
      </c>
      <c r="M86" s="101">
        <v>2019</v>
      </c>
      <c r="N86"/>
      <c r="O86" s="103">
        <f t="shared" si="43"/>
        <v>43556</v>
      </c>
      <c r="P86" s="103">
        <f t="shared" si="44"/>
        <v>43585</v>
      </c>
    </row>
    <row r="87" spans="1:16" s="5" customFormat="1" ht="17.100000000000001" customHeight="1">
      <c r="A87" s="104">
        <f t="shared" si="47"/>
        <v>22</v>
      </c>
      <c r="B87" s="567" t="str">
        <f t="shared" si="45"/>
        <v>Tháng 05/2019</v>
      </c>
      <c r="C87" s="567"/>
      <c r="D87" s="568" t="str">
        <f t="shared" si="46"/>
        <v>SX+LD cốt thép bệ móng + thân mố D &gt; 18 trên cạn</v>
      </c>
      <c r="E87" s="568"/>
      <c r="F87" s="568"/>
      <c r="G87" s="568"/>
      <c r="H87" s="569">
        <f t="shared" si="42"/>
        <v>0</v>
      </c>
      <c r="I87" s="569"/>
      <c r="J87" s="567"/>
      <c r="K87" s="570"/>
      <c r="L87">
        <v>5</v>
      </c>
      <c r="M87" s="101">
        <v>2019</v>
      </c>
      <c r="N87"/>
      <c r="O87" s="103">
        <f t="shared" si="43"/>
        <v>43586</v>
      </c>
      <c r="P87" s="103">
        <f t="shared" si="44"/>
        <v>43616</v>
      </c>
    </row>
    <row r="88" spans="1:16" s="5" customFormat="1" ht="17.100000000000001" customHeight="1">
      <c r="A88" s="104">
        <f t="shared" si="47"/>
        <v>23</v>
      </c>
      <c r="B88" s="567" t="str">
        <f t="shared" si="45"/>
        <v>Tháng 06/2019</v>
      </c>
      <c r="C88" s="567"/>
      <c r="D88" s="568" t="str">
        <f t="shared" si="46"/>
        <v>SX+LD cốt thép bệ móng + thân mố D &gt; 18 trên cạn</v>
      </c>
      <c r="E88" s="568"/>
      <c r="F88" s="568"/>
      <c r="G88" s="568"/>
      <c r="H88" s="569">
        <f t="shared" si="42"/>
        <v>0</v>
      </c>
      <c r="I88" s="569"/>
      <c r="J88" s="567"/>
      <c r="K88" s="570"/>
      <c r="L88">
        <v>6</v>
      </c>
      <c r="M88" s="101">
        <v>2019</v>
      </c>
      <c r="N88"/>
      <c r="O88" s="103">
        <f t="shared" si="43"/>
        <v>43617</v>
      </c>
      <c r="P88" s="103">
        <f t="shared" si="44"/>
        <v>43646</v>
      </c>
    </row>
    <row r="89" spans="1:16" s="5" customFormat="1" ht="17.100000000000001" customHeight="1">
      <c r="A89" s="104">
        <f t="shared" si="47"/>
        <v>24</v>
      </c>
      <c r="B89" s="567" t="str">
        <f t="shared" si="45"/>
        <v>Tháng 07/2019</v>
      </c>
      <c r="C89" s="567"/>
      <c r="D89" s="568" t="str">
        <f t="shared" si="46"/>
        <v>SX+LD cốt thép bệ móng + thân mố D &gt; 18 trên cạn</v>
      </c>
      <c r="E89" s="568"/>
      <c r="F89" s="568"/>
      <c r="G89" s="568"/>
      <c r="H89" s="569">
        <f t="shared" si="42"/>
        <v>0</v>
      </c>
      <c r="I89" s="569"/>
      <c r="J89" s="567"/>
      <c r="K89" s="570"/>
      <c r="L89">
        <v>7</v>
      </c>
      <c r="M89" s="101">
        <v>2019</v>
      </c>
      <c r="N89"/>
      <c r="O89" s="103">
        <f t="shared" si="43"/>
        <v>43647</v>
      </c>
      <c r="P89" s="103">
        <f t="shared" si="44"/>
        <v>43677</v>
      </c>
    </row>
    <row r="90" spans="1:16" s="5" customFormat="1" ht="17.100000000000001" customHeight="1">
      <c r="A90" s="104">
        <f t="shared" si="47"/>
        <v>25</v>
      </c>
      <c r="B90" s="567" t="str">
        <f t="shared" si="45"/>
        <v>Tháng 08/2019</v>
      </c>
      <c r="C90" s="567"/>
      <c r="D90" s="568" t="str">
        <f t="shared" si="46"/>
        <v>SX+LD cốt thép bệ móng + thân mố D &gt; 18 trên cạn</v>
      </c>
      <c r="E90" s="568"/>
      <c r="F90" s="568"/>
      <c r="G90" s="568"/>
      <c r="H90" s="569">
        <f>+SUMIFS($I$12:$I$57,$B$12:$B$57,"&gt;="&amp;$O90,$B$12:$B$57,"&lt;="&amp;$P90)</f>
        <v>0</v>
      </c>
      <c r="I90" s="569"/>
      <c r="J90" s="567"/>
      <c r="K90" s="570"/>
      <c r="L90">
        <v>8</v>
      </c>
      <c r="M90" s="101">
        <v>2019</v>
      </c>
      <c r="N90"/>
      <c r="O90" s="103">
        <f t="shared" si="43"/>
        <v>43678</v>
      </c>
      <c r="P90" s="103">
        <f t="shared" si="44"/>
        <v>43708</v>
      </c>
    </row>
    <row r="91" spans="1:16" s="5" customFormat="1" ht="17.100000000000001" customHeight="1">
      <c r="A91" s="104">
        <f t="shared" si="47"/>
        <v>26</v>
      </c>
      <c r="B91" s="616" t="str">
        <f t="shared" si="45"/>
        <v>Tháng 09/2019</v>
      </c>
      <c r="C91" s="616"/>
      <c r="D91" s="652" t="str">
        <f>D89</f>
        <v>SX+LD cốt thép bệ móng + thân mố D &gt; 18 trên cạn</v>
      </c>
      <c r="E91" s="652"/>
      <c r="F91" s="652"/>
      <c r="G91" s="652"/>
      <c r="H91" s="615">
        <f>+SUMIFS($I$12:$I$57,$B$12:$B$57,"&gt;="&amp;$O91,$B$12:$B$57,"&lt;="&amp;$P91)</f>
        <v>0</v>
      </c>
      <c r="I91" s="615"/>
      <c r="J91" s="616"/>
      <c r="K91" s="617"/>
      <c r="L91">
        <v>9</v>
      </c>
      <c r="M91" s="101">
        <v>2019</v>
      </c>
      <c r="N91"/>
      <c r="O91" s="103">
        <f>DATE(M91,L91,1)</f>
        <v>43709</v>
      </c>
      <c r="P91" s="103">
        <f>DATE(M91,L91+1,0)</f>
        <v>43738</v>
      </c>
    </row>
    <row r="92" spans="1:16" s="5" customFormat="1" ht="21.6" customHeight="1" thickBot="1">
      <c r="A92" s="618" t="s">
        <v>86</v>
      </c>
      <c r="B92" s="619"/>
      <c r="C92" s="619"/>
      <c r="D92" s="619"/>
      <c r="E92" s="619"/>
      <c r="F92" s="619"/>
      <c r="G92" s="620"/>
      <c r="H92" s="621">
        <f t="shared" ref="H92" si="48">SUM(H66:I91)</f>
        <v>63.452811719999993</v>
      </c>
      <c r="I92" s="622"/>
      <c r="J92" s="621"/>
      <c r="K92" s="622"/>
      <c r="L92"/>
      <c r="M92"/>
      <c r="N92"/>
      <c r="O92"/>
      <c r="P92"/>
    </row>
    <row r="93" spans="1:16" s="5" customFormat="1" ht="18" customHeight="1" thickTop="1" thickBot="1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K93" s="105"/>
      <c r="L93" s="4"/>
      <c r="M93" s="4"/>
      <c r="N93" s="4"/>
      <c r="O93" s="4"/>
      <c r="P93" s="20"/>
    </row>
    <row r="94" spans="1:16" s="5" customFormat="1" ht="13.9" customHeight="1" thickTop="1">
      <c r="A94" s="647" t="s">
        <v>68</v>
      </c>
      <c r="B94" s="648"/>
      <c r="C94" s="648"/>
      <c r="D94" s="648"/>
      <c r="E94" s="648"/>
      <c r="F94" s="649" t="s">
        <v>69</v>
      </c>
      <c r="G94" s="649"/>
      <c r="H94" s="649"/>
      <c r="I94" s="650"/>
      <c r="J94" s="650"/>
      <c r="K94" s="651"/>
      <c r="L94" s="4"/>
      <c r="M94" s="4"/>
      <c r="N94" s="4"/>
      <c r="O94" s="4"/>
      <c r="P94" s="4"/>
    </row>
    <row r="95" spans="1:16" s="5" customFormat="1" ht="13.9" customHeight="1">
      <c r="A95" s="583" t="s">
        <v>5</v>
      </c>
      <c r="B95" s="584"/>
      <c r="C95" s="584"/>
      <c r="D95" s="584"/>
      <c r="E95" s="584"/>
      <c r="F95" s="585" t="s">
        <v>6</v>
      </c>
      <c r="G95" s="585"/>
      <c r="H95" s="585"/>
      <c r="I95" s="586"/>
      <c r="J95" s="586"/>
      <c r="K95" s="587"/>
      <c r="L95" s="4"/>
      <c r="M95" s="4"/>
      <c r="N95" s="4"/>
      <c r="O95" s="4"/>
      <c r="P95" s="4"/>
    </row>
    <row r="96" spans="1:16" s="5" customFormat="1" ht="13.9" customHeight="1">
      <c r="A96" s="583" t="s">
        <v>836</v>
      </c>
      <c r="B96" s="584"/>
      <c r="C96" s="584"/>
      <c r="D96" s="584"/>
      <c r="E96" s="584"/>
      <c r="F96" s="590" t="s">
        <v>837</v>
      </c>
      <c r="G96" s="590"/>
      <c r="H96" s="590"/>
      <c r="I96" s="591"/>
      <c r="J96" s="591"/>
      <c r="K96" s="592"/>
      <c r="L96" s="4"/>
      <c r="M96" s="4"/>
      <c r="N96" s="4"/>
      <c r="O96" s="4"/>
      <c r="P96" s="4"/>
    </row>
    <row r="97" spans="1:20" s="5" customFormat="1" ht="13.9" customHeight="1">
      <c r="A97" s="583"/>
      <c r="B97" s="584"/>
      <c r="C97" s="584"/>
      <c r="D97" s="584"/>
      <c r="E97" s="584"/>
      <c r="F97" s="590"/>
      <c r="G97" s="590"/>
      <c r="H97" s="590"/>
      <c r="I97" s="591"/>
      <c r="J97" s="591"/>
      <c r="K97" s="592"/>
      <c r="L97" s="4"/>
      <c r="M97" s="4"/>
      <c r="N97" s="4"/>
      <c r="O97" s="4"/>
      <c r="P97" s="4"/>
    </row>
    <row r="98" spans="1:20" s="5" customFormat="1" ht="13.9" customHeight="1">
      <c r="A98" s="583"/>
      <c r="B98" s="584"/>
      <c r="C98" s="584"/>
      <c r="D98" s="584"/>
      <c r="E98" s="584"/>
      <c r="F98" s="590"/>
      <c r="G98" s="590"/>
      <c r="H98" s="590"/>
      <c r="I98" s="591"/>
      <c r="J98" s="591"/>
      <c r="K98" s="592"/>
      <c r="L98" s="4"/>
      <c r="M98" s="4"/>
      <c r="N98" s="4"/>
      <c r="O98" s="4"/>
      <c r="P98" s="4"/>
    </row>
    <row r="99" spans="1:20" s="5" customFormat="1" ht="13.9" customHeight="1">
      <c r="A99" s="583"/>
      <c r="B99" s="584"/>
      <c r="C99" s="584"/>
      <c r="D99" s="584"/>
      <c r="E99" s="584"/>
      <c r="F99" s="590"/>
      <c r="G99" s="590"/>
      <c r="H99" s="590"/>
      <c r="I99" s="591"/>
      <c r="J99" s="591"/>
      <c r="K99" s="592"/>
      <c r="L99" s="4"/>
      <c r="M99" s="4"/>
      <c r="N99" s="4"/>
      <c r="O99" s="4"/>
      <c r="P99" s="4"/>
    </row>
    <row r="100" spans="1:20" s="5" customFormat="1" ht="13.9" customHeight="1">
      <c r="A100" s="583"/>
      <c r="B100" s="584"/>
      <c r="C100" s="584"/>
      <c r="D100" s="584"/>
      <c r="E100" s="584"/>
      <c r="F100" s="590"/>
      <c r="G100" s="590"/>
      <c r="H100" s="590"/>
      <c r="I100" s="591"/>
      <c r="J100" s="591"/>
      <c r="K100" s="592"/>
      <c r="L100" s="4"/>
      <c r="M100" s="4"/>
      <c r="N100" s="4"/>
      <c r="O100" s="4"/>
      <c r="P100" s="4"/>
    </row>
    <row r="101" spans="1:20" s="5" customFormat="1" ht="13.9" customHeight="1">
      <c r="A101" s="583"/>
      <c r="B101" s="584"/>
      <c r="C101" s="584"/>
      <c r="D101" s="584"/>
      <c r="E101" s="584"/>
      <c r="F101" s="590"/>
      <c r="G101" s="590"/>
      <c r="H101" s="590"/>
      <c r="I101" s="591"/>
      <c r="J101" s="591"/>
      <c r="K101" s="592"/>
      <c r="L101" s="4"/>
      <c r="M101" s="4"/>
      <c r="N101" s="4"/>
      <c r="O101" s="4"/>
      <c r="P101" s="4"/>
    </row>
    <row r="102" spans="1:20" s="5" customFormat="1" ht="13.9" customHeight="1" thickBot="1">
      <c r="A102" s="588"/>
      <c r="B102" s="589"/>
      <c r="C102" s="589"/>
      <c r="D102" s="589"/>
      <c r="E102" s="589"/>
      <c r="F102" s="593"/>
      <c r="G102" s="593"/>
      <c r="H102" s="593"/>
      <c r="I102" s="594"/>
      <c r="J102" s="594"/>
      <c r="K102" s="595"/>
      <c r="L102" s="4"/>
      <c r="M102" s="4"/>
      <c r="N102" s="4"/>
      <c r="O102" s="4"/>
      <c r="P102" s="4"/>
    </row>
    <row r="103" spans="1:20" s="5" customFormat="1" ht="15.75" thickTop="1">
      <c r="A103" s="4"/>
      <c r="B103" s="12"/>
      <c r="C103" s="10"/>
      <c r="D103" s="10"/>
      <c r="E103" s="10"/>
      <c r="F103" s="13"/>
      <c r="G103" s="13"/>
      <c r="H103" s="13"/>
      <c r="I103" s="13"/>
      <c r="J103" s="13"/>
      <c r="K103" s="4"/>
      <c r="L103" s="4"/>
      <c r="M103" s="4"/>
      <c r="N103" s="4"/>
      <c r="O103" s="4"/>
      <c r="P103" s="4"/>
      <c r="R103" s="4"/>
      <c r="S103" s="4"/>
      <c r="T103" s="4"/>
    </row>
  </sheetData>
  <mergeCells count="176">
    <mergeCell ref="C35:E35"/>
    <mergeCell ref="C36:E36"/>
    <mergeCell ref="C37:E37"/>
    <mergeCell ref="C38:E38"/>
    <mergeCell ref="C39:E39"/>
    <mergeCell ref="C40:E40"/>
    <mergeCell ref="A94:E94"/>
    <mergeCell ref="F94:K94"/>
    <mergeCell ref="A95:E95"/>
    <mergeCell ref="F95:K95"/>
    <mergeCell ref="B88:C88"/>
    <mergeCell ref="D88:G88"/>
    <mergeCell ref="H88:I88"/>
    <mergeCell ref="J88:K88"/>
    <mergeCell ref="B89:C89"/>
    <mergeCell ref="D89:G89"/>
    <mergeCell ref="H89:I89"/>
    <mergeCell ref="J89:K89"/>
    <mergeCell ref="B86:C86"/>
    <mergeCell ref="D86:G86"/>
    <mergeCell ref="H86:I86"/>
    <mergeCell ref="J86:K86"/>
    <mergeCell ref="B87:C87"/>
    <mergeCell ref="D87:G87"/>
    <mergeCell ref="A96:E102"/>
    <mergeCell ref="F96:K102"/>
    <mergeCell ref="B90:C90"/>
    <mergeCell ref="D90:G90"/>
    <mergeCell ref="H90:I90"/>
    <mergeCell ref="J90:K90"/>
    <mergeCell ref="A92:G92"/>
    <mergeCell ref="H92:I92"/>
    <mergeCell ref="J92:K92"/>
    <mergeCell ref="B91:C91"/>
    <mergeCell ref="D91:G91"/>
    <mergeCell ref="H91:I91"/>
    <mergeCell ref="J91:K91"/>
    <mergeCell ref="H87:I87"/>
    <mergeCell ref="J87:K87"/>
    <mergeCell ref="B84:C84"/>
    <mergeCell ref="D84:G84"/>
    <mergeCell ref="H84:I84"/>
    <mergeCell ref="J84:K84"/>
    <mergeCell ref="B85:C85"/>
    <mergeCell ref="D85:G85"/>
    <mergeCell ref="H85:I85"/>
    <mergeCell ref="J85:K85"/>
    <mergeCell ref="B82:C82"/>
    <mergeCell ref="D82:G82"/>
    <mergeCell ref="H82:I82"/>
    <mergeCell ref="J82:K82"/>
    <mergeCell ref="B83:C83"/>
    <mergeCell ref="D83:G83"/>
    <mergeCell ref="H83:I83"/>
    <mergeCell ref="J83:K83"/>
    <mergeCell ref="B80:C80"/>
    <mergeCell ref="D80:G80"/>
    <mergeCell ref="H80:I80"/>
    <mergeCell ref="J80:K80"/>
    <mergeCell ref="B81:C81"/>
    <mergeCell ref="D81:G81"/>
    <mergeCell ref="H81:I81"/>
    <mergeCell ref="J81:K81"/>
    <mergeCell ref="B78:C78"/>
    <mergeCell ref="D78:G78"/>
    <mergeCell ref="H78:I78"/>
    <mergeCell ref="J78:K78"/>
    <mergeCell ref="B79:C79"/>
    <mergeCell ref="D79:G79"/>
    <mergeCell ref="H79:I79"/>
    <mergeCell ref="J79:K79"/>
    <mergeCell ref="B76:C76"/>
    <mergeCell ref="D76:G76"/>
    <mergeCell ref="H76:I76"/>
    <mergeCell ref="J76:K76"/>
    <mergeCell ref="B77:C77"/>
    <mergeCell ref="D77:G77"/>
    <mergeCell ref="H77:I77"/>
    <mergeCell ref="J77:K77"/>
    <mergeCell ref="B74:C74"/>
    <mergeCell ref="D74:G74"/>
    <mergeCell ref="H74:I74"/>
    <mergeCell ref="J74:K74"/>
    <mergeCell ref="B75:C75"/>
    <mergeCell ref="D75:G75"/>
    <mergeCell ref="H75:I75"/>
    <mergeCell ref="J75:K75"/>
    <mergeCell ref="B72:C72"/>
    <mergeCell ref="D72:G72"/>
    <mergeCell ref="H72:I72"/>
    <mergeCell ref="J72:K72"/>
    <mergeCell ref="B73:C73"/>
    <mergeCell ref="D73:G73"/>
    <mergeCell ref="H73:I73"/>
    <mergeCell ref="J73:K73"/>
    <mergeCell ref="B70:C70"/>
    <mergeCell ref="D70:G70"/>
    <mergeCell ref="H70:I70"/>
    <mergeCell ref="J70:K70"/>
    <mergeCell ref="B71:C71"/>
    <mergeCell ref="D71:G71"/>
    <mergeCell ref="H71:I71"/>
    <mergeCell ref="J71:K71"/>
    <mergeCell ref="B68:C68"/>
    <mergeCell ref="D68:G68"/>
    <mergeCell ref="H68:I68"/>
    <mergeCell ref="J68:K68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A59:K59"/>
    <mergeCell ref="A62:D62"/>
    <mergeCell ref="A64:A65"/>
    <mergeCell ref="B64:C65"/>
    <mergeCell ref="D64:G65"/>
    <mergeCell ref="H64:I65"/>
    <mergeCell ref="J64:K65"/>
    <mergeCell ref="A47:E53"/>
    <mergeCell ref="F47:K53"/>
    <mergeCell ref="A55:K55"/>
    <mergeCell ref="A56:K56"/>
    <mergeCell ref="A57:K57"/>
    <mergeCell ref="A58:K58"/>
    <mergeCell ref="C42:E42"/>
    <mergeCell ref="A43:E43"/>
    <mergeCell ref="A45:E45"/>
    <mergeCell ref="F45:K45"/>
    <mergeCell ref="A46:E46"/>
    <mergeCell ref="F46:K46"/>
    <mergeCell ref="C21:E21"/>
    <mergeCell ref="C17:E17"/>
    <mergeCell ref="C22:E22"/>
    <mergeCell ref="C32:E32"/>
    <mergeCell ref="C33:E33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41:E41"/>
    <mergeCell ref="C34:E3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I9:I11"/>
    <mergeCell ref="J9:J11"/>
    <mergeCell ref="K9:K11"/>
    <mergeCell ref="C12:E12"/>
    <mergeCell ref="C13:E13"/>
    <mergeCell ref="C14:E14"/>
    <mergeCell ref="C15:E15"/>
    <mergeCell ref="C16:E16"/>
    <mergeCell ref="K12:K40"/>
    <mergeCell ref="C18:E18"/>
    <mergeCell ref="C19:E19"/>
    <mergeCell ref="C20:E20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54" max="10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>
    <tabColor rgb="FFFFC000"/>
  </sheetPr>
  <dimension ref="A1:T77"/>
  <sheetViews>
    <sheetView view="pageBreakPreview" zoomScaleSheetLayoutView="100" workbookViewId="0">
      <selection activeCell="A70" sqref="A70:K76"/>
    </sheetView>
  </sheetViews>
  <sheetFormatPr defaultRowHeight="15" outlineLevelRow="2"/>
  <cols>
    <col min="1" max="1" width="4.7109375" style="325" customWidth="1"/>
    <col min="2" max="2" width="10.7109375" style="372" customWidth="1"/>
    <col min="3" max="3" width="11.85546875" style="373" customWidth="1"/>
    <col min="4" max="4" width="8.7109375" style="373" customWidth="1"/>
    <col min="5" max="5" width="19.5703125" style="373" customWidth="1"/>
    <col min="6" max="9" width="9.7109375" style="374" customWidth="1"/>
    <col min="10" max="10" width="9.7109375" style="374" hidden="1" customWidth="1"/>
    <col min="11" max="11" width="14.7109375" style="325" customWidth="1"/>
    <col min="12" max="12" width="9.7109375" style="325" customWidth="1"/>
    <col min="13" max="13" width="12.85546875" style="325" customWidth="1"/>
    <col min="14" max="14" width="11.7109375" style="325" customWidth="1"/>
    <col min="15" max="15" width="10.5703125" style="325" bestFit="1" customWidth="1"/>
    <col min="16" max="16" width="10.28515625" style="325" customWidth="1"/>
    <col min="17" max="17" width="10.140625" style="326" customWidth="1"/>
    <col min="18" max="19" width="9.140625" style="325"/>
    <col min="20" max="20" width="18.42578125" style="325" customWidth="1"/>
    <col min="21" max="246" width="9.140625" style="325"/>
    <col min="247" max="247" width="6.7109375" style="325" customWidth="1"/>
    <col min="248" max="248" width="7.85546875" style="325" customWidth="1"/>
    <col min="249" max="249" width="12.140625" style="325" customWidth="1"/>
    <col min="250" max="250" width="10.28515625" style="325" customWidth="1"/>
    <col min="251" max="251" width="8.28515625" style="325" customWidth="1"/>
    <col min="252" max="252" width="8.7109375" style="325" customWidth="1"/>
    <col min="253" max="253" width="9.85546875" style="325" customWidth="1"/>
    <col min="254" max="254" width="8.85546875" style="325" customWidth="1"/>
    <col min="255" max="255" width="8.7109375" style="325" customWidth="1"/>
    <col min="256" max="256" width="9.28515625" style="325" customWidth="1"/>
    <col min="257" max="257" width="8.85546875" style="325" customWidth="1"/>
    <col min="258" max="258" width="8.7109375" style="325" customWidth="1"/>
    <col min="259" max="259" width="9.5703125" style="325" customWidth="1"/>
    <col min="260" max="260" width="8.85546875" style="325" customWidth="1"/>
    <col min="261" max="261" width="11.140625" style="325" customWidth="1"/>
    <col min="262" max="262" width="10.140625" style="325" customWidth="1"/>
    <col min="263" max="263" width="13.7109375" style="325" customWidth="1"/>
    <col min="264" max="264" width="10.140625" style="325" customWidth="1"/>
    <col min="265" max="265" width="11" style="325" customWidth="1"/>
    <col min="266" max="266" width="11.7109375" style="325" customWidth="1"/>
    <col min="267" max="267" width="12.28515625" style="325" customWidth="1"/>
    <col min="268" max="268" width="9.7109375" style="325" customWidth="1"/>
    <col min="269" max="269" width="12.85546875" style="325" customWidth="1"/>
    <col min="270" max="270" width="9.28515625" style="325" customWidth="1"/>
    <col min="271" max="502" width="9.140625" style="325"/>
    <col min="503" max="503" width="6.7109375" style="325" customWidth="1"/>
    <col min="504" max="504" width="7.85546875" style="325" customWidth="1"/>
    <col min="505" max="505" width="12.140625" style="325" customWidth="1"/>
    <col min="506" max="506" width="10.28515625" style="325" customWidth="1"/>
    <col min="507" max="507" width="8.28515625" style="325" customWidth="1"/>
    <col min="508" max="508" width="8.7109375" style="325" customWidth="1"/>
    <col min="509" max="509" width="9.85546875" style="325" customWidth="1"/>
    <col min="510" max="510" width="8.85546875" style="325" customWidth="1"/>
    <col min="511" max="511" width="8.7109375" style="325" customWidth="1"/>
    <col min="512" max="512" width="9.28515625" style="325" customWidth="1"/>
    <col min="513" max="513" width="8.85546875" style="325" customWidth="1"/>
    <col min="514" max="514" width="8.7109375" style="325" customWidth="1"/>
    <col min="515" max="515" width="9.5703125" style="325" customWidth="1"/>
    <col min="516" max="516" width="8.85546875" style="325" customWidth="1"/>
    <col min="517" max="517" width="11.140625" style="325" customWidth="1"/>
    <col min="518" max="518" width="10.140625" style="325" customWidth="1"/>
    <col min="519" max="519" width="13.7109375" style="325" customWidth="1"/>
    <col min="520" max="520" width="10.140625" style="325" customWidth="1"/>
    <col min="521" max="521" width="11" style="325" customWidth="1"/>
    <col min="522" max="522" width="11.7109375" style="325" customWidth="1"/>
    <col min="523" max="523" width="12.28515625" style="325" customWidth="1"/>
    <col min="524" max="524" width="9.7109375" style="325" customWidth="1"/>
    <col min="525" max="525" width="12.85546875" style="325" customWidth="1"/>
    <col min="526" max="526" width="9.28515625" style="325" customWidth="1"/>
    <col min="527" max="758" width="9.140625" style="325"/>
    <col min="759" max="759" width="6.7109375" style="325" customWidth="1"/>
    <col min="760" max="760" width="7.85546875" style="325" customWidth="1"/>
    <col min="761" max="761" width="12.140625" style="325" customWidth="1"/>
    <col min="762" max="762" width="10.28515625" style="325" customWidth="1"/>
    <col min="763" max="763" width="8.28515625" style="325" customWidth="1"/>
    <col min="764" max="764" width="8.7109375" style="325" customWidth="1"/>
    <col min="765" max="765" width="9.85546875" style="325" customWidth="1"/>
    <col min="766" max="766" width="8.85546875" style="325" customWidth="1"/>
    <col min="767" max="767" width="8.7109375" style="325" customWidth="1"/>
    <col min="768" max="768" width="9.28515625" style="325" customWidth="1"/>
    <col min="769" max="769" width="8.85546875" style="325" customWidth="1"/>
    <col min="770" max="770" width="8.7109375" style="325" customWidth="1"/>
    <col min="771" max="771" width="9.5703125" style="325" customWidth="1"/>
    <col min="772" max="772" width="8.85546875" style="325" customWidth="1"/>
    <col min="773" max="773" width="11.140625" style="325" customWidth="1"/>
    <col min="774" max="774" width="10.140625" style="325" customWidth="1"/>
    <col min="775" max="775" width="13.7109375" style="325" customWidth="1"/>
    <col min="776" max="776" width="10.140625" style="325" customWidth="1"/>
    <col min="777" max="777" width="11" style="325" customWidth="1"/>
    <col min="778" max="778" width="11.7109375" style="325" customWidth="1"/>
    <col min="779" max="779" width="12.28515625" style="325" customWidth="1"/>
    <col min="780" max="780" width="9.7109375" style="325" customWidth="1"/>
    <col min="781" max="781" width="12.85546875" style="325" customWidth="1"/>
    <col min="782" max="782" width="9.28515625" style="325" customWidth="1"/>
    <col min="783" max="1014" width="9.140625" style="325"/>
    <col min="1015" max="1015" width="6.7109375" style="325" customWidth="1"/>
    <col min="1016" max="1016" width="7.85546875" style="325" customWidth="1"/>
    <col min="1017" max="1017" width="12.140625" style="325" customWidth="1"/>
    <col min="1018" max="1018" width="10.28515625" style="325" customWidth="1"/>
    <col min="1019" max="1019" width="8.28515625" style="325" customWidth="1"/>
    <col min="1020" max="1020" width="8.7109375" style="325" customWidth="1"/>
    <col min="1021" max="1021" width="9.85546875" style="325" customWidth="1"/>
    <col min="1022" max="1022" width="8.85546875" style="325" customWidth="1"/>
    <col min="1023" max="1023" width="8.7109375" style="325" customWidth="1"/>
    <col min="1024" max="1024" width="9.28515625" style="325" customWidth="1"/>
    <col min="1025" max="1025" width="8.85546875" style="325" customWidth="1"/>
    <col min="1026" max="1026" width="8.7109375" style="325" customWidth="1"/>
    <col min="1027" max="1027" width="9.5703125" style="325" customWidth="1"/>
    <col min="1028" max="1028" width="8.85546875" style="325" customWidth="1"/>
    <col min="1029" max="1029" width="11.140625" style="325" customWidth="1"/>
    <col min="1030" max="1030" width="10.140625" style="325" customWidth="1"/>
    <col min="1031" max="1031" width="13.7109375" style="325" customWidth="1"/>
    <col min="1032" max="1032" width="10.140625" style="325" customWidth="1"/>
    <col min="1033" max="1033" width="11" style="325" customWidth="1"/>
    <col min="1034" max="1034" width="11.7109375" style="325" customWidth="1"/>
    <col min="1035" max="1035" width="12.28515625" style="325" customWidth="1"/>
    <col min="1036" max="1036" width="9.7109375" style="325" customWidth="1"/>
    <col min="1037" max="1037" width="12.85546875" style="325" customWidth="1"/>
    <col min="1038" max="1038" width="9.28515625" style="325" customWidth="1"/>
    <col min="1039" max="1270" width="9.140625" style="325"/>
    <col min="1271" max="1271" width="6.7109375" style="325" customWidth="1"/>
    <col min="1272" max="1272" width="7.85546875" style="325" customWidth="1"/>
    <col min="1273" max="1273" width="12.140625" style="325" customWidth="1"/>
    <col min="1274" max="1274" width="10.28515625" style="325" customWidth="1"/>
    <col min="1275" max="1275" width="8.28515625" style="325" customWidth="1"/>
    <col min="1276" max="1276" width="8.7109375" style="325" customWidth="1"/>
    <col min="1277" max="1277" width="9.85546875" style="325" customWidth="1"/>
    <col min="1278" max="1278" width="8.85546875" style="325" customWidth="1"/>
    <col min="1279" max="1279" width="8.7109375" style="325" customWidth="1"/>
    <col min="1280" max="1280" width="9.28515625" style="325" customWidth="1"/>
    <col min="1281" max="1281" width="8.85546875" style="325" customWidth="1"/>
    <col min="1282" max="1282" width="8.7109375" style="325" customWidth="1"/>
    <col min="1283" max="1283" width="9.5703125" style="325" customWidth="1"/>
    <col min="1284" max="1284" width="8.85546875" style="325" customWidth="1"/>
    <col min="1285" max="1285" width="11.140625" style="325" customWidth="1"/>
    <col min="1286" max="1286" width="10.140625" style="325" customWidth="1"/>
    <col min="1287" max="1287" width="13.7109375" style="325" customWidth="1"/>
    <col min="1288" max="1288" width="10.140625" style="325" customWidth="1"/>
    <col min="1289" max="1289" width="11" style="325" customWidth="1"/>
    <col min="1290" max="1290" width="11.7109375" style="325" customWidth="1"/>
    <col min="1291" max="1291" width="12.28515625" style="325" customWidth="1"/>
    <col min="1292" max="1292" width="9.7109375" style="325" customWidth="1"/>
    <col min="1293" max="1293" width="12.85546875" style="325" customWidth="1"/>
    <col min="1294" max="1294" width="9.28515625" style="325" customWidth="1"/>
    <col min="1295" max="1526" width="9.140625" style="325"/>
    <col min="1527" max="1527" width="6.7109375" style="325" customWidth="1"/>
    <col min="1528" max="1528" width="7.85546875" style="325" customWidth="1"/>
    <col min="1529" max="1529" width="12.140625" style="325" customWidth="1"/>
    <col min="1530" max="1530" width="10.28515625" style="325" customWidth="1"/>
    <col min="1531" max="1531" width="8.28515625" style="325" customWidth="1"/>
    <col min="1532" max="1532" width="8.7109375" style="325" customWidth="1"/>
    <col min="1533" max="1533" width="9.85546875" style="325" customWidth="1"/>
    <col min="1534" max="1534" width="8.85546875" style="325" customWidth="1"/>
    <col min="1535" max="1535" width="8.7109375" style="325" customWidth="1"/>
    <col min="1536" max="1536" width="9.28515625" style="325" customWidth="1"/>
    <col min="1537" max="1537" width="8.85546875" style="325" customWidth="1"/>
    <col min="1538" max="1538" width="8.7109375" style="325" customWidth="1"/>
    <col min="1539" max="1539" width="9.5703125" style="325" customWidth="1"/>
    <col min="1540" max="1540" width="8.85546875" style="325" customWidth="1"/>
    <col min="1541" max="1541" width="11.140625" style="325" customWidth="1"/>
    <col min="1542" max="1542" width="10.140625" style="325" customWidth="1"/>
    <col min="1543" max="1543" width="13.7109375" style="325" customWidth="1"/>
    <col min="1544" max="1544" width="10.140625" style="325" customWidth="1"/>
    <col min="1545" max="1545" width="11" style="325" customWidth="1"/>
    <col min="1546" max="1546" width="11.7109375" style="325" customWidth="1"/>
    <col min="1547" max="1547" width="12.28515625" style="325" customWidth="1"/>
    <col min="1548" max="1548" width="9.7109375" style="325" customWidth="1"/>
    <col min="1549" max="1549" width="12.85546875" style="325" customWidth="1"/>
    <col min="1550" max="1550" width="9.28515625" style="325" customWidth="1"/>
    <col min="1551" max="1782" width="9.140625" style="325"/>
    <col min="1783" max="1783" width="6.7109375" style="325" customWidth="1"/>
    <col min="1784" max="1784" width="7.85546875" style="325" customWidth="1"/>
    <col min="1785" max="1785" width="12.140625" style="325" customWidth="1"/>
    <col min="1786" max="1786" width="10.28515625" style="325" customWidth="1"/>
    <col min="1787" max="1787" width="8.28515625" style="325" customWidth="1"/>
    <col min="1788" max="1788" width="8.7109375" style="325" customWidth="1"/>
    <col min="1789" max="1789" width="9.85546875" style="325" customWidth="1"/>
    <col min="1790" max="1790" width="8.85546875" style="325" customWidth="1"/>
    <col min="1791" max="1791" width="8.7109375" style="325" customWidth="1"/>
    <col min="1792" max="1792" width="9.28515625" style="325" customWidth="1"/>
    <col min="1793" max="1793" width="8.85546875" style="325" customWidth="1"/>
    <col min="1794" max="1794" width="8.7109375" style="325" customWidth="1"/>
    <col min="1795" max="1795" width="9.5703125" style="325" customWidth="1"/>
    <col min="1796" max="1796" width="8.85546875" style="325" customWidth="1"/>
    <col min="1797" max="1797" width="11.140625" style="325" customWidth="1"/>
    <col min="1798" max="1798" width="10.140625" style="325" customWidth="1"/>
    <col min="1799" max="1799" width="13.7109375" style="325" customWidth="1"/>
    <col min="1800" max="1800" width="10.140625" style="325" customWidth="1"/>
    <col min="1801" max="1801" width="11" style="325" customWidth="1"/>
    <col min="1802" max="1802" width="11.7109375" style="325" customWidth="1"/>
    <col min="1803" max="1803" width="12.28515625" style="325" customWidth="1"/>
    <col min="1804" max="1804" width="9.7109375" style="325" customWidth="1"/>
    <col min="1805" max="1805" width="12.85546875" style="325" customWidth="1"/>
    <col min="1806" max="1806" width="9.28515625" style="325" customWidth="1"/>
    <col min="1807" max="2038" width="9.140625" style="325"/>
    <col min="2039" max="2039" width="6.7109375" style="325" customWidth="1"/>
    <col min="2040" max="2040" width="7.85546875" style="325" customWidth="1"/>
    <col min="2041" max="2041" width="12.140625" style="325" customWidth="1"/>
    <col min="2042" max="2042" width="10.28515625" style="325" customWidth="1"/>
    <col min="2043" max="2043" width="8.28515625" style="325" customWidth="1"/>
    <col min="2044" max="2044" width="8.7109375" style="325" customWidth="1"/>
    <col min="2045" max="2045" width="9.85546875" style="325" customWidth="1"/>
    <col min="2046" max="2046" width="8.85546875" style="325" customWidth="1"/>
    <col min="2047" max="2047" width="8.7109375" style="325" customWidth="1"/>
    <col min="2048" max="2048" width="9.28515625" style="325" customWidth="1"/>
    <col min="2049" max="2049" width="8.85546875" style="325" customWidth="1"/>
    <col min="2050" max="2050" width="8.7109375" style="325" customWidth="1"/>
    <col min="2051" max="2051" width="9.5703125" style="325" customWidth="1"/>
    <col min="2052" max="2052" width="8.85546875" style="325" customWidth="1"/>
    <col min="2053" max="2053" width="11.140625" style="325" customWidth="1"/>
    <col min="2054" max="2054" width="10.140625" style="325" customWidth="1"/>
    <col min="2055" max="2055" width="13.7109375" style="325" customWidth="1"/>
    <col min="2056" max="2056" width="10.140625" style="325" customWidth="1"/>
    <col min="2057" max="2057" width="11" style="325" customWidth="1"/>
    <col min="2058" max="2058" width="11.7109375" style="325" customWidth="1"/>
    <col min="2059" max="2059" width="12.28515625" style="325" customWidth="1"/>
    <col min="2060" max="2060" width="9.7109375" style="325" customWidth="1"/>
    <col min="2061" max="2061" width="12.85546875" style="325" customWidth="1"/>
    <col min="2062" max="2062" width="9.28515625" style="325" customWidth="1"/>
    <col min="2063" max="2294" width="9.140625" style="325"/>
    <col min="2295" max="2295" width="6.7109375" style="325" customWidth="1"/>
    <col min="2296" max="2296" width="7.85546875" style="325" customWidth="1"/>
    <col min="2297" max="2297" width="12.140625" style="325" customWidth="1"/>
    <col min="2298" max="2298" width="10.28515625" style="325" customWidth="1"/>
    <col min="2299" max="2299" width="8.28515625" style="325" customWidth="1"/>
    <col min="2300" max="2300" width="8.7109375" style="325" customWidth="1"/>
    <col min="2301" max="2301" width="9.85546875" style="325" customWidth="1"/>
    <col min="2302" max="2302" width="8.85546875" style="325" customWidth="1"/>
    <col min="2303" max="2303" width="8.7109375" style="325" customWidth="1"/>
    <col min="2304" max="2304" width="9.28515625" style="325" customWidth="1"/>
    <col min="2305" max="2305" width="8.85546875" style="325" customWidth="1"/>
    <col min="2306" max="2306" width="8.7109375" style="325" customWidth="1"/>
    <col min="2307" max="2307" width="9.5703125" style="325" customWidth="1"/>
    <col min="2308" max="2308" width="8.85546875" style="325" customWidth="1"/>
    <col min="2309" max="2309" width="11.140625" style="325" customWidth="1"/>
    <col min="2310" max="2310" width="10.140625" style="325" customWidth="1"/>
    <col min="2311" max="2311" width="13.7109375" style="325" customWidth="1"/>
    <col min="2312" max="2312" width="10.140625" style="325" customWidth="1"/>
    <col min="2313" max="2313" width="11" style="325" customWidth="1"/>
    <col min="2314" max="2314" width="11.7109375" style="325" customWidth="1"/>
    <col min="2315" max="2315" width="12.28515625" style="325" customWidth="1"/>
    <col min="2316" max="2316" width="9.7109375" style="325" customWidth="1"/>
    <col min="2317" max="2317" width="12.85546875" style="325" customWidth="1"/>
    <col min="2318" max="2318" width="9.28515625" style="325" customWidth="1"/>
    <col min="2319" max="2550" width="9.140625" style="325"/>
    <col min="2551" max="2551" width="6.7109375" style="325" customWidth="1"/>
    <col min="2552" max="2552" width="7.85546875" style="325" customWidth="1"/>
    <col min="2553" max="2553" width="12.140625" style="325" customWidth="1"/>
    <col min="2554" max="2554" width="10.28515625" style="325" customWidth="1"/>
    <col min="2555" max="2555" width="8.28515625" style="325" customWidth="1"/>
    <col min="2556" max="2556" width="8.7109375" style="325" customWidth="1"/>
    <col min="2557" max="2557" width="9.85546875" style="325" customWidth="1"/>
    <col min="2558" max="2558" width="8.85546875" style="325" customWidth="1"/>
    <col min="2559" max="2559" width="8.7109375" style="325" customWidth="1"/>
    <col min="2560" max="2560" width="9.28515625" style="325" customWidth="1"/>
    <col min="2561" max="2561" width="8.85546875" style="325" customWidth="1"/>
    <col min="2562" max="2562" width="8.7109375" style="325" customWidth="1"/>
    <col min="2563" max="2563" width="9.5703125" style="325" customWidth="1"/>
    <col min="2564" max="2564" width="8.85546875" style="325" customWidth="1"/>
    <col min="2565" max="2565" width="11.140625" style="325" customWidth="1"/>
    <col min="2566" max="2566" width="10.140625" style="325" customWidth="1"/>
    <col min="2567" max="2567" width="13.7109375" style="325" customWidth="1"/>
    <col min="2568" max="2568" width="10.140625" style="325" customWidth="1"/>
    <col min="2569" max="2569" width="11" style="325" customWidth="1"/>
    <col min="2570" max="2570" width="11.7109375" style="325" customWidth="1"/>
    <col min="2571" max="2571" width="12.28515625" style="325" customWidth="1"/>
    <col min="2572" max="2572" width="9.7109375" style="325" customWidth="1"/>
    <col min="2573" max="2573" width="12.85546875" style="325" customWidth="1"/>
    <col min="2574" max="2574" width="9.28515625" style="325" customWidth="1"/>
    <col min="2575" max="2806" width="9.140625" style="325"/>
    <col min="2807" max="2807" width="6.7109375" style="325" customWidth="1"/>
    <col min="2808" max="2808" width="7.85546875" style="325" customWidth="1"/>
    <col min="2809" max="2809" width="12.140625" style="325" customWidth="1"/>
    <col min="2810" max="2810" width="10.28515625" style="325" customWidth="1"/>
    <col min="2811" max="2811" width="8.28515625" style="325" customWidth="1"/>
    <col min="2812" max="2812" width="8.7109375" style="325" customWidth="1"/>
    <col min="2813" max="2813" width="9.85546875" style="325" customWidth="1"/>
    <col min="2814" max="2814" width="8.85546875" style="325" customWidth="1"/>
    <col min="2815" max="2815" width="8.7109375" style="325" customWidth="1"/>
    <col min="2816" max="2816" width="9.28515625" style="325" customWidth="1"/>
    <col min="2817" max="2817" width="8.85546875" style="325" customWidth="1"/>
    <col min="2818" max="2818" width="8.7109375" style="325" customWidth="1"/>
    <col min="2819" max="2819" width="9.5703125" style="325" customWidth="1"/>
    <col min="2820" max="2820" width="8.85546875" style="325" customWidth="1"/>
    <col min="2821" max="2821" width="11.140625" style="325" customWidth="1"/>
    <col min="2822" max="2822" width="10.140625" style="325" customWidth="1"/>
    <col min="2823" max="2823" width="13.7109375" style="325" customWidth="1"/>
    <col min="2824" max="2824" width="10.140625" style="325" customWidth="1"/>
    <col min="2825" max="2825" width="11" style="325" customWidth="1"/>
    <col min="2826" max="2826" width="11.7109375" style="325" customWidth="1"/>
    <col min="2827" max="2827" width="12.28515625" style="325" customWidth="1"/>
    <col min="2828" max="2828" width="9.7109375" style="325" customWidth="1"/>
    <col min="2829" max="2829" width="12.85546875" style="325" customWidth="1"/>
    <col min="2830" max="2830" width="9.28515625" style="325" customWidth="1"/>
    <col min="2831" max="3062" width="9.140625" style="325"/>
    <col min="3063" max="3063" width="6.7109375" style="325" customWidth="1"/>
    <col min="3064" max="3064" width="7.85546875" style="325" customWidth="1"/>
    <col min="3065" max="3065" width="12.140625" style="325" customWidth="1"/>
    <col min="3066" max="3066" width="10.28515625" style="325" customWidth="1"/>
    <col min="3067" max="3067" width="8.28515625" style="325" customWidth="1"/>
    <col min="3068" max="3068" width="8.7109375" style="325" customWidth="1"/>
    <col min="3069" max="3069" width="9.85546875" style="325" customWidth="1"/>
    <col min="3070" max="3070" width="8.85546875" style="325" customWidth="1"/>
    <col min="3071" max="3071" width="8.7109375" style="325" customWidth="1"/>
    <col min="3072" max="3072" width="9.28515625" style="325" customWidth="1"/>
    <col min="3073" max="3073" width="8.85546875" style="325" customWidth="1"/>
    <col min="3074" max="3074" width="8.7109375" style="325" customWidth="1"/>
    <col min="3075" max="3075" width="9.5703125" style="325" customWidth="1"/>
    <col min="3076" max="3076" width="8.85546875" style="325" customWidth="1"/>
    <col min="3077" max="3077" width="11.140625" style="325" customWidth="1"/>
    <col min="3078" max="3078" width="10.140625" style="325" customWidth="1"/>
    <col min="3079" max="3079" width="13.7109375" style="325" customWidth="1"/>
    <col min="3080" max="3080" width="10.140625" style="325" customWidth="1"/>
    <col min="3081" max="3081" width="11" style="325" customWidth="1"/>
    <col min="3082" max="3082" width="11.7109375" style="325" customWidth="1"/>
    <col min="3083" max="3083" width="12.28515625" style="325" customWidth="1"/>
    <col min="3084" max="3084" width="9.7109375" style="325" customWidth="1"/>
    <col min="3085" max="3085" width="12.85546875" style="325" customWidth="1"/>
    <col min="3086" max="3086" width="9.28515625" style="325" customWidth="1"/>
    <col min="3087" max="3318" width="9.140625" style="325"/>
    <col min="3319" max="3319" width="6.7109375" style="325" customWidth="1"/>
    <col min="3320" max="3320" width="7.85546875" style="325" customWidth="1"/>
    <col min="3321" max="3321" width="12.140625" style="325" customWidth="1"/>
    <col min="3322" max="3322" width="10.28515625" style="325" customWidth="1"/>
    <col min="3323" max="3323" width="8.28515625" style="325" customWidth="1"/>
    <col min="3324" max="3324" width="8.7109375" style="325" customWidth="1"/>
    <col min="3325" max="3325" width="9.85546875" style="325" customWidth="1"/>
    <col min="3326" max="3326" width="8.85546875" style="325" customWidth="1"/>
    <col min="3327" max="3327" width="8.7109375" style="325" customWidth="1"/>
    <col min="3328" max="3328" width="9.28515625" style="325" customWidth="1"/>
    <col min="3329" max="3329" width="8.85546875" style="325" customWidth="1"/>
    <col min="3330" max="3330" width="8.7109375" style="325" customWidth="1"/>
    <col min="3331" max="3331" width="9.5703125" style="325" customWidth="1"/>
    <col min="3332" max="3332" width="8.85546875" style="325" customWidth="1"/>
    <col min="3333" max="3333" width="11.140625" style="325" customWidth="1"/>
    <col min="3334" max="3334" width="10.140625" style="325" customWidth="1"/>
    <col min="3335" max="3335" width="13.7109375" style="325" customWidth="1"/>
    <col min="3336" max="3336" width="10.140625" style="325" customWidth="1"/>
    <col min="3337" max="3337" width="11" style="325" customWidth="1"/>
    <col min="3338" max="3338" width="11.7109375" style="325" customWidth="1"/>
    <col min="3339" max="3339" width="12.28515625" style="325" customWidth="1"/>
    <col min="3340" max="3340" width="9.7109375" style="325" customWidth="1"/>
    <col min="3341" max="3341" width="12.85546875" style="325" customWidth="1"/>
    <col min="3342" max="3342" width="9.28515625" style="325" customWidth="1"/>
    <col min="3343" max="3574" width="9.140625" style="325"/>
    <col min="3575" max="3575" width="6.7109375" style="325" customWidth="1"/>
    <col min="3576" max="3576" width="7.85546875" style="325" customWidth="1"/>
    <col min="3577" max="3577" width="12.140625" style="325" customWidth="1"/>
    <col min="3578" max="3578" width="10.28515625" style="325" customWidth="1"/>
    <col min="3579" max="3579" width="8.28515625" style="325" customWidth="1"/>
    <col min="3580" max="3580" width="8.7109375" style="325" customWidth="1"/>
    <col min="3581" max="3581" width="9.85546875" style="325" customWidth="1"/>
    <col min="3582" max="3582" width="8.85546875" style="325" customWidth="1"/>
    <col min="3583" max="3583" width="8.7109375" style="325" customWidth="1"/>
    <col min="3584" max="3584" width="9.28515625" style="325" customWidth="1"/>
    <col min="3585" max="3585" width="8.85546875" style="325" customWidth="1"/>
    <col min="3586" max="3586" width="8.7109375" style="325" customWidth="1"/>
    <col min="3587" max="3587" width="9.5703125" style="325" customWidth="1"/>
    <col min="3588" max="3588" width="8.85546875" style="325" customWidth="1"/>
    <col min="3589" max="3589" width="11.140625" style="325" customWidth="1"/>
    <col min="3590" max="3590" width="10.140625" style="325" customWidth="1"/>
    <col min="3591" max="3591" width="13.7109375" style="325" customWidth="1"/>
    <col min="3592" max="3592" width="10.140625" style="325" customWidth="1"/>
    <col min="3593" max="3593" width="11" style="325" customWidth="1"/>
    <col min="3594" max="3594" width="11.7109375" style="325" customWidth="1"/>
    <col min="3595" max="3595" width="12.28515625" style="325" customWidth="1"/>
    <col min="3596" max="3596" width="9.7109375" style="325" customWidth="1"/>
    <col min="3597" max="3597" width="12.85546875" style="325" customWidth="1"/>
    <col min="3598" max="3598" width="9.28515625" style="325" customWidth="1"/>
    <col min="3599" max="3830" width="9.140625" style="325"/>
    <col min="3831" max="3831" width="6.7109375" style="325" customWidth="1"/>
    <col min="3832" max="3832" width="7.85546875" style="325" customWidth="1"/>
    <col min="3833" max="3833" width="12.140625" style="325" customWidth="1"/>
    <col min="3834" max="3834" width="10.28515625" style="325" customWidth="1"/>
    <col min="3835" max="3835" width="8.28515625" style="325" customWidth="1"/>
    <col min="3836" max="3836" width="8.7109375" style="325" customWidth="1"/>
    <col min="3837" max="3837" width="9.85546875" style="325" customWidth="1"/>
    <col min="3838" max="3838" width="8.85546875" style="325" customWidth="1"/>
    <col min="3839" max="3839" width="8.7109375" style="325" customWidth="1"/>
    <col min="3840" max="3840" width="9.28515625" style="325" customWidth="1"/>
    <col min="3841" max="3841" width="8.85546875" style="325" customWidth="1"/>
    <col min="3842" max="3842" width="8.7109375" style="325" customWidth="1"/>
    <col min="3843" max="3843" width="9.5703125" style="325" customWidth="1"/>
    <col min="3844" max="3844" width="8.85546875" style="325" customWidth="1"/>
    <col min="3845" max="3845" width="11.140625" style="325" customWidth="1"/>
    <col min="3846" max="3846" width="10.140625" style="325" customWidth="1"/>
    <col min="3847" max="3847" width="13.7109375" style="325" customWidth="1"/>
    <col min="3848" max="3848" width="10.140625" style="325" customWidth="1"/>
    <col min="3849" max="3849" width="11" style="325" customWidth="1"/>
    <col min="3850" max="3850" width="11.7109375" style="325" customWidth="1"/>
    <col min="3851" max="3851" width="12.28515625" style="325" customWidth="1"/>
    <col min="3852" max="3852" width="9.7109375" style="325" customWidth="1"/>
    <col min="3853" max="3853" width="12.85546875" style="325" customWidth="1"/>
    <col min="3854" max="3854" width="9.28515625" style="325" customWidth="1"/>
    <col min="3855" max="4086" width="9.140625" style="325"/>
    <col min="4087" max="4087" width="6.7109375" style="325" customWidth="1"/>
    <col min="4088" max="4088" width="7.85546875" style="325" customWidth="1"/>
    <col min="4089" max="4089" width="12.140625" style="325" customWidth="1"/>
    <col min="4090" max="4090" width="10.28515625" style="325" customWidth="1"/>
    <col min="4091" max="4091" width="8.28515625" style="325" customWidth="1"/>
    <col min="4092" max="4092" width="8.7109375" style="325" customWidth="1"/>
    <col min="4093" max="4093" width="9.85546875" style="325" customWidth="1"/>
    <col min="4094" max="4094" width="8.85546875" style="325" customWidth="1"/>
    <col min="4095" max="4095" width="8.7109375" style="325" customWidth="1"/>
    <col min="4096" max="4096" width="9.28515625" style="325" customWidth="1"/>
    <col min="4097" max="4097" width="8.85546875" style="325" customWidth="1"/>
    <col min="4098" max="4098" width="8.7109375" style="325" customWidth="1"/>
    <col min="4099" max="4099" width="9.5703125" style="325" customWidth="1"/>
    <col min="4100" max="4100" width="8.85546875" style="325" customWidth="1"/>
    <col min="4101" max="4101" width="11.140625" style="325" customWidth="1"/>
    <col min="4102" max="4102" width="10.140625" style="325" customWidth="1"/>
    <col min="4103" max="4103" width="13.7109375" style="325" customWidth="1"/>
    <col min="4104" max="4104" width="10.140625" style="325" customWidth="1"/>
    <col min="4105" max="4105" width="11" style="325" customWidth="1"/>
    <col min="4106" max="4106" width="11.7109375" style="325" customWidth="1"/>
    <col min="4107" max="4107" width="12.28515625" style="325" customWidth="1"/>
    <col min="4108" max="4108" width="9.7109375" style="325" customWidth="1"/>
    <col min="4109" max="4109" width="12.85546875" style="325" customWidth="1"/>
    <col min="4110" max="4110" width="9.28515625" style="325" customWidth="1"/>
    <col min="4111" max="4342" width="9.140625" style="325"/>
    <col min="4343" max="4343" width="6.7109375" style="325" customWidth="1"/>
    <col min="4344" max="4344" width="7.85546875" style="325" customWidth="1"/>
    <col min="4345" max="4345" width="12.140625" style="325" customWidth="1"/>
    <col min="4346" max="4346" width="10.28515625" style="325" customWidth="1"/>
    <col min="4347" max="4347" width="8.28515625" style="325" customWidth="1"/>
    <col min="4348" max="4348" width="8.7109375" style="325" customWidth="1"/>
    <col min="4349" max="4349" width="9.85546875" style="325" customWidth="1"/>
    <col min="4350" max="4350" width="8.85546875" style="325" customWidth="1"/>
    <col min="4351" max="4351" width="8.7109375" style="325" customWidth="1"/>
    <col min="4352" max="4352" width="9.28515625" style="325" customWidth="1"/>
    <col min="4353" max="4353" width="8.85546875" style="325" customWidth="1"/>
    <col min="4354" max="4354" width="8.7109375" style="325" customWidth="1"/>
    <col min="4355" max="4355" width="9.5703125" style="325" customWidth="1"/>
    <col min="4356" max="4356" width="8.85546875" style="325" customWidth="1"/>
    <col min="4357" max="4357" width="11.140625" style="325" customWidth="1"/>
    <col min="4358" max="4358" width="10.140625" style="325" customWidth="1"/>
    <col min="4359" max="4359" width="13.7109375" style="325" customWidth="1"/>
    <col min="4360" max="4360" width="10.140625" style="325" customWidth="1"/>
    <col min="4361" max="4361" width="11" style="325" customWidth="1"/>
    <col min="4362" max="4362" width="11.7109375" style="325" customWidth="1"/>
    <col min="4363" max="4363" width="12.28515625" style="325" customWidth="1"/>
    <col min="4364" max="4364" width="9.7109375" style="325" customWidth="1"/>
    <col min="4365" max="4365" width="12.85546875" style="325" customWidth="1"/>
    <col min="4366" max="4366" width="9.28515625" style="325" customWidth="1"/>
    <col min="4367" max="4598" width="9.140625" style="325"/>
    <col min="4599" max="4599" width="6.7109375" style="325" customWidth="1"/>
    <col min="4600" max="4600" width="7.85546875" style="325" customWidth="1"/>
    <col min="4601" max="4601" width="12.140625" style="325" customWidth="1"/>
    <col min="4602" max="4602" width="10.28515625" style="325" customWidth="1"/>
    <col min="4603" max="4603" width="8.28515625" style="325" customWidth="1"/>
    <col min="4604" max="4604" width="8.7109375" style="325" customWidth="1"/>
    <col min="4605" max="4605" width="9.85546875" style="325" customWidth="1"/>
    <col min="4606" max="4606" width="8.85546875" style="325" customWidth="1"/>
    <col min="4607" max="4607" width="8.7109375" style="325" customWidth="1"/>
    <col min="4608" max="4608" width="9.28515625" style="325" customWidth="1"/>
    <col min="4609" max="4609" width="8.85546875" style="325" customWidth="1"/>
    <col min="4610" max="4610" width="8.7109375" style="325" customWidth="1"/>
    <col min="4611" max="4611" width="9.5703125" style="325" customWidth="1"/>
    <col min="4612" max="4612" width="8.85546875" style="325" customWidth="1"/>
    <col min="4613" max="4613" width="11.140625" style="325" customWidth="1"/>
    <col min="4614" max="4614" width="10.140625" style="325" customWidth="1"/>
    <col min="4615" max="4615" width="13.7109375" style="325" customWidth="1"/>
    <col min="4616" max="4616" width="10.140625" style="325" customWidth="1"/>
    <col min="4617" max="4617" width="11" style="325" customWidth="1"/>
    <col min="4618" max="4618" width="11.7109375" style="325" customWidth="1"/>
    <col min="4619" max="4619" width="12.28515625" style="325" customWidth="1"/>
    <col min="4620" max="4620" width="9.7109375" style="325" customWidth="1"/>
    <col min="4621" max="4621" width="12.85546875" style="325" customWidth="1"/>
    <col min="4622" max="4622" width="9.28515625" style="325" customWidth="1"/>
    <col min="4623" max="4854" width="9.140625" style="325"/>
    <col min="4855" max="4855" width="6.7109375" style="325" customWidth="1"/>
    <col min="4856" max="4856" width="7.85546875" style="325" customWidth="1"/>
    <col min="4857" max="4857" width="12.140625" style="325" customWidth="1"/>
    <col min="4858" max="4858" width="10.28515625" style="325" customWidth="1"/>
    <col min="4859" max="4859" width="8.28515625" style="325" customWidth="1"/>
    <col min="4860" max="4860" width="8.7109375" style="325" customWidth="1"/>
    <col min="4861" max="4861" width="9.85546875" style="325" customWidth="1"/>
    <col min="4862" max="4862" width="8.85546875" style="325" customWidth="1"/>
    <col min="4863" max="4863" width="8.7109375" style="325" customWidth="1"/>
    <col min="4864" max="4864" width="9.28515625" style="325" customWidth="1"/>
    <col min="4865" max="4865" width="8.85546875" style="325" customWidth="1"/>
    <col min="4866" max="4866" width="8.7109375" style="325" customWidth="1"/>
    <col min="4867" max="4867" width="9.5703125" style="325" customWidth="1"/>
    <col min="4868" max="4868" width="8.85546875" style="325" customWidth="1"/>
    <col min="4869" max="4869" width="11.140625" style="325" customWidth="1"/>
    <col min="4870" max="4870" width="10.140625" style="325" customWidth="1"/>
    <col min="4871" max="4871" width="13.7109375" style="325" customWidth="1"/>
    <col min="4872" max="4872" width="10.140625" style="325" customWidth="1"/>
    <col min="4873" max="4873" width="11" style="325" customWidth="1"/>
    <col min="4874" max="4874" width="11.7109375" style="325" customWidth="1"/>
    <col min="4875" max="4875" width="12.28515625" style="325" customWidth="1"/>
    <col min="4876" max="4876" width="9.7109375" style="325" customWidth="1"/>
    <col min="4877" max="4877" width="12.85546875" style="325" customWidth="1"/>
    <col min="4878" max="4878" width="9.28515625" style="325" customWidth="1"/>
    <col min="4879" max="5110" width="9.140625" style="325"/>
    <col min="5111" max="5111" width="6.7109375" style="325" customWidth="1"/>
    <col min="5112" max="5112" width="7.85546875" style="325" customWidth="1"/>
    <col min="5113" max="5113" width="12.140625" style="325" customWidth="1"/>
    <col min="5114" max="5114" width="10.28515625" style="325" customWidth="1"/>
    <col min="5115" max="5115" width="8.28515625" style="325" customWidth="1"/>
    <col min="5116" max="5116" width="8.7109375" style="325" customWidth="1"/>
    <col min="5117" max="5117" width="9.85546875" style="325" customWidth="1"/>
    <col min="5118" max="5118" width="8.85546875" style="325" customWidth="1"/>
    <col min="5119" max="5119" width="8.7109375" style="325" customWidth="1"/>
    <col min="5120" max="5120" width="9.28515625" style="325" customWidth="1"/>
    <col min="5121" max="5121" width="8.85546875" style="325" customWidth="1"/>
    <col min="5122" max="5122" width="8.7109375" style="325" customWidth="1"/>
    <col min="5123" max="5123" width="9.5703125" style="325" customWidth="1"/>
    <col min="5124" max="5124" width="8.85546875" style="325" customWidth="1"/>
    <col min="5125" max="5125" width="11.140625" style="325" customWidth="1"/>
    <col min="5126" max="5126" width="10.140625" style="325" customWidth="1"/>
    <col min="5127" max="5127" width="13.7109375" style="325" customWidth="1"/>
    <col min="5128" max="5128" width="10.140625" style="325" customWidth="1"/>
    <col min="5129" max="5129" width="11" style="325" customWidth="1"/>
    <col min="5130" max="5130" width="11.7109375" style="325" customWidth="1"/>
    <col min="5131" max="5131" width="12.28515625" style="325" customWidth="1"/>
    <col min="5132" max="5132" width="9.7109375" style="325" customWidth="1"/>
    <col min="5133" max="5133" width="12.85546875" style="325" customWidth="1"/>
    <col min="5134" max="5134" width="9.28515625" style="325" customWidth="1"/>
    <col min="5135" max="5366" width="9.140625" style="325"/>
    <col min="5367" max="5367" width="6.7109375" style="325" customWidth="1"/>
    <col min="5368" max="5368" width="7.85546875" style="325" customWidth="1"/>
    <col min="5369" max="5369" width="12.140625" style="325" customWidth="1"/>
    <col min="5370" max="5370" width="10.28515625" style="325" customWidth="1"/>
    <col min="5371" max="5371" width="8.28515625" style="325" customWidth="1"/>
    <col min="5372" max="5372" width="8.7109375" style="325" customWidth="1"/>
    <col min="5373" max="5373" width="9.85546875" style="325" customWidth="1"/>
    <col min="5374" max="5374" width="8.85546875" style="325" customWidth="1"/>
    <col min="5375" max="5375" width="8.7109375" style="325" customWidth="1"/>
    <col min="5376" max="5376" width="9.28515625" style="325" customWidth="1"/>
    <col min="5377" max="5377" width="8.85546875" style="325" customWidth="1"/>
    <col min="5378" max="5378" width="8.7109375" style="325" customWidth="1"/>
    <col min="5379" max="5379" width="9.5703125" style="325" customWidth="1"/>
    <col min="5380" max="5380" width="8.85546875" style="325" customWidth="1"/>
    <col min="5381" max="5381" width="11.140625" style="325" customWidth="1"/>
    <col min="5382" max="5382" width="10.140625" style="325" customWidth="1"/>
    <col min="5383" max="5383" width="13.7109375" style="325" customWidth="1"/>
    <col min="5384" max="5384" width="10.140625" style="325" customWidth="1"/>
    <col min="5385" max="5385" width="11" style="325" customWidth="1"/>
    <col min="5386" max="5386" width="11.7109375" style="325" customWidth="1"/>
    <col min="5387" max="5387" width="12.28515625" style="325" customWidth="1"/>
    <col min="5388" max="5388" width="9.7109375" style="325" customWidth="1"/>
    <col min="5389" max="5389" width="12.85546875" style="325" customWidth="1"/>
    <col min="5390" max="5390" width="9.28515625" style="325" customWidth="1"/>
    <col min="5391" max="5622" width="9.140625" style="325"/>
    <col min="5623" max="5623" width="6.7109375" style="325" customWidth="1"/>
    <col min="5624" max="5624" width="7.85546875" style="325" customWidth="1"/>
    <col min="5625" max="5625" width="12.140625" style="325" customWidth="1"/>
    <col min="5626" max="5626" width="10.28515625" style="325" customWidth="1"/>
    <col min="5627" max="5627" width="8.28515625" style="325" customWidth="1"/>
    <col min="5628" max="5628" width="8.7109375" style="325" customWidth="1"/>
    <col min="5629" max="5629" width="9.85546875" style="325" customWidth="1"/>
    <col min="5630" max="5630" width="8.85546875" style="325" customWidth="1"/>
    <col min="5631" max="5631" width="8.7109375" style="325" customWidth="1"/>
    <col min="5632" max="5632" width="9.28515625" style="325" customWidth="1"/>
    <col min="5633" max="5633" width="8.85546875" style="325" customWidth="1"/>
    <col min="5634" max="5634" width="8.7109375" style="325" customWidth="1"/>
    <col min="5635" max="5635" width="9.5703125" style="325" customWidth="1"/>
    <col min="5636" max="5636" width="8.85546875" style="325" customWidth="1"/>
    <col min="5637" max="5637" width="11.140625" style="325" customWidth="1"/>
    <col min="5638" max="5638" width="10.140625" style="325" customWidth="1"/>
    <col min="5639" max="5639" width="13.7109375" style="325" customWidth="1"/>
    <col min="5640" max="5640" width="10.140625" style="325" customWidth="1"/>
    <col min="5641" max="5641" width="11" style="325" customWidth="1"/>
    <col min="5642" max="5642" width="11.7109375" style="325" customWidth="1"/>
    <col min="5643" max="5643" width="12.28515625" style="325" customWidth="1"/>
    <col min="5644" max="5644" width="9.7109375" style="325" customWidth="1"/>
    <col min="5645" max="5645" width="12.85546875" style="325" customWidth="1"/>
    <col min="5646" max="5646" width="9.28515625" style="325" customWidth="1"/>
    <col min="5647" max="5878" width="9.140625" style="325"/>
    <col min="5879" max="5879" width="6.7109375" style="325" customWidth="1"/>
    <col min="5880" max="5880" width="7.85546875" style="325" customWidth="1"/>
    <col min="5881" max="5881" width="12.140625" style="325" customWidth="1"/>
    <col min="5882" max="5882" width="10.28515625" style="325" customWidth="1"/>
    <col min="5883" max="5883" width="8.28515625" style="325" customWidth="1"/>
    <col min="5884" max="5884" width="8.7109375" style="325" customWidth="1"/>
    <col min="5885" max="5885" width="9.85546875" style="325" customWidth="1"/>
    <col min="5886" max="5886" width="8.85546875" style="325" customWidth="1"/>
    <col min="5887" max="5887" width="8.7109375" style="325" customWidth="1"/>
    <col min="5888" max="5888" width="9.28515625" style="325" customWidth="1"/>
    <col min="5889" max="5889" width="8.85546875" style="325" customWidth="1"/>
    <col min="5890" max="5890" width="8.7109375" style="325" customWidth="1"/>
    <col min="5891" max="5891" width="9.5703125" style="325" customWidth="1"/>
    <col min="5892" max="5892" width="8.85546875" style="325" customWidth="1"/>
    <col min="5893" max="5893" width="11.140625" style="325" customWidth="1"/>
    <col min="5894" max="5894" width="10.140625" style="325" customWidth="1"/>
    <col min="5895" max="5895" width="13.7109375" style="325" customWidth="1"/>
    <col min="5896" max="5896" width="10.140625" style="325" customWidth="1"/>
    <col min="5897" max="5897" width="11" style="325" customWidth="1"/>
    <col min="5898" max="5898" width="11.7109375" style="325" customWidth="1"/>
    <col min="5899" max="5899" width="12.28515625" style="325" customWidth="1"/>
    <col min="5900" max="5900" width="9.7109375" style="325" customWidth="1"/>
    <col min="5901" max="5901" width="12.85546875" style="325" customWidth="1"/>
    <col min="5902" max="5902" width="9.28515625" style="325" customWidth="1"/>
    <col min="5903" max="6134" width="9.140625" style="325"/>
    <col min="6135" max="6135" width="6.7109375" style="325" customWidth="1"/>
    <col min="6136" max="6136" width="7.85546875" style="325" customWidth="1"/>
    <col min="6137" max="6137" width="12.140625" style="325" customWidth="1"/>
    <col min="6138" max="6138" width="10.28515625" style="325" customWidth="1"/>
    <col min="6139" max="6139" width="8.28515625" style="325" customWidth="1"/>
    <col min="6140" max="6140" width="8.7109375" style="325" customWidth="1"/>
    <col min="6141" max="6141" width="9.85546875" style="325" customWidth="1"/>
    <col min="6142" max="6142" width="8.85546875" style="325" customWidth="1"/>
    <col min="6143" max="6143" width="8.7109375" style="325" customWidth="1"/>
    <col min="6144" max="6144" width="9.28515625" style="325" customWidth="1"/>
    <col min="6145" max="6145" width="8.85546875" style="325" customWidth="1"/>
    <col min="6146" max="6146" width="8.7109375" style="325" customWidth="1"/>
    <col min="6147" max="6147" width="9.5703125" style="325" customWidth="1"/>
    <col min="6148" max="6148" width="8.85546875" style="325" customWidth="1"/>
    <col min="6149" max="6149" width="11.140625" style="325" customWidth="1"/>
    <col min="6150" max="6150" width="10.140625" style="325" customWidth="1"/>
    <col min="6151" max="6151" width="13.7109375" style="325" customWidth="1"/>
    <col min="6152" max="6152" width="10.140625" style="325" customWidth="1"/>
    <col min="6153" max="6153" width="11" style="325" customWidth="1"/>
    <col min="6154" max="6154" width="11.7109375" style="325" customWidth="1"/>
    <col min="6155" max="6155" width="12.28515625" style="325" customWidth="1"/>
    <col min="6156" max="6156" width="9.7109375" style="325" customWidth="1"/>
    <col min="6157" max="6157" width="12.85546875" style="325" customWidth="1"/>
    <col min="6158" max="6158" width="9.28515625" style="325" customWidth="1"/>
    <col min="6159" max="6390" width="9.140625" style="325"/>
    <col min="6391" max="6391" width="6.7109375" style="325" customWidth="1"/>
    <col min="6392" max="6392" width="7.85546875" style="325" customWidth="1"/>
    <col min="6393" max="6393" width="12.140625" style="325" customWidth="1"/>
    <col min="6394" max="6394" width="10.28515625" style="325" customWidth="1"/>
    <col min="6395" max="6395" width="8.28515625" style="325" customWidth="1"/>
    <col min="6396" max="6396" width="8.7109375" style="325" customWidth="1"/>
    <col min="6397" max="6397" width="9.85546875" style="325" customWidth="1"/>
    <col min="6398" max="6398" width="8.85546875" style="325" customWidth="1"/>
    <col min="6399" max="6399" width="8.7109375" style="325" customWidth="1"/>
    <col min="6400" max="6400" width="9.28515625" style="325" customWidth="1"/>
    <col min="6401" max="6401" width="8.85546875" style="325" customWidth="1"/>
    <col min="6402" max="6402" width="8.7109375" style="325" customWidth="1"/>
    <col min="6403" max="6403" width="9.5703125" style="325" customWidth="1"/>
    <col min="6404" max="6404" width="8.85546875" style="325" customWidth="1"/>
    <col min="6405" max="6405" width="11.140625" style="325" customWidth="1"/>
    <col min="6406" max="6406" width="10.140625" style="325" customWidth="1"/>
    <col min="6407" max="6407" width="13.7109375" style="325" customWidth="1"/>
    <col min="6408" max="6408" width="10.140625" style="325" customWidth="1"/>
    <col min="6409" max="6409" width="11" style="325" customWidth="1"/>
    <col min="6410" max="6410" width="11.7109375" style="325" customWidth="1"/>
    <col min="6411" max="6411" width="12.28515625" style="325" customWidth="1"/>
    <col min="6412" max="6412" width="9.7109375" style="325" customWidth="1"/>
    <col min="6413" max="6413" width="12.85546875" style="325" customWidth="1"/>
    <col min="6414" max="6414" width="9.28515625" style="325" customWidth="1"/>
    <col min="6415" max="6646" width="9.140625" style="325"/>
    <col min="6647" max="6647" width="6.7109375" style="325" customWidth="1"/>
    <col min="6648" max="6648" width="7.85546875" style="325" customWidth="1"/>
    <col min="6649" max="6649" width="12.140625" style="325" customWidth="1"/>
    <col min="6650" max="6650" width="10.28515625" style="325" customWidth="1"/>
    <col min="6651" max="6651" width="8.28515625" style="325" customWidth="1"/>
    <col min="6652" max="6652" width="8.7109375" style="325" customWidth="1"/>
    <col min="6653" max="6653" width="9.85546875" style="325" customWidth="1"/>
    <col min="6654" max="6654" width="8.85546875" style="325" customWidth="1"/>
    <col min="6655" max="6655" width="8.7109375" style="325" customWidth="1"/>
    <col min="6656" max="6656" width="9.28515625" style="325" customWidth="1"/>
    <col min="6657" max="6657" width="8.85546875" style="325" customWidth="1"/>
    <col min="6658" max="6658" width="8.7109375" style="325" customWidth="1"/>
    <col min="6659" max="6659" width="9.5703125" style="325" customWidth="1"/>
    <col min="6660" max="6660" width="8.85546875" style="325" customWidth="1"/>
    <col min="6661" max="6661" width="11.140625" style="325" customWidth="1"/>
    <col min="6662" max="6662" width="10.140625" style="325" customWidth="1"/>
    <col min="6663" max="6663" width="13.7109375" style="325" customWidth="1"/>
    <col min="6664" max="6664" width="10.140625" style="325" customWidth="1"/>
    <col min="6665" max="6665" width="11" style="325" customWidth="1"/>
    <col min="6666" max="6666" width="11.7109375" style="325" customWidth="1"/>
    <col min="6667" max="6667" width="12.28515625" style="325" customWidth="1"/>
    <col min="6668" max="6668" width="9.7109375" style="325" customWidth="1"/>
    <col min="6669" max="6669" width="12.85546875" style="325" customWidth="1"/>
    <col min="6670" max="6670" width="9.28515625" style="325" customWidth="1"/>
    <col min="6671" max="6902" width="9.140625" style="325"/>
    <col min="6903" max="6903" width="6.7109375" style="325" customWidth="1"/>
    <col min="6904" max="6904" width="7.85546875" style="325" customWidth="1"/>
    <col min="6905" max="6905" width="12.140625" style="325" customWidth="1"/>
    <col min="6906" max="6906" width="10.28515625" style="325" customWidth="1"/>
    <col min="6907" max="6907" width="8.28515625" style="325" customWidth="1"/>
    <col min="6908" max="6908" width="8.7109375" style="325" customWidth="1"/>
    <col min="6909" max="6909" width="9.85546875" style="325" customWidth="1"/>
    <col min="6910" max="6910" width="8.85546875" style="325" customWidth="1"/>
    <col min="6911" max="6911" width="8.7109375" style="325" customWidth="1"/>
    <col min="6912" max="6912" width="9.28515625" style="325" customWidth="1"/>
    <col min="6913" max="6913" width="8.85546875" style="325" customWidth="1"/>
    <col min="6914" max="6914" width="8.7109375" style="325" customWidth="1"/>
    <col min="6915" max="6915" width="9.5703125" style="325" customWidth="1"/>
    <col min="6916" max="6916" width="8.85546875" style="325" customWidth="1"/>
    <col min="6917" max="6917" width="11.140625" style="325" customWidth="1"/>
    <col min="6918" max="6918" width="10.140625" style="325" customWidth="1"/>
    <col min="6919" max="6919" width="13.7109375" style="325" customWidth="1"/>
    <col min="6920" max="6920" width="10.140625" style="325" customWidth="1"/>
    <col min="6921" max="6921" width="11" style="325" customWidth="1"/>
    <col min="6922" max="6922" width="11.7109375" style="325" customWidth="1"/>
    <col min="6923" max="6923" width="12.28515625" style="325" customWidth="1"/>
    <col min="6924" max="6924" width="9.7109375" style="325" customWidth="1"/>
    <col min="6925" max="6925" width="12.85546875" style="325" customWidth="1"/>
    <col min="6926" max="6926" width="9.28515625" style="325" customWidth="1"/>
    <col min="6927" max="7158" width="9.140625" style="325"/>
    <col min="7159" max="7159" width="6.7109375" style="325" customWidth="1"/>
    <col min="7160" max="7160" width="7.85546875" style="325" customWidth="1"/>
    <col min="7161" max="7161" width="12.140625" style="325" customWidth="1"/>
    <col min="7162" max="7162" width="10.28515625" style="325" customWidth="1"/>
    <col min="7163" max="7163" width="8.28515625" style="325" customWidth="1"/>
    <col min="7164" max="7164" width="8.7109375" style="325" customWidth="1"/>
    <col min="7165" max="7165" width="9.85546875" style="325" customWidth="1"/>
    <col min="7166" max="7166" width="8.85546875" style="325" customWidth="1"/>
    <col min="7167" max="7167" width="8.7109375" style="325" customWidth="1"/>
    <col min="7168" max="7168" width="9.28515625" style="325" customWidth="1"/>
    <col min="7169" max="7169" width="8.85546875" style="325" customWidth="1"/>
    <col min="7170" max="7170" width="8.7109375" style="325" customWidth="1"/>
    <col min="7171" max="7171" width="9.5703125" style="325" customWidth="1"/>
    <col min="7172" max="7172" width="8.85546875" style="325" customWidth="1"/>
    <col min="7173" max="7173" width="11.140625" style="325" customWidth="1"/>
    <col min="7174" max="7174" width="10.140625" style="325" customWidth="1"/>
    <col min="7175" max="7175" width="13.7109375" style="325" customWidth="1"/>
    <col min="7176" max="7176" width="10.140625" style="325" customWidth="1"/>
    <col min="7177" max="7177" width="11" style="325" customWidth="1"/>
    <col min="7178" max="7178" width="11.7109375" style="325" customWidth="1"/>
    <col min="7179" max="7179" width="12.28515625" style="325" customWidth="1"/>
    <col min="7180" max="7180" width="9.7109375" style="325" customWidth="1"/>
    <col min="7181" max="7181" width="12.85546875" style="325" customWidth="1"/>
    <col min="7182" max="7182" width="9.28515625" style="325" customWidth="1"/>
    <col min="7183" max="7414" width="9.140625" style="325"/>
    <col min="7415" max="7415" width="6.7109375" style="325" customWidth="1"/>
    <col min="7416" max="7416" width="7.85546875" style="325" customWidth="1"/>
    <col min="7417" max="7417" width="12.140625" style="325" customWidth="1"/>
    <col min="7418" max="7418" width="10.28515625" style="325" customWidth="1"/>
    <col min="7419" max="7419" width="8.28515625" style="325" customWidth="1"/>
    <col min="7420" max="7420" width="8.7109375" style="325" customWidth="1"/>
    <col min="7421" max="7421" width="9.85546875" style="325" customWidth="1"/>
    <col min="7422" max="7422" width="8.85546875" style="325" customWidth="1"/>
    <col min="7423" max="7423" width="8.7109375" style="325" customWidth="1"/>
    <col min="7424" max="7424" width="9.28515625" style="325" customWidth="1"/>
    <col min="7425" max="7425" width="8.85546875" style="325" customWidth="1"/>
    <col min="7426" max="7426" width="8.7109375" style="325" customWidth="1"/>
    <col min="7427" max="7427" width="9.5703125" style="325" customWidth="1"/>
    <col min="7428" max="7428" width="8.85546875" style="325" customWidth="1"/>
    <col min="7429" max="7429" width="11.140625" style="325" customWidth="1"/>
    <col min="7430" max="7430" width="10.140625" style="325" customWidth="1"/>
    <col min="7431" max="7431" width="13.7109375" style="325" customWidth="1"/>
    <col min="7432" max="7432" width="10.140625" style="325" customWidth="1"/>
    <col min="7433" max="7433" width="11" style="325" customWidth="1"/>
    <col min="7434" max="7434" width="11.7109375" style="325" customWidth="1"/>
    <col min="7435" max="7435" width="12.28515625" style="325" customWidth="1"/>
    <col min="7436" max="7436" width="9.7109375" style="325" customWidth="1"/>
    <col min="7437" max="7437" width="12.85546875" style="325" customWidth="1"/>
    <col min="7438" max="7438" width="9.28515625" style="325" customWidth="1"/>
    <col min="7439" max="7670" width="9.140625" style="325"/>
    <col min="7671" max="7671" width="6.7109375" style="325" customWidth="1"/>
    <col min="7672" max="7672" width="7.85546875" style="325" customWidth="1"/>
    <col min="7673" max="7673" width="12.140625" style="325" customWidth="1"/>
    <col min="7674" max="7674" width="10.28515625" style="325" customWidth="1"/>
    <col min="7675" max="7675" width="8.28515625" style="325" customWidth="1"/>
    <col min="7676" max="7676" width="8.7109375" style="325" customWidth="1"/>
    <col min="7677" max="7677" width="9.85546875" style="325" customWidth="1"/>
    <col min="7678" max="7678" width="8.85546875" style="325" customWidth="1"/>
    <col min="7679" max="7679" width="8.7109375" style="325" customWidth="1"/>
    <col min="7680" max="7680" width="9.28515625" style="325" customWidth="1"/>
    <col min="7681" max="7681" width="8.85546875" style="325" customWidth="1"/>
    <col min="7682" max="7682" width="8.7109375" style="325" customWidth="1"/>
    <col min="7683" max="7683" width="9.5703125" style="325" customWidth="1"/>
    <col min="7684" max="7684" width="8.85546875" style="325" customWidth="1"/>
    <col min="7685" max="7685" width="11.140625" style="325" customWidth="1"/>
    <col min="7686" max="7686" width="10.140625" style="325" customWidth="1"/>
    <col min="7687" max="7687" width="13.7109375" style="325" customWidth="1"/>
    <col min="7688" max="7688" width="10.140625" style="325" customWidth="1"/>
    <col min="7689" max="7689" width="11" style="325" customWidth="1"/>
    <col min="7690" max="7690" width="11.7109375" style="325" customWidth="1"/>
    <col min="7691" max="7691" width="12.28515625" style="325" customWidth="1"/>
    <col min="7692" max="7692" width="9.7109375" style="325" customWidth="1"/>
    <col min="7693" max="7693" width="12.85546875" style="325" customWidth="1"/>
    <col min="7694" max="7694" width="9.28515625" style="325" customWidth="1"/>
    <col min="7695" max="7926" width="9.140625" style="325"/>
    <col min="7927" max="7927" width="6.7109375" style="325" customWidth="1"/>
    <col min="7928" max="7928" width="7.85546875" style="325" customWidth="1"/>
    <col min="7929" max="7929" width="12.140625" style="325" customWidth="1"/>
    <col min="7930" max="7930" width="10.28515625" style="325" customWidth="1"/>
    <col min="7931" max="7931" width="8.28515625" style="325" customWidth="1"/>
    <col min="7932" max="7932" width="8.7109375" style="325" customWidth="1"/>
    <col min="7933" max="7933" width="9.85546875" style="325" customWidth="1"/>
    <col min="7934" max="7934" width="8.85546875" style="325" customWidth="1"/>
    <col min="7935" max="7935" width="8.7109375" style="325" customWidth="1"/>
    <col min="7936" max="7936" width="9.28515625" style="325" customWidth="1"/>
    <col min="7937" max="7937" width="8.85546875" style="325" customWidth="1"/>
    <col min="7938" max="7938" width="8.7109375" style="325" customWidth="1"/>
    <col min="7939" max="7939" width="9.5703125" style="325" customWidth="1"/>
    <col min="7940" max="7940" width="8.85546875" style="325" customWidth="1"/>
    <col min="7941" max="7941" width="11.140625" style="325" customWidth="1"/>
    <col min="7942" max="7942" width="10.140625" style="325" customWidth="1"/>
    <col min="7943" max="7943" width="13.7109375" style="325" customWidth="1"/>
    <col min="7944" max="7944" width="10.140625" style="325" customWidth="1"/>
    <col min="7945" max="7945" width="11" style="325" customWidth="1"/>
    <col min="7946" max="7946" width="11.7109375" style="325" customWidth="1"/>
    <col min="7947" max="7947" width="12.28515625" style="325" customWidth="1"/>
    <col min="7948" max="7948" width="9.7109375" style="325" customWidth="1"/>
    <col min="7949" max="7949" width="12.85546875" style="325" customWidth="1"/>
    <col min="7950" max="7950" width="9.28515625" style="325" customWidth="1"/>
    <col min="7951" max="8182" width="9.140625" style="325"/>
    <col min="8183" max="8183" width="6.7109375" style="325" customWidth="1"/>
    <col min="8184" max="8184" width="7.85546875" style="325" customWidth="1"/>
    <col min="8185" max="8185" width="12.140625" style="325" customWidth="1"/>
    <col min="8186" max="8186" width="10.28515625" style="325" customWidth="1"/>
    <col min="8187" max="8187" width="8.28515625" style="325" customWidth="1"/>
    <col min="8188" max="8188" width="8.7109375" style="325" customWidth="1"/>
    <col min="8189" max="8189" width="9.85546875" style="325" customWidth="1"/>
    <col min="8190" max="8190" width="8.85546875" style="325" customWidth="1"/>
    <col min="8191" max="8191" width="8.7109375" style="325" customWidth="1"/>
    <col min="8192" max="8192" width="9.28515625" style="325" customWidth="1"/>
    <col min="8193" max="8193" width="8.85546875" style="325" customWidth="1"/>
    <col min="8194" max="8194" width="8.7109375" style="325" customWidth="1"/>
    <col min="8195" max="8195" width="9.5703125" style="325" customWidth="1"/>
    <col min="8196" max="8196" width="8.85546875" style="325" customWidth="1"/>
    <col min="8197" max="8197" width="11.140625" style="325" customWidth="1"/>
    <col min="8198" max="8198" width="10.140625" style="325" customWidth="1"/>
    <col min="8199" max="8199" width="13.7109375" style="325" customWidth="1"/>
    <col min="8200" max="8200" width="10.140625" style="325" customWidth="1"/>
    <col min="8201" max="8201" width="11" style="325" customWidth="1"/>
    <col min="8202" max="8202" width="11.7109375" style="325" customWidth="1"/>
    <col min="8203" max="8203" width="12.28515625" style="325" customWidth="1"/>
    <col min="8204" max="8204" width="9.7109375" style="325" customWidth="1"/>
    <col min="8205" max="8205" width="12.85546875" style="325" customWidth="1"/>
    <col min="8206" max="8206" width="9.28515625" style="325" customWidth="1"/>
    <col min="8207" max="8438" width="9.140625" style="325"/>
    <col min="8439" max="8439" width="6.7109375" style="325" customWidth="1"/>
    <col min="8440" max="8440" width="7.85546875" style="325" customWidth="1"/>
    <col min="8441" max="8441" width="12.140625" style="325" customWidth="1"/>
    <col min="8442" max="8442" width="10.28515625" style="325" customWidth="1"/>
    <col min="8443" max="8443" width="8.28515625" style="325" customWidth="1"/>
    <col min="8444" max="8444" width="8.7109375" style="325" customWidth="1"/>
    <col min="8445" max="8445" width="9.85546875" style="325" customWidth="1"/>
    <col min="8446" max="8446" width="8.85546875" style="325" customWidth="1"/>
    <col min="8447" max="8447" width="8.7109375" style="325" customWidth="1"/>
    <col min="8448" max="8448" width="9.28515625" style="325" customWidth="1"/>
    <col min="8449" max="8449" width="8.85546875" style="325" customWidth="1"/>
    <col min="8450" max="8450" width="8.7109375" style="325" customWidth="1"/>
    <col min="8451" max="8451" width="9.5703125" style="325" customWidth="1"/>
    <col min="8452" max="8452" width="8.85546875" style="325" customWidth="1"/>
    <col min="8453" max="8453" width="11.140625" style="325" customWidth="1"/>
    <col min="8454" max="8454" width="10.140625" style="325" customWidth="1"/>
    <col min="8455" max="8455" width="13.7109375" style="325" customWidth="1"/>
    <col min="8456" max="8456" width="10.140625" style="325" customWidth="1"/>
    <col min="8457" max="8457" width="11" style="325" customWidth="1"/>
    <col min="8458" max="8458" width="11.7109375" style="325" customWidth="1"/>
    <col min="8459" max="8459" width="12.28515625" style="325" customWidth="1"/>
    <col min="8460" max="8460" width="9.7109375" style="325" customWidth="1"/>
    <col min="8461" max="8461" width="12.85546875" style="325" customWidth="1"/>
    <col min="8462" max="8462" width="9.28515625" style="325" customWidth="1"/>
    <col min="8463" max="8694" width="9.140625" style="325"/>
    <col min="8695" max="8695" width="6.7109375" style="325" customWidth="1"/>
    <col min="8696" max="8696" width="7.85546875" style="325" customWidth="1"/>
    <col min="8697" max="8697" width="12.140625" style="325" customWidth="1"/>
    <col min="8698" max="8698" width="10.28515625" style="325" customWidth="1"/>
    <col min="8699" max="8699" width="8.28515625" style="325" customWidth="1"/>
    <col min="8700" max="8700" width="8.7109375" style="325" customWidth="1"/>
    <col min="8701" max="8701" width="9.85546875" style="325" customWidth="1"/>
    <col min="8702" max="8702" width="8.85546875" style="325" customWidth="1"/>
    <col min="8703" max="8703" width="8.7109375" style="325" customWidth="1"/>
    <col min="8704" max="8704" width="9.28515625" style="325" customWidth="1"/>
    <col min="8705" max="8705" width="8.85546875" style="325" customWidth="1"/>
    <col min="8706" max="8706" width="8.7109375" style="325" customWidth="1"/>
    <col min="8707" max="8707" width="9.5703125" style="325" customWidth="1"/>
    <col min="8708" max="8708" width="8.85546875" style="325" customWidth="1"/>
    <col min="8709" max="8709" width="11.140625" style="325" customWidth="1"/>
    <col min="8710" max="8710" width="10.140625" style="325" customWidth="1"/>
    <col min="8711" max="8711" width="13.7109375" style="325" customWidth="1"/>
    <col min="8712" max="8712" width="10.140625" style="325" customWidth="1"/>
    <col min="8713" max="8713" width="11" style="325" customWidth="1"/>
    <col min="8714" max="8714" width="11.7109375" style="325" customWidth="1"/>
    <col min="8715" max="8715" width="12.28515625" style="325" customWidth="1"/>
    <col min="8716" max="8716" width="9.7109375" style="325" customWidth="1"/>
    <col min="8717" max="8717" width="12.85546875" style="325" customWidth="1"/>
    <col min="8718" max="8718" width="9.28515625" style="325" customWidth="1"/>
    <col min="8719" max="8950" width="9.140625" style="325"/>
    <col min="8951" max="8951" width="6.7109375" style="325" customWidth="1"/>
    <col min="8952" max="8952" width="7.85546875" style="325" customWidth="1"/>
    <col min="8953" max="8953" width="12.140625" style="325" customWidth="1"/>
    <col min="8954" max="8954" width="10.28515625" style="325" customWidth="1"/>
    <col min="8955" max="8955" width="8.28515625" style="325" customWidth="1"/>
    <col min="8956" max="8956" width="8.7109375" style="325" customWidth="1"/>
    <col min="8957" max="8957" width="9.85546875" style="325" customWidth="1"/>
    <col min="8958" max="8958" width="8.85546875" style="325" customWidth="1"/>
    <col min="8959" max="8959" width="8.7109375" style="325" customWidth="1"/>
    <col min="8960" max="8960" width="9.28515625" style="325" customWidth="1"/>
    <col min="8961" max="8961" width="8.85546875" style="325" customWidth="1"/>
    <col min="8962" max="8962" width="8.7109375" style="325" customWidth="1"/>
    <col min="8963" max="8963" width="9.5703125" style="325" customWidth="1"/>
    <col min="8964" max="8964" width="8.85546875" style="325" customWidth="1"/>
    <col min="8965" max="8965" width="11.140625" style="325" customWidth="1"/>
    <col min="8966" max="8966" width="10.140625" style="325" customWidth="1"/>
    <col min="8967" max="8967" width="13.7109375" style="325" customWidth="1"/>
    <col min="8968" max="8968" width="10.140625" style="325" customWidth="1"/>
    <col min="8969" max="8969" width="11" style="325" customWidth="1"/>
    <col min="8970" max="8970" width="11.7109375" style="325" customWidth="1"/>
    <col min="8971" max="8971" width="12.28515625" style="325" customWidth="1"/>
    <col min="8972" max="8972" width="9.7109375" style="325" customWidth="1"/>
    <col min="8973" max="8973" width="12.85546875" style="325" customWidth="1"/>
    <col min="8974" max="8974" width="9.28515625" style="325" customWidth="1"/>
    <col min="8975" max="9206" width="9.140625" style="325"/>
    <col min="9207" max="9207" width="6.7109375" style="325" customWidth="1"/>
    <col min="9208" max="9208" width="7.85546875" style="325" customWidth="1"/>
    <col min="9209" max="9209" width="12.140625" style="325" customWidth="1"/>
    <col min="9210" max="9210" width="10.28515625" style="325" customWidth="1"/>
    <col min="9211" max="9211" width="8.28515625" style="325" customWidth="1"/>
    <col min="9212" max="9212" width="8.7109375" style="325" customWidth="1"/>
    <col min="9213" max="9213" width="9.85546875" style="325" customWidth="1"/>
    <col min="9214" max="9214" width="8.85546875" style="325" customWidth="1"/>
    <col min="9215" max="9215" width="8.7109375" style="325" customWidth="1"/>
    <col min="9216" max="9216" width="9.28515625" style="325" customWidth="1"/>
    <col min="9217" max="9217" width="8.85546875" style="325" customWidth="1"/>
    <col min="9218" max="9218" width="8.7109375" style="325" customWidth="1"/>
    <col min="9219" max="9219" width="9.5703125" style="325" customWidth="1"/>
    <col min="9220" max="9220" width="8.85546875" style="325" customWidth="1"/>
    <col min="9221" max="9221" width="11.140625" style="325" customWidth="1"/>
    <col min="9222" max="9222" width="10.140625" style="325" customWidth="1"/>
    <col min="9223" max="9223" width="13.7109375" style="325" customWidth="1"/>
    <col min="9224" max="9224" width="10.140625" style="325" customWidth="1"/>
    <col min="9225" max="9225" width="11" style="325" customWidth="1"/>
    <col min="9226" max="9226" width="11.7109375" style="325" customWidth="1"/>
    <col min="9227" max="9227" width="12.28515625" style="325" customWidth="1"/>
    <col min="9228" max="9228" width="9.7109375" style="325" customWidth="1"/>
    <col min="9229" max="9229" width="12.85546875" style="325" customWidth="1"/>
    <col min="9230" max="9230" width="9.28515625" style="325" customWidth="1"/>
    <col min="9231" max="9462" width="9.140625" style="325"/>
    <col min="9463" max="9463" width="6.7109375" style="325" customWidth="1"/>
    <col min="9464" max="9464" width="7.85546875" style="325" customWidth="1"/>
    <col min="9465" max="9465" width="12.140625" style="325" customWidth="1"/>
    <col min="9466" max="9466" width="10.28515625" style="325" customWidth="1"/>
    <col min="9467" max="9467" width="8.28515625" style="325" customWidth="1"/>
    <col min="9468" max="9468" width="8.7109375" style="325" customWidth="1"/>
    <col min="9469" max="9469" width="9.85546875" style="325" customWidth="1"/>
    <col min="9470" max="9470" width="8.85546875" style="325" customWidth="1"/>
    <col min="9471" max="9471" width="8.7109375" style="325" customWidth="1"/>
    <col min="9472" max="9472" width="9.28515625" style="325" customWidth="1"/>
    <col min="9473" max="9473" width="8.85546875" style="325" customWidth="1"/>
    <col min="9474" max="9474" width="8.7109375" style="325" customWidth="1"/>
    <col min="9475" max="9475" width="9.5703125" style="325" customWidth="1"/>
    <col min="9476" max="9476" width="8.85546875" style="325" customWidth="1"/>
    <col min="9477" max="9477" width="11.140625" style="325" customWidth="1"/>
    <col min="9478" max="9478" width="10.140625" style="325" customWidth="1"/>
    <col min="9479" max="9479" width="13.7109375" style="325" customWidth="1"/>
    <col min="9480" max="9480" width="10.140625" style="325" customWidth="1"/>
    <col min="9481" max="9481" width="11" style="325" customWidth="1"/>
    <col min="9482" max="9482" width="11.7109375" style="325" customWidth="1"/>
    <col min="9483" max="9483" width="12.28515625" style="325" customWidth="1"/>
    <col min="9484" max="9484" width="9.7109375" style="325" customWidth="1"/>
    <col min="9485" max="9485" width="12.85546875" style="325" customWidth="1"/>
    <col min="9486" max="9486" width="9.28515625" style="325" customWidth="1"/>
    <col min="9487" max="9718" width="9.140625" style="325"/>
    <col min="9719" max="9719" width="6.7109375" style="325" customWidth="1"/>
    <col min="9720" max="9720" width="7.85546875" style="325" customWidth="1"/>
    <col min="9721" max="9721" width="12.140625" style="325" customWidth="1"/>
    <col min="9722" max="9722" width="10.28515625" style="325" customWidth="1"/>
    <col min="9723" max="9723" width="8.28515625" style="325" customWidth="1"/>
    <col min="9724" max="9724" width="8.7109375" style="325" customWidth="1"/>
    <col min="9725" max="9725" width="9.85546875" style="325" customWidth="1"/>
    <col min="9726" max="9726" width="8.85546875" style="325" customWidth="1"/>
    <col min="9727" max="9727" width="8.7109375" style="325" customWidth="1"/>
    <col min="9728" max="9728" width="9.28515625" style="325" customWidth="1"/>
    <col min="9729" max="9729" width="8.85546875" style="325" customWidth="1"/>
    <col min="9730" max="9730" width="8.7109375" style="325" customWidth="1"/>
    <col min="9731" max="9731" width="9.5703125" style="325" customWidth="1"/>
    <col min="9732" max="9732" width="8.85546875" style="325" customWidth="1"/>
    <col min="9733" max="9733" width="11.140625" style="325" customWidth="1"/>
    <col min="9734" max="9734" width="10.140625" style="325" customWidth="1"/>
    <col min="9735" max="9735" width="13.7109375" style="325" customWidth="1"/>
    <col min="9736" max="9736" width="10.140625" style="325" customWidth="1"/>
    <col min="9737" max="9737" width="11" style="325" customWidth="1"/>
    <col min="9738" max="9738" width="11.7109375" style="325" customWidth="1"/>
    <col min="9739" max="9739" width="12.28515625" style="325" customWidth="1"/>
    <col min="9740" max="9740" width="9.7109375" style="325" customWidth="1"/>
    <col min="9741" max="9741" width="12.85546875" style="325" customWidth="1"/>
    <col min="9742" max="9742" width="9.28515625" style="325" customWidth="1"/>
    <col min="9743" max="9974" width="9.140625" style="325"/>
    <col min="9975" max="9975" width="6.7109375" style="325" customWidth="1"/>
    <col min="9976" max="9976" width="7.85546875" style="325" customWidth="1"/>
    <col min="9977" max="9977" width="12.140625" style="325" customWidth="1"/>
    <col min="9978" max="9978" width="10.28515625" style="325" customWidth="1"/>
    <col min="9979" max="9979" width="8.28515625" style="325" customWidth="1"/>
    <col min="9980" max="9980" width="8.7109375" style="325" customWidth="1"/>
    <col min="9981" max="9981" width="9.85546875" style="325" customWidth="1"/>
    <col min="9982" max="9982" width="8.85546875" style="325" customWidth="1"/>
    <col min="9983" max="9983" width="8.7109375" style="325" customWidth="1"/>
    <col min="9984" max="9984" width="9.28515625" style="325" customWidth="1"/>
    <col min="9985" max="9985" width="8.85546875" style="325" customWidth="1"/>
    <col min="9986" max="9986" width="8.7109375" style="325" customWidth="1"/>
    <col min="9987" max="9987" width="9.5703125" style="325" customWidth="1"/>
    <col min="9988" max="9988" width="8.85546875" style="325" customWidth="1"/>
    <col min="9989" max="9989" width="11.140625" style="325" customWidth="1"/>
    <col min="9990" max="9990" width="10.140625" style="325" customWidth="1"/>
    <col min="9991" max="9991" width="13.7109375" style="325" customWidth="1"/>
    <col min="9992" max="9992" width="10.140625" style="325" customWidth="1"/>
    <col min="9993" max="9993" width="11" style="325" customWidth="1"/>
    <col min="9994" max="9994" width="11.7109375" style="325" customWidth="1"/>
    <col min="9995" max="9995" width="12.28515625" style="325" customWidth="1"/>
    <col min="9996" max="9996" width="9.7109375" style="325" customWidth="1"/>
    <col min="9997" max="9997" width="12.85546875" style="325" customWidth="1"/>
    <col min="9998" max="9998" width="9.28515625" style="325" customWidth="1"/>
    <col min="9999" max="10230" width="9.140625" style="325"/>
    <col min="10231" max="10231" width="6.7109375" style="325" customWidth="1"/>
    <col min="10232" max="10232" width="7.85546875" style="325" customWidth="1"/>
    <col min="10233" max="10233" width="12.140625" style="325" customWidth="1"/>
    <col min="10234" max="10234" width="10.28515625" style="325" customWidth="1"/>
    <col min="10235" max="10235" width="8.28515625" style="325" customWidth="1"/>
    <col min="10236" max="10236" width="8.7109375" style="325" customWidth="1"/>
    <col min="10237" max="10237" width="9.85546875" style="325" customWidth="1"/>
    <col min="10238" max="10238" width="8.85546875" style="325" customWidth="1"/>
    <col min="10239" max="10239" width="8.7109375" style="325" customWidth="1"/>
    <col min="10240" max="10240" width="9.28515625" style="325" customWidth="1"/>
    <col min="10241" max="10241" width="8.85546875" style="325" customWidth="1"/>
    <col min="10242" max="10242" width="8.7109375" style="325" customWidth="1"/>
    <col min="10243" max="10243" width="9.5703125" style="325" customWidth="1"/>
    <col min="10244" max="10244" width="8.85546875" style="325" customWidth="1"/>
    <col min="10245" max="10245" width="11.140625" style="325" customWidth="1"/>
    <col min="10246" max="10246" width="10.140625" style="325" customWidth="1"/>
    <col min="10247" max="10247" width="13.7109375" style="325" customWidth="1"/>
    <col min="10248" max="10248" width="10.140625" style="325" customWidth="1"/>
    <col min="10249" max="10249" width="11" style="325" customWidth="1"/>
    <col min="10250" max="10250" width="11.7109375" style="325" customWidth="1"/>
    <col min="10251" max="10251" width="12.28515625" style="325" customWidth="1"/>
    <col min="10252" max="10252" width="9.7109375" style="325" customWidth="1"/>
    <col min="10253" max="10253" width="12.85546875" style="325" customWidth="1"/>
    <col min="10254" max="10254" width="9.28515625" style="325" customWidth="1"/>
    <col min="10255" max="10486" width="9.140625" style="325"/>
    <col min="10487" max="10487" width="6.7109375" style="325" customWidth="1"/>
    <col min="10488" max="10488" width="7.85546875" style="325" customWidth="1"/>
    <col min="10489" max="10489" width="12.140625" style="325" customWidth="1"/>
    <col min="10490" max="10490" width="10.28515625" style="325" customWidth="1"/>
    <col min="10491" max="10491" width="8.28515625" style="325" customWidth="1"/>
    <col min="10492" max="10492" width="8.7109375" style="325" customWidth="1"/>
    <col min="10493" max="10493" width="9.85546875" style="325" customWidth="1"/>
    <col min="10494" max="10494" width="8.85546875" style="325" customWidth="1"/>
    <col min="10495" max="10495" width="8.7109375" style="325" customWidth="1"/>
    <col min="10496" max="10496" width="9.28515625" style="325" customWidth="1"/>
    <col min="10497" max="10497" width="8.85546875" style="325" customWidth="1"/>
    <col min="10498" max="10498" width="8.7109375" style="325" customWidth="1"/>
    <col min="10499" max="10499" width="9.5703125" style="325" customWidth="1"/>
    <col min="10500" max="10500" width="8.85546875" style="325" customWidth="1"/>
    <col min="10501" max="10501" width="11.140625" style="325" customWidth="1"/>
    <col min="10502" max="10502" width="10.140625" style="325" customWidth="1"/>
    <col min="10503" max="10503" width="13.7109375" style="325" customWidth="1"/>
    <col min="10504" max="10504" width="10.140625" style="325" customWidth="1"/>
    <col min="10505" max="10505" width="11" style="325" customWidth="1"/>
    <col min="10506" max="10506" width="11.7109375" style="325" customWidth="1"/>
    <col min="10507" max="10507" width="12.28515625" style="325" customWidth="1"/>
    <col min="10508" max="10508" width="9.7109375" style="325" customWidth="1"/>
    <col min="10509" max="10509" width="12.85546875" style="325" customWidth="1"/>
    <col min="10510" max="10510" width="9.28515625" style="325" customWidth="1"/>
    <col min="10511" max="10742" width="9.140625" style="325"/>
    <col min="10743" max="10743" width="6.7109375" style="325" customWidth="1"/>
    <col min="10744" max="10744" width="7.85546875" style="325" customWidth="1"/>
    <col min="10745" max="10745" width="12.140625" style="325" customWidth="1"/>
    <col min="10746" max="10746" width="10.28515625" style="325" customWidth="1"/>
    <col min="10747" max="10747" width="8.28515625" style="325" customWidth="1"/>
    <col min="10748" max="10748" width="8.7109375" style="325" customWidth="1"/>
    <col min="10749" max="10749" width="9.85546875" style="325" customWidth="1"/>
    <col min="10750" max="10750" width="8.85546875" style="325" customWidth="1"/>
    <col min="10751" max="10751" width="8.7109375" style="325" customWidth="1"/>
    <col min="10752" max="10752" width="9.28515625" style="325" customWidth="1"/>
    <col min="10753" max="10753" width="8.85546875" style="325" customWidth="1"/>
    <col min="10754" max="10754" width="8.7109375" style="325" customWidth="1"/>
    <col min="10755" max="10755" width="9.5703125" style="325" customWidth="1"/>
    <col min="10756" max="10756" width="8.85546875" style="325" customWidth="1"/>
    <col min="10757" max="10757" width="11.140625" style="325" customWidth="1"/>
    <col min="10758" max="10758" width="10.140625" style="325" customWidth="1"/>
    <col min="10759" max="10759" width="13.7109375" style="325" customWidth="1"/>
    <col min="10760" max="10760" width="10.140625" style="325" customWidth="1"/>
    <col min="10761" max="10761" width="11" style="325" customWidth="1"/>
    <col min="10762" max="10762" width="11.7109375" style="325" customWidth="1"/>
    <col min="10763" max="10763" width="12.28515625" style="325" customWidth="1"/>
    <col min="10764" max="10764" width="9.7109375" style="325" customWidth="1"/>
    <col min="10765" max="10765" width="12.85546875" style="325" customWidth="1"/>
    <col min="10766" max="10766" width="9.28515625" style="325" customWidth="1"/>
    <col min="10767" max="10998" width="9.140625" style="325"/>
    <col min="10999" max="10999" width="6.7109375" style="325" customWidth="1"/>
    <col min="11000" max="11000" width="7.85546875" style="325" customWidth="1"/>
    <col min="11001" max="11001" width="12.140625" style="325" customWidth="1"/>
    <col min="11002" max="11002" width="10.28515625" style="325" customWidth="1"/>
    <col min="11003" max="11003" width="8.28515625" style="325" customWidth="1"/>
    <col min="11004" max="11004" width="8.7109375" style="325" customWidth="1"/>
    <col min="11005" max="11005" width="9.85546875" style="325" customWidth="1"/>
    <col min="11006" max="11006" width="8.85546875" style="325" customWidth="1"/>
    <col min="11007" max="11007" width="8.7109375" style="325" customWidth="1"/>
    <col min="11008" max="11008" width="9.28515625" style="325" customWidth="1"/>
    <col min="11009" max="11009" width="8.85546875" style="325" customWidth="1"/>
    <col min="11010" max="11010" width="8.7109375" style="325" customWidth="1"/>
    <col min="11011" max="11011" width="9.5703125" style="325" customWidth="1"/>
    <col min="11012" max="11012" width="8.85546875" style="325" customWidth="1"/>
    <col min="11013" max="11013" width="11.140625" style="325" customWidth="1"/>
    <col min="11014" max="11014" width="10.140625" style="325" customWidth="1"/>
    <col min="11015" max="11015" width="13.7109375" style="325" customWidth="1"/>
    <col min="11016" max="11016" width="10.140625" style="325" customWidth="1"/>
    <col min="11017" max="11017" width="11" style="325" customWidth="1"/>
    <col min="11018" max="11018" width="11.7109375" style="325" customWidth="1"/>
    <col min="11019" max="11019" width="12.28515625" style="325" customWidth="1"/>
    <col min="11020" max="11020" width="9.7109375" style="325" customWidth="1"/>
    <col min="11021" max="11021" width="12.85546875" style="325" customWidth="1"/>
    <col min="11022" max="11022" width="9.28515625" style="325" customWidth="1"/>
    <col min="11023" max="11254" width="9.140625" style="325"/>
    <col min="11255" max="11255" width="6.7109375" style="325" customWidth="1"/>
    <col min="11256" max="11256" width="7.85546875" style="325" customWidth="1"/>
    <col min="11257" max="11257" width="12.140625" style="325" customWidth="1"/>
    <col min="11258" max="11258" width="10.28515625" style="325" customWidth="1"/>
    <col min="11259" max="11259" width="8.28515625" style="325" customWidth="1"/>
    <col min="11260" max="11260" width="8.7109375" style="325" customWidth="1"/>
    <col min="11261" max="11261" width="9.85546875" style="325" customWidth="1"/>
    <col min="11262" max="11262" width="8.85546875" style="325" customWidth="1"/>
    <col min="11263" max="11263" width="8.7109375" style="325" customWidth="1"/>
    <col min="11264" max="11264" width="9.28515625" style="325" customWidth="1"/>
    <col min="11265" max="11265" width="8.85546875" style="325" customWidth="1"/>
    <col min="11266" max="11266" width="8.7109375" style="325" customWidth="1"/>
    <col min="11267" max="11267" width="9.5703125" style="325" customWidth="1"/>
    <col min="11268" max="11268" width="8.85546875" style="325" customWidth="1"/>
    <col min="11269" max="11269" width="11.140625" style="325" customWidth="1"/>
    <col min="11270" max="11270" width="10.140625" style="325" customWidth="1"/>
    <col min="11271" max="11271" width="13.7109375" style="325" customWidth="1"/>
    <col min="11272" max="11272" width="10.140625" style="325" customWidth="1"/>
    <col min="11273" max="11273" width="11" style="325" customWidth="1"/>
    <col min="11274" max="11274" width="11.7109375" style="325" customWidth="1"/>
    <col min="11275" max="11275" width="12.28515625" style="325" customWidth="1"/>
    <col min="11276" max="11276" width="9.7109375" style="325" customWidth="1"/>
    <col min="11277" max="11277" width="12.85546875" style="325" customWidth="1"/>
    <col min="11278" max="11278" width="9.28515625" style="325" customWidth="1"/>
    <col min="11279" max="11510" width="9.140625" style="325"/>
    <col min="11511" max="11511" width="6.7109375" style="325" customWidth="1"/>
    <col min="11512" max="11512" width="7.85546875" style="325" customWidth="1"/>
    <col min="11513" max="11513" width="12.140625" style="325" customWidth="1"/>
    <col min="11514" max="11514" width="10.28515625" style="325" customWidth="1"/>
    <col min="11515" max="11515" width="8.28515625" style="325" customWidth="1"/>
    <col min="11516" max="11516" width="8.7109375" style="325" customWidth="1"/>
    <col min="11517" max="11517" width="9.85546875" style="325" customWidth="1"/>
    <col min="11518" max="11518" width="8.85546875" style="325" customWidth="1"/>
    <col min="11519" max="11519" width="8.7109375" style="325" customWidth="1"/>
    <col min="11520" max="11520" width="9.28515625" style="325" customWidth="1"/>
    <col min="11521" max="11521" width="8.85546875" style="325" customWidth="1"/>
    <col min="11522" max="11522" width="8.7109375" style="325" customWidth="1"/>
    <col min="11523" max="11523" width="9.5703125" style="325" customWidth="1"/>
    <col min="11524" max="11524" width="8.85546875" style="325" customWidth="1"/>
    <col min="11525" max="11525" width="11.140625" style="325" customWidth="1"/>
    <col min="11526" max="11526" width="10.140625" style="325" customWidth="1"/>
    <col min="11527" max="11527" width="13.7109375" style="325" customWidth="1"/>
    <col min="11528" max="11528" width="10.140625" style="325" customWidth="1"/>
    <col min="11529" max="11529" width="11" style="325" customWidth="1"/>
    <col min="11530" max="11530" width="11.7109375" style="325" customWidth="1"/>
    <col min="11531" max="11531" width="12.28515625" style="325" customWidth="1"/>
    <col min="11532" max="11532" width="9.7109375" style="325" customWidth="1"/>
    <col min="11533" max="11533" width="12.85546875" style="325" customWidth="1"/>
    <col min="11534" max="11534" width="9.28515625" style="325" customWidth="1"/>
    <col min="11535" max="11766" width="9.140625" style="325"/>
    <col min="11767" max="11767" width="6.7109375" style="325" customWidth="1"/>
    <col min="11768" max="11768" width="7.85546875" style="325" customWidth="1"/>
    <col min="11769" max="11769" width="12.140625" style="325" customWidth="1"/>
    <col min="11770" max="11770" width="10.28515625" style="325" customWidth="1"/>
    <col min="11771" max="11771" width="8.28515625" style="325" customWidth="1"/>
    <col min="11772" max="11772" width="8.7109375" style="325" customWidth="1"/>
    <col min="11773" max="11773" width="9.85546875" style="325" customWidth="1"/>
    <col min="11774" max="11774" width="8.85546875" style="325" customWidth="1"/>
    <col min="11775" max="11775" width="8.7109375" style="325" customWidth="1"/>
    <col min="11776" max="11776" width="9.28515625" style="325" customWidth="1"/>
    <col min="11777" max="11777" width="8.85546875" style="325" customWidth="1"/>
    <col min="11778" max="11778" width="8.7109375" style="325" customWidth="1"/>
    <col min="11779" max="11779" width="9.5703125" style="325" customWidth="1"/>
    <col min="11780" max="11780" width="8.85546875" style="325" customWidth="1"/>
    <col min="11781" max="11781" width="11.140625" style="325" customWidth="1"/>
    <col min="11782" max="11782" width="10.140625" style="325" customWidth="1"/>
    <col min="11783" max="11783" width="13.7109375" style="325" customWidth="1"/>
    <col min="11784" max="11784" width="10.140625" style="325" customWidth="1"/>
    <col min="11785" max="11785" width="11" style="325" customWidth="1"/>
    <col min="11786" max="11786" width="11.7109375" style="325" customWidth="1"/>
    <col min="11787" max="11787" width="12.28515625" style="325" customWidth="1"/>
    <col min="11788" max="11788" width="9.7109375" style="325" customWidth="1"/>
    <col min="11789" max="11789" width="12.85546875" style="325" customWidth="1"/>
    <col min="11790" max="11790" width="9.28515625" style="325" customWidth="1"/>
    <col min="11791" max="12022" width="9.140625" style="325"/>
    <col min="12023" max="12023" width="6.7109375" style="325" customWidth="1"/>
    <col min="12024" max="12024" width="7.85546875" style="325" customWidth="1"/>
    <col min="12025" max="12025" width="12.140625" style="325" customWidth="1"/>
    <col min="12026" max="12026" width="10.28515625" style="325" customWidth="1"/>
    <col min="12027" max="12027" width="8.28515625" style="325" customWidth="1"/>
    <col min="12028" max="12028" width="8.7109375" style="325" customWidth="1"/>
    <col min="12029" max="12029" width="9.85546875" style="325" customWidth="1"/>
    <col min="12030" max="12030" width="8.85546875" style="325" customWidth="1"/>
    <col min="12031" max="12031" width="8.7109375" style="325" customWidth="1"/>
    <col min="12032" max="12032" width="9.28515625" style="325" customWidth="1"/>
    <col min="12033" max="12033" width="8.85546875" style="325" customWidth="1"/>
    <col min="12034" max="12034" width="8.7109375" style="325" customWidth="1"/>
    <col min="12035" max="12035" width="9.5703125" style="325" customWidth="1"/>
    <col min="12036" max="12036" width="8.85546875" style="325" customWidth="1"/>
    <col min="12037" max="12037" width="11.140625" style="325" customWidth="1"/>
    <col min="12038" max="12038" width="10.140625" style="325" customWidth="1"/>
    <col min="12039" max="12039" width="13.7109375" style="325" customWidth="1"/>
    <col min="12040" max="12040" width="10.140625" style="325" customWidth="1"/>
    <col min="12041" max="12041" width="11" style="325" customWidth="1"/>
    <col min="12042" max="12042" width="11.7109375" style="325" customWidth="1"/>
    <col min="12043" max="12043" width="12.28515625" style="325" customWidth="1"/>
    <col min="12044" max="12044" width="9.7109375" style="325" customWidth="1"/>
    <col min="12045" max="12045" width="12.85546875" style="325" customWidth="1"/>
    <col min="12046" max="12046" width="9.28515625" style="325" customWidth="1"/>
    <col min="12047" max="12278" width="9.140625" style="325"/>
    <col min="12279" max="12279" width="6.7109375" style="325" customWidth="1"/>
    <col min="12280" max="12280" width="7.85546875" style="325" customWidth="1"/>
    <col min="12281" max="12281" width="12.140625" style="325" customWidth="1"/>
    <col min="12282" max="12282" width="10.28515625" style="325" customWidth="1"/>
    <col min="12283" max="12283" width="8.28515625" style="325" customWidth="1"/>
    <col min="12284" max="12284" width="8.7109375" style="325" customWidth="1"/>
    <col min="12285" max="12285" width="9.85546875" style="325" customWidth="1"/>
    <col min="12286" max="12286" width="8.85546875" style="325" customWidth="1"/>
    <col min="12287" max="12287" width="8.7109375" style="325" customWidth="1"/>
    <col min="12288" max="12288" width="9.28515625" style="325" customWidth="1"/>
    <col min="12289" max="12289" width="8.85546875" style="325" customWidth="1"/>
    <col min="12290" max="12290" width="8.7109375" style="325" customWidth="1"/>
    <col min="12291" max="12291" width="9.5703125" style="325" customWidth="1"/>
    <col min="12292" max="12292" width="8.85546875" style="325" customWidth="1"/>
    <col min="12293" max="12293" width="11.140625" style="325" customWidth="1"/>
    <col min="12294" max="12294" width="10.140625" style="325" customWidth="1"/>
    <col min="12295" max="12295" width="13.7109375" style="325" customWidth="1"/>
    <col min="12296" max="12296" width="10.140625" style="325" customWidth="1"/>
    <col min="12297" max="12297" width="11" style="325" customWidth="1"/>
    <col min="12298" max="12298" width="11.7109375" style="325" customWidth="1"/>
    <col min="12299" max="12299" width="12.28515625" style="325" customWidth="1"/>
    <col min="12300" max="12300" width="9.7109375" style="325" customWidth="1"/>
    <col min="12301" max="12301" width="12.85546875" style="325" customWidth="1"/>
    <col min="12302" max="12302" width="9.28515625" style="325" customWidth="1"/>
    <col min="12303" max="12534" width="9.140625" style="325"/>
    <col min="12535" max="12535" width="6.7109375" style="325" customWidth="1"/>
    <col min="12536" max="12536" width="7.85546875" style="325" customWidth="1"/>
    <col min="12537" max="12537" width="12.140625" style="325" customWidth="1"/>
    <col min="12538" max="12538" width="10.28515625" style="325" customWidth="1"/>
    <col min="12539" max="12539" width="8.28515625" style="325" customWidth="1"/>
    <col min="12540" max="12540" width="8.7109375" style="325" customWidth="1"/>
    <col min="12541" max="12541" width="9.85546875" style="325" customWidth="1"/>
    <col min="12542" max="12542" width="8.85546875" style="325" customWidth="1"/>
    <col min="12543" max="12543" width="8.7109375" style="325" customWidth="1"/>
    <col min="12544" max="12544" width="9.28515625" style="325" customWidth="1"/>
    <col min="12545" max="12545" width="8.85546875" style="325" customWidth="1"/>
    <col min="12546" max="12546" width="8.7109375" style="325" customWidth="1"/>
    <col min="12547" max="12547" width="9.5703125" style="325" customWidth="1"/>
    <col min="12548" max="12548" width="8.85546875" style="325" customWidth="1"/>
    <col min="12549" max="12549" width="11.140625" style="325" customWidth="1"/>
    <col min="12550" max="12550" width="10.140625" style="325" customWidth="1"/>
    <col min="12551" max="12551" width="13.7109375" style="325" customWidth="1"/>
    <col min="12552" max="12552" width="10.140625" style="325" customWidth="1"/>
    <col min="12553" max="12553" width="11" style="325" customWidth="1"/>
    <col min="12554" max="12554" width="11.7109375" style="325" customWidth="1"/>
    <col min="12555" max="12555" width="12.28515625" style="325" customWidth="1"/>
    <col min="12556" max="12556" width="9.7109375" style="325" customWidth="1"/>
    <col min="12557" max="12557" width="12.85546875" style="325" customWidth="1"/>
    <col min="12558" max="12558" width="9.28515625" style="325" customWidth="1"/>
    <col min="12559" max="12790" width="9.140625" style="325"/>
    <col min="12791" max="12791" width="6.7109375" style="325" customWidth="1"/>
    <col min="12792" max="12792" width="7.85546875" style="325" customWidth="1"/>
    <col min="12793" max="12793" width="12.140625" style="325" customWidth="1"/>
    <col min="12794" max="12794" width="10.28515625" style="325" customWidth="1"/>
    <col min="12795" max="12795" width="8.28515625" style="325" customWidth="1"/>
    <col min="12796" max="12796" width="8.7109375" style="325" customWidth="1"/>
    <col min="12797" max="12797" width="9.85546875" style="325" customWidth="1"/>
    <col min="12798" max="12798" width="8.85546875" style="325" customWidth="1"/>
    <col min="12799" max="12799" width="8.7109375" style="325" customWidth="1"/>
    <col min="12800" max="12800" width="9.28515625" style="325" customWidth="1"/>
    <col min="12801" max="12801" width="8.85546875" style="325" customWidth="1"/>
    <col min="12802" max="12802" width="8.7109375" style="325" customWidth="1"/>
    <col min="12803" max="12803" width="9.5703125" style="325" customWidth="1"/>
    <col min="12804" max="12804" width="8.85546875" style="325" customWidth="1"/>
    <col min="12805" max="12805" width="11.140625" style="325" customWidth="1"/>
    <col min="12806" max="12806" width="10.140625" style="325" customWidth="1"/>
    <col min="12807" max="12807" width="13.7109375" style="325" customWidth="1"/>
    <col min="12808" max="12808" width="10.140625" style="325" customWidth="1"/>
    <col min="12809" max="12809" width="11" style="325" customWidth="1"/>
    <col min="12810" max="12810" width="11.7109375" style="325" customWidth="1"/>
    <col min="12811" max="12811" width="12.28515625" style="325" customWidth="1"/>
    <col min="12812" max="12812" width="9.7109375" style="325" customWidth="1"/>
    <col min="12813" max="12813" width="12.85546875" style="325" customWidth="1"/>
    <col min="12814" max="12814" width="9.28515625" style="325" customWidth="1"/>
    <col min="12815" max="13046" width="9.140625" style="325"/>
    <col min="13047" max="13047" width="6.7109375" style="325" customWidth="1"/>
    <col min="13048" max="13048" width="7.85546875" style="325" customWidth="1"/>
    <col min="13049" max="13049" width="12.140625" style="325" customWidth="1"/>
    <col min="13050" max="13050" width="10.28515625" style="325" customWidth="1"/>
    <col min="13051" max="13051" width="8.28515625" style="325" customWidth="1"/>
    <col min="13052" max="13052" width="8.7109375" style="325" customWidth="1"/>
    <col min="13053" max="13053" width="9.85546875" style="325" customWidth="1"/>
    <col min="13054" max="13054" width="8.85546875" style="325" customWidth="1"/>
    <col min="13055" max="13055" width="8.7109375" style="325" customWidth="1"/>
    <col min="13056" max="13056" width="9.28515625" style="325" customWidth="1"/>
    <col min="13057" max="13057" width="8.85546875" style="325" customWidth="1"/>
    <col min="13058" max="13058" width="8.7109375" style="325" customWidth="1"/>
    <col min="13059" max="13059" width="9.5703125" style="325" customWidth="1"/>
    <col min="13060" max="13060" width="8.85546875" style="325" customWidth="1"/>
    <col min="13061" max="13061" width="11.140625" style="325" customWidth="1"/>
    <col min="13062" max="13062" width="10.140625" style="325" customWidth="1"/>
    <col min="13063" max="13063" width="13.7109375" style="325" customWidth="1"/>
    <col min="13064" max="13064" width="10.140625" style="325" customWidth="1"/>
    <col min="13065" max="13065" width="11" style="325" customWidth="1"/>
    <col min="13066" max="13066" width="11.7109375" style="325" customWidth="1"/>
    <col min="13067" max="13067" width="12.28515625" style="325" customWidth="1"/>
    <col min="13068" max="13068" width="9.7109375" style="325" customWidth="1"/>
    <col min="13069" max="13069" width="12.85546875" style="325" customWidth="1"/>
    <col min="13070" max="13070" width="9.28515625" style="325" customWidth="1"/>
    <col min="13071" max="13302" width="9.140625" style="325"/>
    <col min="13303" max="13303" width="6.7109375" style="325" customWidth="1"/>
    <col min="13304" max="13304" width="7.85546875" style="325" customWidth="1"/>
    <col min="13305" max="13305" width="12.140625" style="325" customWidth="1"/>
    <col min="13306" max="13306" width="10.28515625" style="325" customWidth="1"/>
    <col min="13307" max="13307" width="8.28515625" style="325" customWidth="1"/>
    <col min="13308" max="13308" width="8.7109375" style="325" customWidth="1"/>
    <col min="13309" max="13309" width="9.85546875" style="325" customWidth="1"/>
    <col min="13310" max="13310" width="8.85546875" style="325" customWidth="1"/>
    <col min="13311" max="13311" width="8.7109375" style="325" customWidth="1"/>
    <col min="13312" max="13312" width="9.28515625" style="325" customWidth="1"/>
    <col min="13313" max="13313" width="8.85546875" style="325" customWidth="1"/>
    <col min="13314" max="13314" width="8.7109375" style="325" customWidth="1"/>
    <col min="13315" max="13315" width="9.5703125" style="325" customWidth="1"/>
    <col min="13316" max="13316" width="8.85546875" style="325" customWidth="1"/>
    <col min="13317" max="13317" width="11.140625" style="325" customWidth="1"/>
    <col min="13318" max="13318" width="10.140625" style="325" customWidth="1"/>
    <col min="13319" max="13319" width="13.7109375" style="325" customWidth="1"/>
    <col min="13320" max="13320" width="10.140625" style="325" customWidth="1"/>
    <col min="13321" max="13321" width="11" style="325" customWidth="1"/>
    <col min="13322" max="13322" width="11.7109375" style="325" customWidth="1"/>
    <col min="13323" max="13323" width="12.28515625" style="325" customWidth="1"/>
    <col min="13324" max="13324" width="9.7109375" style="325" customWidth="1"/>
    <col min="13325" max="13325" width="12.85546875" style="325" customWidth="1"/>
    <col min="13326" max="13326" width="9.28515625" style="325" customWidth="1"/>
    <col min="13327" max="13558" width="9.140625" style="325"/>
    <col min="13559" max="13559" width="6.7109375" style="325" customWidth="1"/>
    <col min="13560" max="13560" width="7.85546875" style="325" customWidth="1"/>
    <col min="13561" max="13561" width="12.140625" style="325" customWidth="1"/>
    <col min="13562" max="13562" width="10.28515625" style="325" customWidth="1"/>
    <col min="13563" max="13563" width="8.28515625" style="325" customWidth="1"/>
    <col min="13564" max="13564" width="8.7109375" style="325" customWidth="1"/>
    <col min="13565" max="13565" width="9.85546875" style="325" customWidth="1"/>
    <col min="13566" max="13566" width="8.85546875" style="325" customWidth="1"/>
    <col min="13567" max="13567" width="8.7109375" style="325" customWidth="1"/>
    <col min="13568" max="13568" width="9.28515625" style="325" customWidth="1"/>
    <col min="13569" max="13569" width="8.85546875" style="325" customWidth="1"/>
    <col min="13570" max="13570" width="8.7109375" style="325" customWidth="1"/>
    <col min="13571" max="13571" width="9.5703125" style="325" customWidth="1"/>
    <col min="13572" max="13572" width="8.85546875" style="325" customWidth="1"/>
    <col min="13573" max="13573" width="11.140625" style="325" customWidth="1"/>
    <col min="13574" max="13574" width="10.140625" style="325" customWidth="1"/>
    <col min="13575" max="13575" width="13.7109375" style="325" customWidth="1"/>
    <col min="13576" max="13576" width="10.140625" style="325" customWidth="1"/>
    <col min="13577" max="13577" width="11" style="325" customWidth="1"/>
    <col min="13578" max="13578" width="11.7109375" style="325" customWidth="1"/>
    <col min="13579" max="13579" width="12.28515625" style="325" customWidth="1"/>
    <col min="13580" max="13580" width="9.7109375" style="325" customWidth="1"/>
    <col min="13581" max="13581" width="12.85546875" style="325" customWidth="1"/>
    <col min="13582" max="13582" width="9.28515625" style="325" customWidth="1"/>
    <col min="13583" max="13814" width="9.140625" style="325"/>
    <col min="13815" max="13815" width="6.7109375" style="325" customWidth="1"/>
    <col min="13816" max="13816" width="7.85546875" style="325" customWidth="1"/>
    <col min="13817" max="13817" width="12.140625" style="325" customWidth="1"/>
    <col min="13818" max="13818" width="10.28515625" style="325" customWidth="1"/>
    <col min="13819" max="13819" width="8.28515625" style="325" customWidth="1"/>
    <col min="13820" max="13820" width="8.7109375" style="325" customWidth="1"/>
    <col min="13821" max="13821" width="9.85546875" style="325" customWidth="1"/>
    <col min="13822" max="13822" width="8.85546875" style="325" customWidth="1"/>
    <col min="13823" max="13823" width="8.7109375" style="325" customWidth="1"/>
    <col min="13824" max="13824" width="9.28515625" style="325" customWidth="1"/>
    <col min="13825" max="13825" width="8.85546875" style="325" customWidth="1"/>
    <col min="13826" max="13826" width="8.7109375" style="325" customWidth="1"/>
    <col min="13827" max="13827" width="9.5703125" style="325" customWidth="1"/>
    <col min="13828" max="13828" width="8.85546875" style="325" customWidth="1"/>
    <col min="13829" max="13829" width="11.140625" style="325" customWidth="1"/>
    <col min="13830" max="13830" width="10.140625" style="325" customWidth="1"/>
    <col min="13831" max="13831" width="13.7109375" style="325" customWidth="1"/>
    <col min="13832" max="13832" width="10.140625" style="325" customWidth="1"/>
    <col min="13833" max="13833" width="11" style="325" customWidth="1"/>
    <col min="13834" max="13834" width="11.7109375" style="325" customWidth="1"/>
    <col min="13835" max="13835" width="12.28515625" style="325" customWidth="1"/>
    <col min="13836" max="13836" width="9.7109375" style="325" customWidth="1"/>
    <col min="13837" max="13837" width="12.85546875" style="325" customWidth="1"/>
    <col min="13838" max="13838" width="9.28515625" style="325" customWidth="1"/>
    <col min="13839" max="14070" width="9.140625" style="325"/>
    <col min="14071" max="14071" width="6.7109375" style="325" customWidth="1"/>
    <col min="14072" max="14072" width="7.85546875" style="325" customWidth="1"/>
    <col min="14073" max="14073" width="12.140625" style="325" customWidth="1"/>
    <col min="14074" max="14074" width="10.28515625" style="325" customWidth="1"/>
    <col min="14075" max="14075" width="8.28515625" style="325" customWidth="1"/>
    <col min="14076" max="14076" width="8.7109375" style="325" customWidth="1"/>
    <col min="14077" max="14077" width="9.85546875" style="325" customWidth="1"/>
    <col min="14078" max="14078" width="8.85546875" style="325" customWidth="1"/>
    <col min="14079" max="14079" width="8.7109375" style="325" customWidth="1"/>
    <col min="14080" max="14080" width="9.28515625" style="325" customWidth="1"/>
    <col min="14081" max="14081" width="8.85546875" style="325" customWidth="1"/>
    <col min="14082" max="14082" width="8.7109375" style="325" customWidth="1"/>
    <col min="14083" max="14083" width="9.5703125" style="325" customWidth="1"/>
    <col min="14084" max="14084" width="8.85546875" style="325" customWidth="1"/>
    <col min="14085" max="14085" width="11.140625" style="325" customWidth="1"/>
    <col min="14086" max="14086" width="10.140625" style="325" customWidth="1"/>
    <col min="14087" max="14087" width="13.7109375" style="325" customWidth="1"/>
    <col min="14088" max="14088" width="10.140625" style="325" customWidth="1"/>
    <col min="14089" max="14089" width="11" style="325" customWidth="1"/>
    <col min="14090" max="14090" width="11.7109375" style="325" customWidth="1"/>
    <col min="14091" max="14091" width="12.28515625" style="325" customWidth="1"/>
    <col min="14092" max="14092" width="9.7109375" style="325" customWidth="1"/>
    <col min="14093" max="14093" width="12.85546875" style="325" customWidth="1"/>
    <col min="14094" max="14094" width="9.28515625" style="325" customWidth="1"/>
    <col min="14095" max="14326" width="9.140625" style="325"/>
    <col min="14327" max="14327" width="6.7109375" style="325" customWidth="1"/>
    <col min="14328" max="14328" width="7.85546875" style="325" customWidth="1"/>
    <col min="14329" max="14329" width="12.140625" style="325" customWidth="1"/>
    <col min="14330" max="14330" width="10.28515625" style="325" customWidth="1"/>
    <col min="14331" max="14331" width="8.28515625" style="325" customWidth="1"/>
    <col min="14332" max="14332" width="8.7109375" style="325" customWidth="1"/>
    <col min="14333" max="14333" width="9.85546875" style="325" customWidth="1"/>
    <col min="14334" max="14334" width="8.85546875" style="325" customWidth="1"/>
    <col min="14335" max="14335" width="8.7109375" style="325" customWidth="1"/>
    <col min="14336" max="14336" width="9.28515625" style="325" customWidth="1"/>
    <col min="14337" max="14337" width="8.85546875" style="325" customWidth="1"/>
    <col min="14338" max="14338" width="8.7109375" style="325" customWidth="1"/>
    <col min="14339" max="14339" width="9.5703125" style="325" customWidth="1"/>
    <col min="14340" max="14340" width="8.85546875" style="325" customWidth="1"/>
    <col min="14341" max="14341" width="11.140625" style="325" customWidth="1"/>
    <col min="14342" max="14342" width="10.140625" style="325" customWidth="1"/>
    <col min="14343" max="14343" width="13.7109375" style="325" customWidth="1"/>
    <col min="14344" max="14344" width="10.140625" style="325" customWidth="1"/>
    <col min="14345" max="14345" width="11" style="325" customWidth="1"/>
    <col min="14346" max="14346" width="11.7109375" style="325" customWidth="1"/>
    <col min="14347" max="14347" width="12.28515625" style="325" customWidth="1"/>
    <col min="14348" max="14348" width="9.7109375" style="325" customWidth="1"/>
    <col min="14349" max="14349" width="12.85546875" style="325" customWidth="1"/>
    <col min="14350" max="14350" width="9.28515625" style="325" customWidth="1"/>
    <col min="14351" max="14582" width="9.140625" style="325"/>
    <col min="14583" max="14583" width="6.7109375" style="325" customWidth="1"/>
    <col min="14584" max="14584" width="7.85546875" style="325" customWidth="1"/>
    <col min="14585" max="14585" width="12.140625" style="325" customWidth="1"/>
    <col min="14586" max="14586" width="10.28515625" style="325" customWidth="1"/>
    <col min="14587" max="14587" width="8.28515625" style="325" customWidth="1"/>
    <col min="14588" max="14588" width="8.7109375" style="325" customWidth="1"/>
    <col min="14589" max="14589" width="9.85546875" style="325" customWidth="1"/>
    <col min="14590" max="14590" width="8.85546875" style="325" customWidth="1"/>
    <col min="14591" max="14591" width="8.7109375" style="325" customWidth="1"/>
    <col min="14592" max="14592" width="9.28515625" style="325" customWidth="1"/>
    <col min="14593" max="14593" width="8.85546875" style="325" customWidth="1"/>
    <col min="14594" max="14594" width="8.7109375" style="325" customWidth="1"/>
    <col min="14595" max="14595" width="9.5703125" style="325" customWidth="1"/>
    <col min="14596" max="14596" width="8.85546875" style="325" customWidth="1"/>
    <col min="14597" max="14597" width="11.140625" style="325" customWidth="1"/>
    <col min="14598" max="14598" width="10.140625" style="325" customWidth="1"/>
    <col min="14599" max="14599" width="13.7109375" style="325" customWidth="1"/>
    <col min="14600" max="14600" width="10.140625" style="325" customWidth="1"/>
    <col min="14601" max="14601" width="11" style="325" customWidth="1"/>
    <col min="14602" max="14602" width="11.7109375" style="325" customWidth="1"/>
    <col min="14603" max="14603" width="12.28515625" style="325" customWidth="1"/>
    <col min="14604" max="14604" width="9.7109375" style="325" customWidth="1"/>
    <col min="14605" max="14605" width="12.85546875" style="325" customWidth="1"/>
    <col min="14606" max="14606" width="9.28515625" style="325" customWidth="1"/>
    <col min="14607" max="14838" width="9.140625" style="325"/>
    <col min="14839" max="14839" width="6.7109375" style="325" customWidth="1"/>
    <col min="14840" max="14840" width="7.85546875" style="325" customWidth="1"/>
    <col min="14841" max="14841" width="12.140625" style="325" customWidth="1"/>
    <col min="14842" max="14842" width="10.28515625" style="325" customWidth="1"/>
    <col min="14843" max="14843" width="8.28515625" style="325" customWidth="1"/>
    <col min="14844" max="14844" width="8.7109375" style="325" customWidth="1"/>
    <col min="14845" max="14845" width="9.85546875" style="325" customWidth="1"/>
    <col min="14846" max="14846" width="8.85546875" style="325" customWidth="1"/>
    <col min="14847" max="14847" width="8.7109375" style="325" customWidth="1"/>
    <col min="14848" max="14848" width="9.28515625" style="325" customWidth="1"/>
    <col min="14849" max="14849" width="8.85546875" style="325" customWidth="1"/>
    <col min="14850" max="14850" width="8.7109375" style="325" customWidth="1"/>
    <col min="14851" max="14851" width="9.5703125" style="325" customWidth="1"/>
    <col min="14852" max="14852" width="8.85546875" style="325" customWidth="1"/>
    <col min="14853" max="14853" width="11.140625" style="325" customWidth="1"/>
    <col min="14854" max="14854" width="10.140625" style="325" customWidth="1"/>
    <col min="14855" max="14855" width="13.7109375" style="325" customWidth="1"/>
    <col min="14856" max="14856" width="10.140625" style="325" customWidth="1"/>
    <col min="14857" max="14857" width="11" style="325" customWidth="1"/>
    <col min="14858" max="14858" width="11.7109375" style="325" customWidth="1"/>
    <col min="14859" max="14859" width="12.28515625" style="325" customWidth="1"/>
    <col min="14860" max="14860" width="9.7109375" style="325" customWidth="1"/>
    <col min="14861" max="14861" width="12.85546875" style="325" customWidth="1"/>
    <col min="14862" max="14862" width="9.28515625" style="325" customWidth="1"/>
    <col min="14863" max="15094" width="9.140625" style="325"/>
    <col min="15095" max="15095" width="6.7109375" style="325" customWidth="1"/>
    <col min="15096" max="15096" width="7.85546875" style="325" customWidth="1"/>
    <col min="15097" max="15097" width="12.140625" style="325" customWidth="1"/>
    <col min="15098" max="15098" width="10.28515625" style="325" customWidth="1"/>
    <col min="15099" max="15099" width="8.28515625" style="325" customWidth="1"/>
    <col min="15100" max="15100" width="8.7109375" style="325" customWidth="1"/>
    <col min="15101" max="15101" width="9.85546875" style="325" customWidth="1"/>
    <col min="15102" max="15102" width="8.85546875" style="325" customWidth="1"/>
    <col min="15103" max="15103" width="8.7109375" style="325" customWidth="1"/>
    <col min="15104" max="15104" width="9.28515625" style="325" customWidth="1"/>
    <col min="15105" max="15105" width="8.85546875" style="325" customWidth="1"/>
    <col min="15106" max="15106" width="8.7109375" style="325" customWidth="1"/>
    <col min="15107" max="15107" width="9.5703125" style="325" customWidth="1"/>
    <col min="15108" max="15108" width="8.85546875" style="325" customWidth="1"/>
    <col min="15109" max="15109" width="11.140625" style="325" customWidth="1"/>
    <col min="15110" max="15110" width="10.140625" style="325" customWidth="1"/>
    <col min="15111" max="15111" width="13.7109375" style="325" customWidth="1"/>
    <col min="15112" max="15112" width="10.140625" style="325" customWidth="1"/>
    <col min="15113" max="15113" width="11" style="325" customWidth="1"/>
    <col min="15114" max="15114" width="11.7109375" style="325" customWidth="1"/>
    <col min="15115" max="15115" width="12.28515625" style="325" customWidth="1"/>
    <col min="15116" max="15116" width="9.7109375" style="325" customWidth="1"/>
    <col min="15117" max="15117" width="12.85546875" style="325" customWidth="1"/>
    <col min="15118" max="15118" width="9.28515625" style="325" customWidth="1"/>
    <col min="15119" max="15350" width="9.140625" style="325"/>
    <col min="15351" max="15351" width="6.7109375" style="325" customWidth="1"/>
    <col min="15352" max="15352" width="7.85546875" style="325" customWidth="1"/>
    <col min="15353" max="15353" width="12.140625" style="325" customWidth="1"/>
    <col min="15354" max="15354" width="10.28515625" style="325" customWidth="1"/>
    <col min="15355" max="15355" width="8.28515625" style="325" customWidth="1"/>
    <col min="15356" max="15356" width="8.7109375" style="325" customWidth="1"/>
    <col min="15357" max="15357" width="9.85546875" style="325" customWidth="1"/>
    <col min="15358" max="15358" width="8.85546875" style="325" customWidth="1"/>
    <col min="15359" max="15359" width="8.7109375" style="325" customWidth="1"/>
    <col min="15360" max="15360" width="9.28515625" style="325" customWidth="1"/>
    <col min="15361" max="15361" width="8.85546875" style="325" customWidth="1"/>
    <col min="15362" max="15362" width="8.7109375" style="325" customWidth="1"/>
    <col min="15363" max="15363" width="9.5703125" style="325" customWidth="1"/>
    <col min="15364" max="15364" width="8.85546875" style="325" customWidth="1"/>
    <col min="15365" max="15365" width="11.140625" style="325" customWidth="1"/>
    <col min="15366" max="15366" width="10.140625" style="325" customWidth="1"/>
    <col min="15367" max="15367" width="13.7109375" style="325" customWidth="1"/>
    <col min="15368" max="15368" width="10.140625" style="325" customWidth="1"/>
    <col min="15369" max="15369" width="11" style="325" customWidth="1"/>
    <col min="15370" max="15370" width="11.7109375" style="325" customWidth="1"/>
    <col min="15371" max="15371" width="12.28515625" style="325" customWidth="1"/>
    <col min="15372" max="15372" width="9.7109375" style="325" customWidth="1"/>
    <col min="15373" max="15373" width="12.85546875" style="325" customWidth="1"/>
    <col min="15374" max="15374" width="9.28515625" style="325" customWidth="1"/>
    <col min="15375" max="15606" width="9.140625" style="325"/>
    <col min="15607" max="15607" width="6.7109375" style="325" customWidth="1"/>
    <col min="15608" max="15608" width="7.85546875" style="325" customWidth="1"/>
    <col min="15609" max="15609" width="12.140625" style="325" customWidth="1"/>
    <col min="15610" max="15610" width="10.28515625" style="325" customWidth="1"/>
    <col min="15611" max="15611" width="8.28515625" style="325" customWidth="1"/>
    <col min="15612" max="15612" width="8.7109375" style="325" customWidth="1"/>
    <col min="15613" max="15613" width="9.85546875" style="325" customWidth="1"/>
    <col min="15614" max="15614" width="8.85546875" style="325" customWidth="1"/>
    <col min="15615" max="15615" width="8.7109375" style="325" customWidth="1"/>
    <col min="15616" max="15616" width="9.28515625" style="325" customWidth="1"/>
    <col min="15617" max="15617" width="8.85546875" style="325" customWidth="1"/>
    <col min="15618" max="15618" width="8.7109375" style="325" customWidth="1"/>
    <col min="15619" max="15619" width="9.5703125" style="325" customWidth="1"/>
    <col min="15620" max="15620" width="8.85546875" style="325" customWidth="1"/>
    <col min="15621" max="15621" width="11.140625" style="325" customWidth="1"/>
    <col min="15622" max="15622" width="10.140625" style="325" customWidth="1"/>
    <col min="15623" max="15623" width="13.7109375" style="325" customWidth="1"/>
    <col min="15624" max="15624" width="10.140625" style="325" customWidth="1"/>
    <col min="15625" max="15625" width="11" style="325" customWidth="1"/>
    <col min="15626" max="15626" width="11.7109375" style="325" customWidth="1"/>
    <col min="15627" max="15627" width="12.28515625" style="325" customWidth="1"/>
    <col min="15628" max="15628" width="9.7109375" style="325" customWidth="1"/>
    <col min="15629" max="15629" width="12.85546875" style="325" customWidth="1"/>
    <col min="15630" max="15630" width="9.28515625" style="325" customWidth="1"/>
    <col min="15631" max="15862" width="9.140625" style="325"/>
    <col min="15863" max="15863" width="6.7109375" style="325" customWidth="1"/>
    <col min="15864" max="15864" width="7.85546875" style="325" customWidth="1"/>
    <col min="15865" max="15865" width="12.140625" style="325" customWidth="1"/>
    <col min="15866" max="15866" width="10.28515625" style="325" customWidth="1"/>
    <col min="15867" max="15867" width="8.28515625" style="325" customWidth="1"/>
    <col min="15868" max="15868" width="8.7109375" style="325" customWidth="1"/>
    <col min="15869" max="15869" width="9.85546875" style="325" customWidth="1"/>
    <col min="15870" max="15870" width="8.85546875" style="325" customWidth="1"/>
    <col min="15871" max="15871" width="8.7109375" style="325" customWidth="1"/>
    <col min="15872" max="15872" width="9.28515625" style="325" customWidth="1"/>
    <col min="15873" max="15873" width="8.85546875" style="325" customWidth="1"/>
    <col min="15874" max="15874" width="8.7109375" style="325" customWidth="1"/>
    <col min="15875" max="15875" width="9.5703125" style="325" customWidth="1"/>
    <col min="15876" max="15876" width="8.85546875" style="325" customWidth="1"/>
    <col min="15877" max="15877" width="11.140625" style="325" customWidth="1"/>
    <col min="15878" max="15878" width="10.140625" style="325" customWidth="1"/>
    <col min="15879" max="15879" width="13.7109375" style="325" customWidth="1"/>
    <col min="15880" max="15880" width="10.140625" style="325" customWidth="1"/>
    <col min="15881" max="15881" width="11" style="325" customWidth="1"/>
    <col min="15882" max="15882" width="11.7109375" style="325" customWidth="1"/>
    <col min="15883" max="15883" width="12.28515625" style="325" customWidth="1"/>
    <col min="15884" max="15884" width="9.7109375" style="325" customWidth="1"/>
    <col min="15885" max="15885" width="12.85546875" style="325" customWidth="1"/>
    <col min="15886" max="15886" width="9.28515625" style="325" customWidth="1"/>
    <col min="15887" max="16118" width="9.140625" style="325"/>
    <col min="16119" max="16119" width="6.7109375" style="325" customWidth="1"/>
    <col min="16120" max="16120" width="7.85546875" style="325" customWidth="1"/>
    <col min="16121" max="16121" width="12.140625" style="325" customWidth="1"/>
    <col min="16122" max="16122" width="10.28515625" style="325" customWidth="1"/>
    <col min="16123" max="16123" width="8.28515625" style="325" customWidth="1"/>
    <col min="16124" max="16124" width="8.7109375" style="325" customWidth="1"/>
    <col min="16125" max="16125" width="9.85546875" style="325" customWidth="1"/>
    <col min="16126" max="16126" width="8.85546875" style="325" customWidth="1"/>
    <col min="16127" max="16127" width="8.7109375" style="325" customWidth="1"/>
    <col min="16128" max="16128" width="9.28515625" style="325" customWidth="1"/>
    <col min="16129" max="16129" width="8.85546875" style="325" customWidth="1"/>
    <col min="16130" max="16130" width="8.7109375" style="325" customWidth="1"/>
    <col min="16131" max="16131" width="9.5703125" style="325" customWidth="1"/>
    <col min="16132" max="16132" width="8.85546875" style="325" customWidth="1"/>
    <col min="16133" max="16133" width="11.140625" style="325" customWidth="1"/>
    <col min="16134" max="16134" width="10.140625" style="325" customWidth="1"/>
    <col min="16135" max="16135" width="13.7109375" style="325" customWidth="1"/>
    <col min="16136" max="16136" width="10.140625" style="325" customWidth="1"/>
    <col min="16137" max="16137" width="11" style="325" customWidth="1"/>
    <col min="16138" max="16138" width="11.7109375" style="325" customWidth="1"/>
    <col min="16139" max="16139" width="12.28515625" style="325" customWidth="1"/>
    <col min="16140" max="16140" width="9.7109375" style="325" customWidth="1"/>
    <col min="16141" max="16141" width="12.85546875" style="325" customWidth="1"/>
    <col min="16142" max="16142" width="9.28515625" style="325" customWidth="1"/>
    <col min="16143" max="16371" width="9.140625" style="325"/>
    <col min="16372" max="16384" width="10.140625" style="325" customWidth="1"/>
  </cols>
  <sheetData>
    <row r="1" spans="1:20" s="303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300"/>
      <c r="M1" s="301"/>
      <c r="N1" s="302"/>
    </row>
    <row r="2" spans="1:20" s="304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304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310" customFormat="1" ht="15.75" customHeight="1">
      <c r="A4" s="305" t="s">
        <v>327</v>
      </c>
      <c r="B4" s="306"/>
      <c r="C4" s="307"/>
      <c r="D4" s="307"/>
      <c r="E4" s="307"/>
      <c r="F4" s="308"/>
      <c r="G4" s="308"/>
      <c r="H4" s="308"/>
      <c r="I4" s="308"/>
      <c r="J4" s="308"/>
      <c r="K4" s="309"/>
      <c r="L4" s="310">
        <f>THKL!A8</f>
        <v>6</v>
      </c>
      <c r="Q4" s="311"/>
    </row>
    <row r="5" spans="1:20" s="310" customFormat="1" ht="15.75" customHeight="1">
      <c r="A5" s="312" t="str">
        <f>L5&amp;M5&amp;". "&amp;N5</f>
        <v>Hạng mục C.II. HỆ MẶT CẦU, LAN CAN, THẢM MẶT CẦU, THOÁT NƯỚC, KHE CO GIÃN</v>
      </c>
      <c r="B5" s="306"/>
      <c r="C5" s="307"/>
      <c r="D5" s="307"/>
      <c r="E5" s="307"/>
      <c r="F5" s="308"/>
      <c r="G5" s="308"/>
      <c r="H5" s="308"/>
      <c r="I5" s="308"/>
      <c r="J5" s="308"/>
      <c r="K5" s="309"/>
      <c r="L5" s="313" t="s">
        <v>328</v>
      </c>
      <c r="M5" s="310" t="s">
        <v>117</v>
      </c>
      <c r="N5" s="313" t="s">
        <v>176</v>
      </c>
      <c r="Q5" s="311"/>
    </row>
    <row r="6" spans="1:20" s="310" customFormat="1" ht="15.75" customHeight="1">
      <c r="A6" s="312" t="str">
        <f>L6&amp;M6&amp;". "&amp;N6</f>
        <v>Mục C.II.1.1.8. SX+LD cốt thép bản quá độ D ≤ 10</v>
      </c>
      <c r="B6" s="306"/>
      <c r="C6" s="307"/>
      <c r="D6" s="307"/>
      <c r="E6" s="307"/>
      <c r="F6" s="308"/>
      <c r="G6" s="308"/>
      <c r="H6" s="308"/>
      <c r="I6" s="308"/>
      <c r="J6" s="308"/>
      <c r="K6" s="309"/>
      <c r="L6" s="313" t="str">
        <f>"Mục C."&amp;M5&amp;"."</f>
        <v>Mục C.II.</v>
      </c>
      <c r="M6" s="310" t="s">
        <v>339</v>
      </c>
      <c r="N6" s="314" t="str">
        <f>THKLQT!C108</f>
        <v>SX+LD cốt thép bản quá độ D ≤ 10</v>
      </c>
      <c r="Q6" s="311"/>
    </row>
    <row r="7" spans="1:20" s="319" customFormat="1" ht="18.75" customHeight="1">
      <c r="A7" s="698">
        <f>I17</f>
        <v>0.05</v>
      </c>
      <c r="B7" s="699"/>
      <c r="C7" s="699"/>
      <c r="D7" s="699"/>
      <c r="E7" s="315" t="str">
        <f>"("&amp;L7&amp;")"</f>
        <v>(T)</v>
      </c>
      <c r="F7" s="316"/>
      <c r="G7" s="316"/>
      <c r="H7" s="316"/>
      <c r="I7" s="316"/>
      <c r="J7" s="316"/>
      <c r="K7" s="317"/>
      <c r="L7" s="318" t="str">
        <f>THKLQT!D108</f>
        <v>T</v>
      </c>
    </row>
    <row r="8" spans="1:20" s="323" customFormat="1" ht="15" customHeight="1" thickBot="1">
      <c r="A8" s="320"/>
      <c r="B8" s="321"/>
      <c r="C8" s="321"/>
      <c r="D8" s="321"/>
      <c r="E8" s="321"/>
      <c r="F8" s="321"/>
      <c r="G8" s="321"/>
      <c r="H8" s="321"/>
      <c r="I8" s="321"/>
      <c r="J8" s="321"/>
      <c r="K8" s="321"/>
      <c r="L8" s="322"/>
      <c r="M8" s="322"/>
      <c r="N8" s="322"/>
      <c r="O8" s="322"/>
      <c r="P8" s="322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24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327"/>
      <c r="O10" s="327"/>
      <c r="P10" s="328" t="s">
        <v>72</v>
      </c>
      <c r="Q10" s="293" t="s">
        <v>71</v>
      </c>
      <c r="R10" s="328" t="s">
        <v>2</v>
      </c>
      <c r="S10" s="328" t="s">
        <v>73</v>
      </c>
      <c r="T10" s="32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327"/>
      <c r="O11" s="327"/>
      <c r="P11" s="329">
        <f>THKL!A10</f>
        <v>7</v>
      </c>
      <c r="Q11" s="330">
        <f>P11</f>
        <v>7</v>
      </c>
      <c r="R11" s="330"/>
      <c r="S11" s="330">
        <f>THKL!A6</f>
        <v>4</v>
      </c>
      <c r="T11" s="331">
        <f>THKL!A10</f>
        <v>7</v>
      </c>
    </row>
    <row r="12" spans="1:20" s="430" customFormat="1" ht="14.25" outlineLevel="2">
      <c r="A12" s="424">
        <f>SUBTOTAL(103,$B$12:B12)</f>
        <v>1</v>
      </c>
      <c r="B12" s="425">
        <f>Q12</f>
        <v>43578</v>
      </c>
      <c r="C12" s="706" t="str">
        <f>T12</f>
        <v>SX+LD cốt thép bản quá độ D ≤ 10 A1P</v>
      </c>
      <c r="D12" s="707"/>
      <c r="E12" s="708"/>
      <c r="F12" s="449">
        <f>'[1]Ban qua do'!$G$18/1000</f>
        <v>1.1628800000000002E-2</v>
      </c>
      <c r="G12" s="450">
        <f>P12</f>
        <v>1.2E-2</v>
      </c>
      <c r="H12" s="451">
        <f>P12</f>
        <v>1.2E-2</v>
      </c>
      <c r="I12" s="439">
        <f>P12</f>
        <v>1.2E-2</v>
      </c>
      <c r="J12" s="429">
        <f>P12</f>
        <v>1.2E-2</v>
      </c>
      <c r="K12" s="700" t="s">
        <v>686</v>
      </c>
      <c r="L12" s="430" t="s">
        <v>711</v>
      </c>
      <c r="N12" s="431"/>
      <c r="O12" s="431" t="s">
        <v>342</v>
      </c>
      <c r="P12" s="432">
        <v>1.2E-2</v>
      </c>
      <c r="Q12" s="433">
        <v>43578</v>
      </c>
      <c r="R12" s="432"/>
      <c r="S12" s="432" t="e">
        <f>VLOOKUP($S$11,hamchuigoi3,M12,0)</f>
        <v>#VALUE!</v>
      </c>
      <c r="T12" s="434" t="str">
        <f>$N$6&amp;" "&amp;O12</f>
        <v>SX+LD cốt thép bản quá độ D ≤ 10 A1P</v>
      </c>
    </row>
    <row r="13" spans="1:20" s="430" customFormat="1" ht="14.25" outlineLevel="2">
      <c r="A13" s="424">
        <f>SUBTOTAL(103,$B$12:B13)</f>
        <v>2</v>
      </c>
      <c r="B13" s="425">
        <f t="shared" ref="B13:B15" si="0">Q13</f>
        <v>43579</v>
      </c>
      <c r="C13" s="706" t="str">
        <f t="shared" ref="C13:C15" si="1">T13</f>
        <v>SX+LD cốt thép bản quá độ D ≤ 10 A1T</v>
      </c>
      <c r="D13" s="707"/>
      <c r="E13" s="708"/>
      <c r="F13" s="449">
        <f>'[1]Ban qua do'!$G$11/1000</f>
        <v>1.1628800000000002E-2</v>
      </c>
      <c r="G13" s="450">
        <f t="shared" ref="G13:G15" si="2">P13</f>
        <v>1.2E-2</v>
      </c>
      <c r="H13" s="451">
        <f t="shared" ref="H13:H15" si="3">P13</f>
        <v>1.2E-2</v>
      </c>
      <c r="I13" s="454">
        <f t="shared" ref="I13:I15" si="4">P13</f>
        <v>1.2E-2</v>
      </c>
      <c r="J13" s="429">
        <f t="shared" ref="J13:J15" si="5">P13</f>
        <v>1.2E-2</v>
      </c>
      <c r="K13" s="701"/>
      <c r="N13" s="431"/>
      <c r="O13" s="431" t="s">
        <v>343</v>
      </c>
      <c r="P13" s="432">
        <v>1.2E-2</v>
      </c>
      <c r="Q13" s="433">
        <v>43579</v>
      </c>
      <c r="R13" s="432"/>
      <c r="S13" s="432" t="e">
        <f>VLOOKUP($S$11,hamchuigoi3,M13,0)</f>
        <v>#VALUE!</v>
      </c>
      <c r="T13" s="434" t="str">
        <f t="shared" ref="T13:T15" si="6">$N$6&amp;" "&amp;O13</f>
        <v>SX+LD cốt thép bản quá độ D ≤ 10 A1T</v>
      </c>
    </row>
    <row r="14" spans="1:20" s="430" customFormat="1" ht="14.25" outlineLevel="2">
      <c r="A14" s="424">
        <f>SUBTOTAL(103,$B$12:B14)</f>
        <v>3</v>
      </c>
      <c r="B14" s="425">
        <f t="shared" si="0"/>
        <v>43581</v>
      </c>
      <c r="C14" s="706" t="str">
        <f t="shared" si="1"/>
        <v>SX+LD cốt thép bản quá độ D ≤ 10 A2P</v>
      </c>
      <c r="D14" s="707"/>
      <c r="E14" s="708"/>
      <c r="F14" s="449">
        <f>'[1]Ban qua do'!$G$32/1000</f>
        <v>1.1123200000000001E-2</v>
      </c>
      <c r="G14" s="450">
        <f t="shared" si="2"/>
        <v>1.0999999999999999E-2</v>
      </c>
      <c r="H14" s="453">
        <f t="shared" si="3"/>
        <v>1.0999999999999999E-2</v>
      </c>
      <c r="I14" s="439">
        <f t="shared" si="4"/>
        <v>1.0999999999999999E-2</v>
      </c>
      <c r="J14" s="429">
        <f t="shared" si="5"/>
        <v>1.0999999999999999E-2</v>
      </c>
      <c r="K14" s="701"/>
      <c r="N14" s="431"/>
      <c r="O14" s="431" t="s">
        <v>344</v>
      </c>
      <c r="P14" s="432">
        <v>1.0999999999999999E-2</v>
      </c>
      <c r="Q14" s="433">
        <v>43581</v>
      </c>
      <c r="R14" s="432"/>
      <c r="S14" s="432" t="e">
        <f>VLOOKUP($S$11,hamchuigoi3,M14,0)</f>
        <v>#VALUE!</v>
      </c>
      <c r="T14" s="434" t="str">
        <f t="shared" si="6"/>
        <v>SX+LD cốt thép bản quá độ D ≤ 10 A2P</v>
      </c>
    </row>
    <row r="15" spans="1:20" s="430" customFormat="1" ht="14.25" outlineLevel="2">
      <c r="A15" s="424">
        <f>SUBTOTAL(103,$B$12:B15)</f>
        <v>4</v>
      </c>
      <c r="B15" s="425">
        <f t="shared" si="0"/>
        <v>43582</v>
      </c>
      <c r="C15" s="706" t="str">
        <f t="shared" si="1"/>
        <v>SX+LD cốt thép bản quá độ D ≤ 10 A2T</v>
      </c>
      <c r="D15" s="707"/>
      <c r="E15" s="708"/>
      <c r="F15" s="449">
        <f>'[1]Ban qua do'!$G$25/1000</f>
        <v>1.1123200000000001E-2</v>
      </c>
      <c r="G15" s="450">
        <f t="shared" si="2"/>
        <v>1.0999999999999999E-2</v>
      </c>
      <c r="H15" s="453">
        <f t="shared" si="3"/>
        <v>1.0999999999999999E-2</v>
      </c>
      <c r="I15" s="439">
        <f t="shared" si="4"/>
        <v>1.0999999999999999E-2</v>
      </c>
      <c r="J15" s="429">
        <f t="shared" si="5"/>
        <v>1.0999999999999999E-2</v>
      </c>
      <c r="K15" s="702"/>
      <c r="N15" s="431"/>
      <c r="O15" s="431" t="s">
        <v>345</v>
      </c>
      <c r="P15" s="432">
        <v>1.0999999999999999E-2</v>
      </c>
      <c r="Q15" s="433">
        <v>43582</v>
      </c>
      <c r="R15" s="432"/>
      <c r="S15" s="432" t="e">
        <f>VLOOKUP($S$11,hamchuigoi3,M15,0)</f>
        <v>#VALUE!</v>
      </c>
      <c r="T15" s="434" t="str">
        <f t="shared" si="6"/>
        <v>SX+LD cốt thép bản quá độ D ≤ 10 A2T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327"/>
      <c r="O16" s="327"/>
      <c r="P16" s="328"/>
      <c r="Q16" s="332"/>
      <c r="R16" s="328"/>
      <c r="S16" s="328"/>
      <c r="T16" s="333"/>
    </row>
    <row r="17" spans="1:20" thickBot="1">
      <c r="A17" s="574" t="s">
        <v>4</v>
      </c>
      <c r="B17" s="575"/>
      <c r="C17" s="575"/>
      <c r="D17" s="575"/>
      <c r="E17" s="575"/>
      <c r="F17" s="379">
        <f>'[1]Ban qua do'!$G$38/1000</f>
        <v>4.5504000000000003E-2</v>
      </c>
      <c r="G17" s="379">
        <f t="shared" ref="G17:J17" si="7">ROUND(SUM(G12:G16),2)</f>
        <v>0.05</v>
      </c>
      <c r="H17" s="379">
        <f t="shared" si="7"/>
        <v>0.05</v>
      </c>
      <c r="I17" s="379">
        <f t="shared" si="7"/>
        <v>0.05</v>
      </c>
      <c r="J17" s="79">
        <f t="shared" si="7"/>
        <v>0.05</v>
      </c>
      <c r="K17" s="80"/>
      <c r="N17" s="327"/>
      <c r="O17" s="327"/>
      <c r="P17" s="334">
        <f>SUM(P12:P12)</f>
        <v>1.2E-2</v>
      </c>
    </row>
    <row r="18" spans="1:20" s="339" customFormat="1" ht="18" customHeight="1" thickTop="1" thickBot="1">
      <c r="A18" s="294"/>
      <c r="B18" s="294"/>
      <c r="C18" s="294"/>
      <c r="D18" s="294"/>
      <c r="E18" s="294"/>
      <c r="F18" s="116"/>
      <c r="G18" s="116"/>
      <c r="H18" s="116"/>
      <c r="I18" s="116"/>
      <c r="J18" s="116"/>
      <c r="K18" s="335"/>
      <c r="L18" s="325"/>
      <c r="M18" s="325"/>
      <c r="N18" s="327"/>
      <c r="O18" s="327"/>
      <c r="P18" s="336"/>
      <c r="Q18" s="337"/>
      <c r="R18" s="337"/>
      <c r="S18" s="337"/>
      <c r="T18" s="338"/>
    </row>
    <row r="19" spans="1:20" s="326" customFormat="1" ht="13.9" customHeight="1" thickTop="1">
      <c r="A19" s="693" t="s">
        <v>68</v>
      </c>
      <c r="B19" s="694"/>
      <c r="C19" s="694"/>
      <c r="D19" s="694"/>
      <c r="E19" s="694"/>
      <c r="F19" s="695" t="s">
        <v>69</v>
      </c>
      <c r="G19" s="695"/>
      <c r="H19" s="695"/>
      <c r="I19" s="696"/>
      <c r="J19" s="696"/>
      <c r="K19" s="697"/>
      <c r="L19" s="325"/>
      <c r="M19" s="325"/>
      <c r="N19" s="325"/>
      <c r="O19" s="325"/>
      <c r="P19" s="325"/>
    </row>
    <row r="20" spans="1:20" s="326" customFormat="1" ht="13.9" customHeight="1">
      <c r="A20" s="663" t="s">
        <v>5</v>
      </c>
      <c r="B20" s="664"/>
      <c r="C20" s="664"/>
      <c r="D20" s="664"/>
      <c r="E20" s="664"/>
      <c r="F20" s="665" t="s">
        <v>6</v>
      </c>
      <c r="G20" s="665"/>
      <c r="H20" s="665"/>
      <c r="I20" s="666"/>
      <c r="J20" s="666"/>
      <c r="K20" s="667"/>
      <c r="L20" s="325"/>
      <c r="M20" s="325"/>
      <c r="N20" s="325"/>
      <c r="O20" s="325"/>
      <c r="P20" s="325"/>
    </row>
    <row r="21" spans="1:20" s="326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325"/>
      <c r="M21" s="325"/>
      <c r="N21" s="325"/>
      <c r="O21" s="325"/>
      <c r="P21" s="325"/>
    </row>
    <row r="22" spans="1:20" s="326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325"/>
      <c r="M22" s="325"/>
      <c r="N22" s="325"/>
      <c r="O22" s="325"/>
      <c r="P22" s="325"/>
    </row>
    <row r="23" spans="1:20" s="326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325"/>
      <c r="M23" s="325"/>
      <c r="N23" s="325"/>
      <c r="O23" s="325"/>
      <c r="P23" s="325"/>
    </row>
    <row r="24" spans="1:20" s="326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325"/>
      <c r="M24" s="325"/>
      <c r="N24" s="325"/>
      <c r="O24" s="325"/>
      <c r="P24" s="325"/>
    </row>
    <row r="25" spans="1:20" s="326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325"/>
      <c r="M25" s="325"/>
      <c r="N25" s="325"/>
      <c r="O25" s="325"/>
      <c r="P25" s="325"/>
    </row>
    <row r="26" spans="1:20" s="326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325"/>
      <c r="M26" s="325"/>
      <c r="N26" s="325"/>
      <c r="O26" s="325"/>
      <c r="P26" s="325"/>
    </row>
    <row r="27" spans="1:20" s="326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325"/>
      <c r="M27" s="325"/>
      <c r="N27" s="325"/>
      <c r="O27" s="325"/>
      <c r="P27" s="325"/>
    </row>
    <row r="28" spans="1:20" s="339" customFormat="1" ht="18" customHeight="1" thickTop="1">
      <c r="A28" s="294"/>
      <c r="B28" s="294"/>
      <c r="C28" s="294"/>
      <c r="D28" s="294"/>
      <c r="E28" s="294"/>
      <c r="F28" s="116"/>
      <c r="G28" s="116"/>
      <c r="H28" s="116"/>
      <c r="I28" s="116"/>
      <c r="J28" s="116"/>
      <c r="K28" s="335"/>
      <c r="L28" s="327"/>
      <c r="M28" s="327"/>
      <c r="N28" s="327"/>
      <c r="O28" s="327"/>
      <c r="P28" s="336"/>
      <c r="Q28" s="337"/>
      <c r="R28" s="337"/>
      <c r="S28" s="337"/>
      <c r="T28" s="338"/>
    </row>
    <row r="29" spans="1:20" s="303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300"/>
      <c r="M29" s="301"/>
      <c r="N29" s="302"/>
    </row>
    <row r="30" spans="1:20" s="304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339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340"/>
      <c r="M31" s="341"/>
      <c r="N31" s="340"/>
      <c r="O31" s="340"/>
      <c r="P31" s="340"/>
      <c r="Q31" s="340"/>
      <c r="R31" s="340"/>
      <c r="S31" s="340"/>
      <c r="T31" s="340"/>
    </row>
    <row r="32" spans="1:20" s="339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340"/>
      <c r="M32" s="341"/>
      <c r="N32" s="340"/>
      <c r="O32" s="340"/>
      <c r="P32" s="340"/>
      <c r="Q32" s="340"/>
      <c r="R32" s="340"/>
      <c r="S32" s="340"/>
      <c r="T32" s="340"/>
    </row>
    <row r="33" spans="1:20" s="339" customFormat="1" ht="15.95" customHeight="1">
      <c r="A33" s="680" t="str">
        <f>A4</f>
        <v>PHẦN C.: CẦU VƯỢT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2"/>
      <c r="L33" s="340"/>
      <c r="M33" s="341"/>
      <c r="N33" s="340"/>
      <c r="O33" s="340"/>
      <c r="P33" s="340"/>
      <c r="Q33" s="340"/>
      <c r="R33" s="340"/>
      <c r="S33" s="340"/>
      <c r="T33" s="340"/>
    </row>
    <row r="34" spans="1:20" s="339" customFormat="1" ht="15.95" customHeight="1">
      <c r="A34" s="342" t="str">
        <f>A5</f>
        <v>Hạng mục C.II. HỆ MẶT CẦU, LAN CAN, THẢM MẶT CẦU, THOÁT NƯỚC, KHE CO GIÃN</v>
      </c>
      <c r="B34" s="343"/>
      <c r="C34" s="344"/>
      <c r="D34" s="344"/>
      <c r="E34" s="345"/>
      <c r="F34" s="346"/>
      <c r="G34" s="346"/>
      <c r="H34" s="346"/>
      <c r="I34" s="346"/>
      <c r="J34" s="346"/>
      <c r="K34" s="347"/>
      <c r="L34" s="340"/>
      <c r="M34" s="341"/>
      <c r="N34" s="340"/>
      <c r="O34" s="340"/>
      <c r="P34" s="340"/>
      <c r="Q34" s="340"/>
      <c r="R34" s="340"/>
      <c r="S34" s="340"/>
      <c r="T34" s="340"/>
    </row>
    <row r="35" spans="1:20" s="339" customFormat="1" ht="15.95" customHeight="1">
      <c r="A35" s="342" t="str">
        <f>A6</f>
        <v>Mục C.II.1.1.8. SX+LD cốt thép bản quá độ D ≤ 10</v>
      </c>
      <c r="B35" s="343"/>
      <c r="C35" s="344"/>
      <c r="D35" s="344"/>
      <c r="E35" s="345"/>
      <c r="F35" s="346"/>
      <c r="G35" s="346"/>
      <c r="H35" s="346"/>
      <c r="I35" s="346"/>
      <c r="J35" s="346"/>
      <c r="K35" s="347"/>
      <c r="L35" s="340"/>
      <c r="M35" s="341"/>
      <c r="N35" s="340"/>
      <c r="O35" s="340"/>
      <c r="P35" s="340"/>
      <c r="Q35" s="340"/>
      <c r="R35" s="340"/>
      <c r="S35" s="340"/>
      <c r="T35" s="340"/>
    </row>
    <row r="36" spans="1:20" s="339" customFormat="1" ht="15.95" customHeight="1">
      <c r="A36" s="683">
        <f>A7</f>
        <v>0.05</v>
      </c>
      <c r="B36" s="684"/>
      <c r="C36" s="684"/>
      <c r="D36" s="684"/>
      <c r="E36" s="348" t="str">
        <f>E7</f>
        <v>(T)</v>
      </c>
      <c r="F36" s="349"/>
      <c r="G36" s="349"/>
      <c r="H36" s="349"/>
      <c r="I36" s="349"/>
      <c r="J36" s="349"/>
      <c r="K36" s="350"/>
      <c r="L36" s="351"/>
      <c r="M36" s="352"/>
      <c r="N36" s="353"/>
      <c r="P36" s="353"/>
    </row>
    <row r="37" spans="1:20" s="326" customFormat="1" ht="13.5" customHeight="1" thickBot="1">
      <c r="A37" s="354"/>
      <c r="B37" s="354"/>
      <c r="C37" s="354"/>
      <c r="D37" s="354"/>
      <c r="E37" s="354"/>
      <c r="F37" s="355"/>
      <c r="G37" s="355"/>
      <c r="H37" s="355"/>
      <c r="I37" s="355"/>
      <c r="J37" s="355"/>
      <c r="K37" s="356"/>
      <c r="L37" s="357"/>
      <c r="M37" s="358"/>
      <c r="N37" s="325"/>
      <c r="O37" s="325"/>
      <c r="P37" s="325"/>
      <c r="R37" s="325"/>
      <c r="S37" s="325"/>
      <c r="T37" s="325"/>
    </row>
    <row r="38" spans="1:20" s="326" customFormat="1" ht="21.6" customHeight="1" thickTop="1">
      <c r="A38" s="685" t="s">
        <v>3</v>
      </c>
      <c r="B38" s="687" t="s">
        <v>84</v>
      </c>
      <c r="C38" s="687"/>
      <c r="D38" s="689" t="s">
        <v>96</v>
      </c>
      <c r="E38" s="689"/>
      <c r="F38" s="689"/>
      <c r="G38" s="689"/>
      <c r="H38" s="687" t="s">
        <v>89</v>
      </c>
      <c r="I38" s="687"/>
      <c r="J38" s="687" t="s">
        <v>85</v>
      </c>
      <c r="K38" s="691"/>
      <c r="L38" s="359"/>
      <c r="M38" s="360"/>
      <c r="N38" s="360"/>
      <c r="O38" s="361"/>
      <c r="P38" s="362"/>
    </row>
    <row r="39" spans="1:20" s="326" customFormat="1" ht="21.6" customHeight="1">
      <c r="A39" s="686"/>
      <c r="B39" s="688"/>
      <c r="C39" s="688"/>
      <c r="D39" s="690"/>
      <c r="E39" s="690"/>
      <c r="F39" s="690"/>
      <c r="G39" s="690"/>
      <c r="H39" s="688"/>
      <c r="I39" s="688"/>
      <c r="J39" s="688"/>
      <c r="K39" s="692"/>
      <c r="L39" s="359"/>
      <c r="M39" s="363"/>
      <c r="N39" s="363"/>
      <c r="O39" s="364"/>
      <c r="P39" s="365"/>
    </row>
    <row r="40" spans="1:20" s="326" customFormat="1" ht="17.100000000000001" customHeight="1">
      <c r="A40" s="366">
        <v>1</v>
      </c>
      <c r="B40" s="676" t="str">
        <f>"Tháng "&amp;IF(L40&lt;10,0&amp;L40&amp;"/"&amp;M40,L40&amp;"/"&amp;M40)</f>
        <v>Tháng 08/2017</v>
      </c>
      <c r="C40" s="676"/>
      <c r="D40" s="677" t="str">
        <f>N6</f>
        <v>SX+LD cốt thép bản quá độ D ≤ 10</v>
      </c>
      <c r="E40" s="677"/>
      <c r="F40" s="677"/>
      <c r="G40" s="677"/>
      <c r="H40" s="678">
        <f t="shared" ref="H40:H63" si="8">+SUMIFS($I$12:$I$16,$B$12:$B$16,"&gt;="&amp;$O40,$B$12:$B$16,"&lt;="&amp;$P40)</f>
        <v>0</v>
      </c>
      <c r="I40" s="678"/>
      <c r="J40" s="676"/>
      <c r="K40" s="679"/>
      <c r="L40" s="359">
        <v>8</v>
      </c>
      <c r="M40" s="367">
        <v>2017</v>
      </c>
      <c r="N40" s="363"/>
      <c r="O40" s="368">
        <f t="shared" ref="O40:O64" si="9">DATE(M40,L40,1)</f>
        <v>42948</v>
      </c>
      <c r="P40" s="368">
        <f t="shared" ref="P40:P64" si="10">DATE(M40,L40+1,0)</f>
        <v>42978</v>
      </c>
    </row>
    <row r="41" spans="1:20" s="326" customFormat="1" ht="17.100000000000001" customHeight="1">
      <c r="A41" s="369">
        <v>2</v>
      </c>
      <c r="B41" s="668" t="str">
        <f t="shared" ref="B41:B65" si="11">"Tháng "&amp;IF(L41&lt;10,0&amp;L41&amp;"/"&amp;M41,L41&amp;"/"&amp;M41)</f>
        <v>Tháng 09/2017</v>
      </c>
      <c r="C41" s="668"/>
      <c r="D41" s="669" t="str">
        <f>D40</f>
        <v>SX+LD cốt thép bản quá độ D ≤ 10</v>
      </c>
      <c r="E41" s="669"/>
      <c r="F41" s="669"/>
      <c r="G41" s="669"/>
      <c r="H41" s="670">
        <f t="shared" si="8"/>
        <v>0</v>
      </c>
      <c r="I41" s="670"/>
      <c r="J41" s="668"/>
      <c r="K41" s="671"/>
      <c r="L41" s="359">
        <v>9</v>
      </c>
      <c r="M41" s="367">
        <v>2017</v>
      </c>
      <c r="N41" s="359"/>
      <c r="O41" s="368">
        <f t="shared" si="9"/>
        <v>42979</v>
      </c>
      <c r="P41" s="368">
        <f t="shared" si="10"/>
        <v>43008</v>
      </c>
    </row>
    <row r="42" spans="1:20" s="326" customFormat="1" ht="17.100000000000001" customHeight="1">
      <c r="A42" s="369">
        <f>A41+1</f>
        <v>3</v>
      </c>
      <c r="B42" s="668" t="str">
        <f t="shared" si="11"/>
        <v>Tháng 10/2017</v>
      </c>
      <c r="C42" s="668"/>
      <c r="D42" s="669" t="str">
        <f t="shared" ref="D42:D64" si="12">D41</f>
        <v>SX+LD cốt thép bản quá độ D ≤ 10</v>
      </c>
      <c r="E42" s="669"/>
      <c r="F42" s="669"/>
      <c r="G42" s="669"/>
      <c r="H42" s="670">
        <f t="shared" si="8"/>
        <v>0</v>
      </c>
      <c r="I42" s="670"/>
      <c r="J42" s="668"/>
      <c r="K42" s="671"/>
      <c r="L42" s="359">
        <v>10</v>
      </c>
      <c r="M42" s="367">
        <v>2017</v>
      </c>
      <c r="N42" s="359"/>
      <c r="O42" s="368">
        <f t="shared" si="9"/>
        <v>43009</v>
      </c>
      <c r="P42" s="368">
        <f t="shared" si="10"/>
        <v>43039</v>
      </c>
    </row>
    <row r="43" spans="1:20" s="326" customFormat="1" ht="17.100000000000001" customHeight="1">
      <c r="A43" s="369">
        <f t="shared" ref="A43:A65" si="13">A42+1</f>
        <v>4</v>
      </c>
      <c r="B43" s="668" t="str">
        <f t="shared" si="11"/>
        <v>Tháng 11/2017</v>
      </c>
      <c r="C43" s="668"/>
      <c r="D43" s="669" t="str">
        <f t="shared" si="12"/>
        <v>SX+LD cốt thép bản quá độ D ≤ 10</v>
      </c>
      <c r="E43" s="669"/>
      <c r="F43" s="669"/>
      <c r="G43" s="669"/>
      <c r="H43" s="670">
        <f t="shared" si="8"/>
        <v>0</v>
      </c>
      <c r="I43" s="670"/>
      <c r="J43" s="668"/>
      <c r="K43" s="671"/>
      <c r="L43" s="359">
        <v>11</v>
      </c>
      <c r="M43" s="367">
        <v>2017</v>
      </c>
      <c r="N43" s="359"/>
      <c r="O43" s="368">
        <f t="shared" si="9"/>
        <v>43040</v>
      </c>
      <c r="P43" s="368">
        <f t="shared" si="10"/>
        <v>43069</v>
      </c>
    </row>
    <row r="44" spans="1:20" s="326" customFormat="1" ht="17.100000000000001" customHeight="1">
      <c r="A44" s="369">
        <f t="shared" si="13"/>
        <v>5</v>
      </c>
      <c r="B44" s="668" t="str">
        <f t="shared" si="11"/>
        <v>Tháng 12/2017</v>
      </c>
      <c r="C44" s="668"/>
      <c r="D44" s="669" t="str">
        <f t="shared" si="12"/>
        <v>SX+LD cốt thép bản quá độ D ≤ 10</v>
      </c>
      <c r="E44" s="669"/>
      <c r="F44" s="669"/>
      <c r="G44" s="669"/>
      <c r="H44" s="670">
        <f t="shared" si="8"/>
        <v>0</v>
      </c>
      <c r="I44" s="670"/>
      <c r="J44" s="668"/>
      <c r="K44" s="671"/>
      <c r="L44" s="359">
        <v>12</v>
      </c>
      <c r="M44" s="367">
        <v>2017</v>
      </c>
      <c r="N44" s="359"/>
      <c r="O44" s="368">
        <f t="shared" si="9"/>
        <v>43070</v>
      </c>
      <c r="P44" s="368">
        <f t="shared" si="10"/>
        <v>43100</v>
      </c>
    </row>
    <row r="45" spans="1:20" s="326" customFormat="1" ht="17.100000000000001" customHeight="1">
      <c r="A45" s="369">
        <f t="shared" si="13"/>
        <v>6</v>
      </c>
      <c r="B45" s="668" t="str">
        <f t="shared" si="11"/>
        <v>Tháng 01/2018</v>
      </c>
      <c r="C45" s="668"/>
      <c r="D45" s="669" t="str">
        <f t="shared" si="12"/>
        <v>SX+LD cốt thép bản quá độ D ≤ 10</v>
      </c>
      <c r="E45" s="669"/>
      <c r="F45" s="669"/>
      <c r="G45" s="669"/>
      <c r="H45" s="670">
        <f t="shared" si="8"/>
        <v>0</v>
      </c>
      <c r="I45" s="670"/>
      <c r="J45" s="668"/>
      <c r="K45" s="671"/>
      <c r="L45" s="359">
        <v>1</v>
      </c>
      <c r="M45" s="367">
        <v>2018</v>
      </c>
      <c r="N45" s="359"/>
      <c r="O45" s="368">
        <f t="shared" si="9"/>
        <v>43101</v>
      </c>
      <c r="P45" s="368">
        <f t="shared" si="10"/>
        <v>43131</v>
      </c>
    </row>
    <row r="46" spans="1:20" s="326" customFormat="1" ht="17.100000000000001" customHeight="1">
      <c r="A46" s="369">
        <f t="shared" si="13"/>
        <v>7</v>
      </c>
      <c r="B46" s="668" t="str">
        <f t="shared" si="11"/>
        <v>Tháng 02/2018</v>
      </c>
      <c r="C46" s="668"/>
      <c r="D46" s="669" t="str">
        <f t="shared" si="12"/>
        <v>SX+LD cốt thép bản quá độ D ≤ 10</v>
      </c>
      <c r="E46" s="669"/>
      <c r="F46" s="669"/>
      <c r="G46" s="669"/>
      <c r="H46" s="670">
        <f t="shared" si="8"/>
        <v>0</v>
      </c>
      <c r="I46" s="670"/>
      <c r="J46" s="668"/>
      <c r="K46" s="671"/>
      <c r="L46" s="359">
        <v>2</v>
      </c>
      <c r="M46" s="367">
        <v>2018</v>
      </c>
      <c r="N46" s="359"/>
      <c r="O46" s="368">
        <f t="shared" si="9"/>
        <v>43132</v>
      </c>
      <c r="P46" s="368">
        <f t="shared" si="10"/>
        <v>43159</v>
      </c>
    </row>
    <row r="47" spans="1:20" s="326" customFormat="1" ht="17.100000000000001" customHeight="1">
      <c r="A47" s="369">
        <f t="shared" si="13"/>
        <v>8</v>
      </c>
      <c r="B47" s="668" t="str">
        <f t="shared" si="11"/>
        <v>Tháng 03/2018</v>
      </c>
      <c r="C47" s="668"/>
      <c r="D47" s="669" t="str">
        <f t="shared" si="12"/>
        <v>SX+LD cốt thép bản quá độ D ≤ 10</v>
      </c>
      <c r="E47" s="669"/>
      <c r="F47" s="669"/>
      <c r="G47" s="669"/>
      <c r="H47" s="670">
        <f t="shared" si="8"/>
        <v>0</v>
      </c>
      <c r="I47" s="670"/>
      <c r="J47" s="668"/>
      <c r="K47" s="671"/>
      <c r="L47" s="359">
        <v>3</v>
      </c>
      <c r="M47" s="367">
        <v>2018</v>
      </c>
      <c r="N47" s="359"/>
      <c r="O47" s="368">
        <f t="shared" si="9"/>
        <v>43160</v>
      </c>
      <c r="P47" s="368">
        <f t="shared" si="10"/>
        <v>43190</v>
      </c>
    </row>
    <row r="48" spans="1:20" s="326" customFormat="1" ht="17.100000000000001" customHeight="1">
      <c r="A48" s="369">
        <f t="shared" si="13"/>
        <v>9</v>
      </c>
      <c r="B48" s="668" t="str">
        <f t="shared" si="11"/>
        <v>Tháng 04/2018</v>
      </c>
      <c r="C48" s="668"/>
      <c r="D48" s="669" t="str">
        <f t="shared" si="12"/>
        <v>SX+LD cốt thép bản quá độ D ≤ 10</v>
      </c>
      <c r="E48" s="669"/>
      <c r="F48" s="669"/>
      <c r="G48" s="669"/>
      <c r="H48" s="670">
        <f t="shared" si="8"/>
        <v>0</v>
      </c>
      <c r="I48" s="670"/>
      <c r="J48" s="668"/>
      <c r="K48" s="671"/>
      <c r="L48" s="359">
        <v>4</v>
      </c>
      <c r="M48" s="367">
        <v>2018</v>
      </c>
      <c r="N48" s="359"/>
      <c r="O48" s="368">
        <f t="shared" si="9"/>
        <v>43191</v>
      </c>
      <c r="P48" s="368">
        <f t="shared" si="10"/>
        <v>43220</v>
      </c>
    </row>
    <row r="49" spans="1:16" s="326" customFormat="1" ht="17.100000000000001" customHeight="1">
      <c r="A49" s="369">
        <f t="shared" si="13"/>
        <v>10</v>
      </c>
      <c r="B49" s="668" t="str">
        <f t="shared" si="11"/>
        <v>Tháng 05/2018</v>
      </c>
      <c r="C49" s="668"/>
      <c r="D49" s="669" t="str">
        <f t="shared" si="12"/>
        <v>SX+LD cốt thép bản quá độ D ≤ 10</v>
      </c>
      <c r="E49" s="669"/>
      <c r="F49" s="669"/>
      <c r="G49" s="669"/>
      <c r="H49" s="670">
        <f t="shared" si="8"/>
        <v>0</v>
      </c>
      <c r="I49" s="670"/>
      <c r="J49" s="668"/>
      <c r="K49" s="671"/>
      <c r="L49" s="359">
        <v>5</v>
      </c>
      <c r="M49" s="367">
        <v>2018</v>
      </c>
      <c r="N49" s="359"/>
      <c r="O49" s="368">
        <f t="shared" si="9"/>
        <v>43221</v>
      </c>
      <c r="P49" s="368">
        <f t="shared" si="10"/>
        <v>43251</v>
      </c>
    </row>
    <row r="50" spans="1:16" s="326" customFormat="1" ht="17.100000000000001" customHeight="1">
      <c r="A50" s="369">
        <f t="shared" si="13"/>
        <v>11</v>
      </c>
      <c r="B50" s="668" t="str">
        <f t="shared" si="11"/>
        <v>Tháng 06/2018</v>
      </c>
      <c r="C50" s="668"/>
      <c r="D50" s="669" t="str">
        <f t="shared" si="12"/>
        <v>SX+LD cốt thép bản quá độ D ≤ 10</v>
      </c>
      <c r="E50" s="669"/>
      <c r="F50" s="669"/>
      <c r="G50" s="669"/>
      <c r="H50" s="670">
        <f t="shared" si="8"/>
        <v>0</v>
      </c>
      <c r="I50" s="670"/>
      <c r="J50" s="668"/>
      <c r="K50" s="671"/>
      <c r="L50" s="359">
        <v>6</v>
      </c>
      <c r="M50" s="367">
        <v>2018</v>
      </c>
      <c r="N50" s="359"/>
      <c r="O50" s="368">
        <f t="shared" si="9"/>
        <v>43252</v>
      </c>
      <c r="P50" s="368">
        <f t="shared" si="10"/>
        <v>43281</v>
      </c>
    </row>
    <row r="51" spans="1:16" s="326" customFormat="1" ht="17.100000000000001" customHeight="1">
      <c r="A51" s="369">
        <f t="shared" si="13"/>
        <v>12</v>
      </c>
      <c r="B51" s="668" t="str">
        <f t="shared" si="11"/>
        <v>Tháng 07/2018</v>
      </c>
      <c r="C51" s="668"/>
      <c r="D51" s="669" t="str">
        <f t="shared" si="12"/>
        <v>SX+LD cốt thép bản quá độ D ≤ 10</v>
      </c>
      <c r="E51" s="669"/>
      <c r="F51" s="669"/>
      <c r="G51" s="669"/>
      <c r="H51" s="670">
        <f t="shared" si="8"/>
        <v>0</v>
      </c>
      <c r="I51" s="670"/>
      <c r="J51" s="668"/>
      <c r="K51" s="671"/>
      <c r="L51" s="359">
        <v>7</v>
      </c>
      <c r="M51" s="367">
        <v>2018</v>
      </c>
      <c r="N51" s="359"/>
      <c r="O51" s="368">
        <f t="shared" si="9"/>
        <v>43282</v>
      </c>
      <c r="P51" s="368">
        <f t="shared" si="10"/>
        <v>43312</v>
      </c>
    </row>
    <row r="52" spans="1:16" s="326" customFormat="1" ht="17.100000000000001" customHeight="1">
      <c r="A52" s="369">
        <f t="shared" si="13"/>
        <v>13</v>
      </c>
      <c r="B52" s="668" t="str">
        <f t="shared" si="11"/>
        <v>Tháng 08/2018</v>
      </c>
      <c r="C52" s="668"/>
      <c r="D52" s="669" t="str">
        <f t="shared" si="12"/>
        <v>SX+LD cốt thép bản quá độ D ≤ 10</v>
      </c>
      <c r="E52" s="669"/>
      <c r="F52" s="669"/>
      <c r="G52" s="669"/>
      <c r="H52" s="670">
        <f t="shared" si="8"/>
        <v>0</v>
      </c>
      <c r="I52" s="670"/>
      <c r="J52" s="668"/>
      <c r="K52" s="671"/>
      <c r="L52" s="359">
        <v>8</v>
      </c>
      <c r="M52" s="367">
        <v>2018</v>
      </c>
      <c r="N52" s="359"/>
      <c r="O52" s="368">
        <f t="shared" si="9"/>
        <v>43313</v>
      </c>
      <c r="P52" s="368">
        <f t="shared" si="10"/>
        <v>43343</v>
      </c>
    </row>
    <row r="53" spans="1:16" s="326" customFormat="1" ht="17.100000000000001" customHeight="1">
      <c r="A53" s="369">
        <f t="shared" si="13"/>
        <v>14</v>
      </c>
      <c r="B53" s="668" t="str">
        <f t="shared" si="11"/>
        <v>Tháng 09/2018</v>
      </c>
      <c r="C53" s="668"/>
      <c r="D53" s="669" t="str">
        <f t="shared" si="12"/>
        <v>SX+LD cốt thép bản quá độ D ≤ 10</v>
      </c>
      <c r="E53" s="669"/>
      <c r="F53" s="669"/>
      <c r="G53" s="669"/>
      <c r="H53" s="670">
        <f t="shared" si="8"/>
        <v>0</v>
      </c>
      <c r="I53" s="670"/>
      <c r="J53" s="668"/>
      <c r="K53" s="671"/>
      <c r="L53" s="359">
        <v>9</v>
      </c>
      <c r="M53" s="367">
        <v>2018</v>
      </c>
      <c r="N53" s="359"/>
      <c r="O53" s="368">
        <f t="shared" si="9"/>
        <v>43344</v>
      </c>
      <c r="P53" s="368">
        <f t="shared" si="10"/>
        <v>43373</v>
      </c>
    </row>
    <row r="54" spans="1:16" s="326" customFormat="1" ht="17.100000000000001" customHeight="1">
      <c r="A54" s="369">
        <f t="shared" si="13"/>
        <v>15</v>
      </c>
      <c r="B54" s="668" t="str">
        <f t="shared" si="11"/>
        <v>Tháng 10/2018</v>
      </c>
      <c r="C54" s="668"/>
      <c r="D54" s="669" t="str">
        <f t="shared" si="12"/>
        <v>SX+LD cốt thép bản quá độ D ≤ 10</v>
      </c>
      <c r="E54" s="669"/>
      <c r="F54" s="669"/>
      <c r="G54" s="669"/>
      <c r="H54" s="670">
        <f t="shared" si="8"/>
        <v>0</v>
      </c>
      <c r="I54" s="670"/>
      <c r="J54" s="668"/>
      <c r="K54" s="671"/>
      <c r="L54" s="359">
        <v>10</v>
      </c>
      <c r="M54" s="367">
        <v>2018</v>
      </c>
      <c r="N54" s="359"/>
      <c r="O54" s="368">
        <f t="shared" si="9"/>
        <v>43374</v>
      </c>
      <c r="P54" s="368">
        <f t="shared" si="10"/>
        <v>43404</v>
      </c>
    </row>
    <row r="55" spans="1:16" s="326" customFormat="1" ht="17.100000000000001" customHeight="1">
      <c r="A55" s="369">
        <f t="shared" si="13"/>
        <v>16</v>
      </c>
      <c r="B55" s="668" t="str">
        <f t="shared" si="11"/>
        <v>Tháng 11/2018</v>
      </c>
      <c r="C55" s="668"/>
      <c r="D55" s="669" t="str">
        <f t="shared" si="12"/>
        <v>SX+LD cốt thép bản quá độ D ≤ 10</v>
      </c>
      <c r="E55" s="669"/>
      <c r="F55" s="669"/>
      <c r="G55" s="669"/>
      <c r="H55" s="670">
        <f t="shared" si="8"/>
        <v>0</v>
      </c>
      <c r="I55" s="670"/>
      <c r="J55" s="668"/>
      <c r="K55" s="671"/>
      <c r="L55" s="359">
        <v>11</v>
      </c>
      <c r="M55" s="367">
        <v>2018</v>
      </c>
      <c r="N55" s="359"/>
      <c r="O55" s="368">
        <f t="shared" si="9"/>
        <v>43405</v>
      </c>
      <c r="P55" s="368">
        <f t="shared" si="10"/>
        <v>43434</v>
      </c>
    </row>
    <row r="56" spans="1:16" s="326" customFormat="1" ht="17.100000000000001" customHeight="1">
      <c r="A56" s="369">
        <f t="shared" si="13"/>
        <v>17</v>
      </c>
      <c r="B56" s="668" t="str">
        <f t="shared" si="11"/>
        <v>Tháng 12/2018</v>
      </c>
      <c r="C56" s="668"/>
      <c r="D56" s="669" t="str">
        <f t="shared" si="12"/>
        <v>SX+LD cốt thép bản quá độ D ≤ 10</v>
      </c>
      <c r="E56" s="669"/>
      <c r="F56" s="669"/>
      <c r="G56" s="669"/>
      <c r="H56" s="670">
        <f t="shared" si="8"/>
        <v>0</v>
      </c>
      <c r="I56" s="670"/>
      <c r="J56" s="668"/>
      <c r="K56" s="671"/>
      <c r="L56" s="359">
        <v>12</v>
      </c>
      <c r="M56" s="367">
        <v>2018</v>
      </c>
      <c r="N56" s="359"/>
      <c r="O56" s="368">
        <f t="shared" si="9"/>
        <v>43435</v>
      </c>
      <c r="P56" s="368">
        <f t="shared" si="10"/>
        <v>43465</v>
      </c>
    </row>
    <row r="57" spans="1:16" s="326" customFormat="1" ht="17.100000000000001" customHeight="1">
      <c r="A57" s="369">
        <f t="shared" si="13"/>
        <v>18</v>
      </c>
      <c r="B57" s="668" t="str">
        <f t="shared" si="11"/>
        <v>Tháng 01/2019</v>
      </c>
      <c r="C57" s="668"/>
      <c r="D57" s="669" t="str">
        <f t="shared" si="12"/>
        <v>SX+LD cốt thép bản quá độ D ≤ 10</v>
      </c>
      <c r="E57" s="669"/>
      <c r="F57" s="669"/>
      <c r="G57" s="669"/>
      <c r="H57" s="670">
        <f t="shared" si="8"/>
        <v>0</v>
      </c>
      <c r="I57" s="670"/>
      <c r="J57" s="668"/>
      <c r="K57" s="671"/>
      <c r="L57" s="359">
        <v>1</v>
      </c>
      <c r="M57" s="367">
        <v>2019</v>
      </c>
      <c r="N57" s="359"/>
      <c r="O57" s="368">
        <f t="shared" si="9"/>
        <v>43466</v>
      </c>
      <c r="P57" s="368">
        <f t="shared" si="10"/>
        <v>43496</v>
      </c>
    </row>
    <row r="58" spans="1:16" s="326" customFormat="1" ht="17.100000000000001" customHeight="1">
      <c r="A58" s="369">
        <f t="shared" si="13"/>
        <v>19</v>
      </c>
      <c r="B58" s="668" t="str">
        <f t="shared" si="11"/>
        <v>Tháng 02/2019</v>
      </c>
      <c r="C58" s="668"/>
      <c r="D58" s="669" t="str">
        <f t="shared" si="12"/>
        <v>SX+LD cốt thép bản quá độ D ≤ 10</v>
      </c>
      <c r="E58" s="669"/>
      <c r="F58" s="669"/>
      <c r="G58" s="669"/>
      <c r="H58" s="670">
        <f t="shared" si="8"/>
        <v>0</v>
      </c>
      <c r="I58" s="670"/>
      <c r="J58" s="668"/>
      <c r="K58" s="671"/>
      <c r="L58" s="359">
        <v>2</v>
      </c>
      <c r="M58" s="367">
        <v>2019</v>
      </c>
      <c r="N58" s="359"/>
      <c r="O58" s="368">
        <f t="shared" si="9"/>
        <v>43497</v>
      </c>
      <c r="P58" s="368">
        <f t="shared" si="10"/>
        <v>43524</v>
      </c>
    </row>
    <row r="59" spans="1:16" s="326" customFormat="1" ht="17.100000000000001" customHeight="1">
      <c r="A59" s="369">
        <f t="shared" si="13"/>
        <v>20</v>
      </c>
      <c r="B59" s="668" t="str">
        <f t="shared" si="11"/>
        <v>Tháng 03/2019</v>
      </c>
      <c r="C59" s="668"/>
      <c r="D59" s="669" t="str">
        <f t="shared" si="12"/>
        <v>SX+LD cốt thép bản quá độ D ≤ 10</v>
      </c>
      <c r="E59" s="669"/>
      <c r="F59" s="669"/>
      <c r="G59" s="669"/>
      <c r="H59" s="670">
        <f t="shared" si="8"/>
        <v>0</v>
      </c>
      <c r="I59" s="670"/>
      <c r="J59" s="668"/>
      <c r="K59" s="671"/>
      <c r="L59" s="359">
        <v>3</v>
      </c>
      <c r="M59" s="367">
        <v>2019</v>
      </c>
      <c r="N59" s="359"/>
      <c r="O59" s="368">
        <f t="shared" si="9"/>
        <v>43525</v>
      </c>
      <c r="P59" s="368">
        <f t="shared" si="10"/>
        <v>43555</v>
      </c>
    </row>
    <row r="60" spans="1:16" s="326" customFormat="1" ht="17.100000000000001" customHeight="1">
      <c r="A60" s="369">
        <f t="shared" si="13"/>
        <v>21</v>
      </c>
      <c r="B60" s="668" t="str">
        <f t="shared" si="11"/>
        <v>Tháng 04/2019</v>
      </c>
      <c r="C60" s="668"/>
      <c r="D60" s="669" t="str">
        <f t="shared" si="12"/>
        <v>SX+LD cốt thép bản quá độ D ≤ 10</v>
      </c>
      <c r="E60" s="669"/>
      <c r="F60" s="669"/>
      <c r="G60" s="669"/>
      <c r="H60" s="670">
        <f t="shared" si="8"/>
        <v>4.5999999999999999E-2</v>
      </c>
      <c r="I60" s="670"/>
      <c r="J60" s="668"/>
      <c r="K60" s="671"/>
      <c r="L60" s="359">
        <v>4</v>
      </c>
      <c r="M60" s="367">
        <v>2019</v>
      </c>
      <c r="N60" s="359"/>
      <c r="O60" s="368">
        <f t="shared" si="9"/>
        <v>43556</v>
      </c>
      <c r="P60" s="368">
        <f t="shared" si="10"/>
        <v>43585</v>
      </c>
    </row>
    <row r="61" spans="1:16" s="326" customFormat="1" ht="17.100000000000001" customHeight="1">
      <c r="A61" s="369">
        <f t="shared" si="13"/>
        <v>22</v>
      </c>
      <c r="B61" s="668" t="str">
        <f t="shared" si="11"/>
        <v>Tháng 05/2019</v>
      </c>
      <c r="C61" s="668"/>
      <c r="D61" s="669" t="str">
        <f t="shared" si="12"/>
        <v>SX+LD cốt thép bản quá độ D ≤ 10</v>
      </c>
      <c r="E61" s="669"/>
      <c r="F61" s="669"/>
      <c r="G61" s="669"/>
      <c r="H61" s="670">
        <f t="shared" si="8"/>
        <v>0</v>
      </c>
      <c r="I61" s="670"/>
      <c r="J61" s="668"/>
      <c r="K61" s="671"/>
      <c r="L61" s="359">
        <v>5</v>
      </c>
      <c r="M61" s="367">
        <v>2019</v>
      </c>
      <c r="N61" s="359"/>
      <c r="O61" s="368">
        <f t="shared" si="9"/>
        <v>43586</v>
      </c>
      <c r="P61" s="368">
        <f t="shared" si="10"/>
        <v>43616</v>
      </c>
    </row>
    <row r="62" spans="1:16" s="326" customFormat="1" ht="17.100000000000001" customHeight="1">
      <c r="A62" s="369">
        <f t="shared" si="13"/>
        <v>23</v>
      </c>
      <c r="B62" s="668" t="str">
        <f t="shared" si="11"/>
        <v>Tháng 06/2019</v>
      </c>
      <c r="C62" s="668"/>
      <c r="D62" s="669" t="str">
        <f t="shared" si="12"/>
        <v>SX+LD cốt thép bản quá độ D ≤ 10</v>
      </c>
      <c r="E62" s="669"/>
      <c r="F62" s="669"/>
      <c r="G62" s="669"/>
      <c r="H62" s="670">
        <f t="shared" si="8"/>
        <v>0</v>
      </c>
      <c r="I62" s="670"/>
      <c r="J62" s="668"/>
      <c r="K62" s="671"/>
      <c r="L62" s="359">
        <v>6</v>
      </c>
      <c r="M62" s="367">
        <v>2019</v>
      </c>
      <c r="N62" s="359"/>
      <c r="O62" s="368">
        <f t="shared" si="9"/>
        <v>43617</v>
      </c>
      <c r="P62" s="368">
        <f t="shared" si="10"/>
        <v>43646</v>
      </c>
    </row>
    <row r="63" spans="1:16" s="326" customFormat="1" ht="17.100000000000001" customHeight="1">
      <c r="A63" s="369">
        <f t="shared" si="13"/>
        <v>24</v>
      </c>
      <c r="B63" s="668" t="str">
        <f t="shared" si="11"/>
        <v>Tháng 07/2019</v>
      </c>
      <c r="C63" s="668"/>
      <c r="D63" s="669" t="str">
        <f t="shared" si="12"/>
        <v>SX+LD cốt thép bản quá độ D ≤ 10</v>
      </c>
      <c r="E63" s="669"/>
      <c r="F63" s="669"/>
      <c r="G63" s="669"/>
      <c r="H63" s="670">
        <f t="shared" si="8"/>
        <v>0</v>
      </c>
      <c r="I63" s="670"/>
      <c r="J63" s="668"/>
      <c r="K63" s="671"/>
      <c r="L63" s="359">
        <v>7</v>
      </c>
      <c r="M63" s="367">
        <v>2019</v>
      </c>
      <c r="N63" s="359"/>
      <c r="O63" s="368">
        <f t="shared" si="9"/>
        <v>43647</v>
      </c>
      <c r="P63" s="368">
        <f t="shared" si="10"/>
        <v>43677</v>
      </c>
    </row>
    <row r="64" spans="1:16" s="326" customFormat="1" ht="17.100000000000001" customHeight="1">
      <c r="A64" s="369">
        <f t="shared" si="13"/>
        <v>25</v>
      </c>
      <c r="B64" s="668" t="str">
        <f t="shared" si="11"/>
        <v>Tháng 08/2019</v>
      </c>
      <c r="C64" s="668"/>
      <c r="D64" s="669" t="str">
        <f t="shared" si="12"/>
        <v>SX+LD cốt thép bản quá độ D ≤ 10</v>
      </c>
      <c r="E64" s="669"/>
      <c r="F64" s="669"/>
      <c r="G64" s="669"/>
      <c r="H64" s="670">
        <f t="shared" ref="H64:H65" si="14">+SUMIFS($I$12:$I$35,$B$12:$B$35,"&gt;="&amp;$O64,$B$12:$B$35,"&lt;="&amp;$P64)</f>
        <v>0</v>
      </c>
      <c r="I64" s="670"/>
      <c r="J64" s="668"/>
      <c r="K64" s="671"/>
      <c r="L64" s="359">
        <v>8</v>
      </c>
      <c r="M64" s="367">
        <v>2019</v>
      </c>
      <c r="N64" s="359"/>
      <c r="O64" s="368">
        <f t="shared" si="9"/>
        <v>43678</v>
      </c>
      <c r="P64" s="368">
        <f t="shared" si="10"/>
        <v>43708</v>
      </c>
    </row>
    <row r="65" spans="1:20" s="326" customFormat="1" ht="17.100000000000001" customHeight="1">
      <c r="A65" s="369">
        <f t="shared" si="13"/>
        <v>26</v>
      </c>
      <c r="B65" s="672" t="str">
        <f t="shared" si="11"/>
        <v>Tháng 09/2019</v>
      </c>
      <c r="C65" s="672"/>
      <c r="D65" s="673" t="str">
        <f>D63</f>
        <v>SX+LD cốt thép bản quá độ D ≤ 10</v>
      </c>
      <c r="E65" s="673"/>
      <c r="F65" s="673"/>
      <c r="G65" s="673"/>
      <c r="H65" s="674">
        <f t="shared" si="14"/>
        <v>0</v>
      </c>
      <c r="I65" s="674"/>
      <c r="J65" s="672"/>
      <c r="K65" s="675"/>
      <c r="L65" s="359">
        <v>9</v>
      </c>
      <c r="M65" s="367">
        <v>2019</v>
      </c>
      <c r="N65" s="359"/>
      <c r="O65" s="368">
        <f>DATE(M65,L65,1)</f>
        <v>43709</v>
      </c>
      <c r="P65" s="368">
        <f>DATE(M65,L65+1,0)</f>
        <v>43738</v>
      </c>
    </row>
    <row r="66" spans="1:20" s="326" customFormat="1" ht="21.6" customHeight="1" thickBot="1">
      <c r="A66" s="653" t="s">
        <v>86</v>
      </c>
      <c r="B66" s="654"/>
      <c r="C66" s="654"/>
      <c r="D66" s="654"/>
      <c r="E66" s="654"/>
      <c r="F66" s="654"/>
      <c r="G66" s="655"/>
      <c r="H66" s="656">
        <f t="shared" ref="H66" si="15">SUM(H40:I65)</f>
        <v>4.5999999999999999E-2</v>
      </c>
      <c r="I66" s="657"/>
      <c r="J66" s="656"/>
      <c r="K66" s="657"/>
      <c r="L66" s="359"/>
      <c r="M66" s="359"/>
      <c r="N66" s="359"/>
      <c r="O66" s="359"/>
      <c r="P66" s="359"/>
    </row>
    <row r="67" spans="1:20" s="326" customFormat="1" ht="18" customHeight="1" thickTop="1" thickBot="1">
      <c r="A67" s="370"/>
      <c r="B67" s="370"/>
      <c r="C67" s="370"/>
      <c r="D67" s="370"/>
      <c r="E67" s="370"/>
      <c r="F67" s="370"/>
      <c r="G67" s="370"/>
      <c r="H67" s="370"/>
      <c r="I67" s="370"/>
      <c r="J67" s="370"/>
      <c r="K67" s="370"/>
      <c r="L67" s="325"/>
      <c r="M67" s="325"/>
      <c r="N67" s="325"/>
      <c r="O67" s="325"/>
      <c r="P67" s="371"/>
    </row>
    <row r="68" spans="1:20" s="326" customFormat="1" ht="13.9" customHeight="1" thickTop="1">
      <c r="A68" s="658" t="s">
        <v>68</v>
      </c>
      <c r="B68" s="659"/>
      <c r="C68" s="659"/>
      <c r="D68" s="659"/>
      <c r="E68" s="659"/>
      <c r="F68" s="660" t="s">
        <v>69</v>
      </c>
      <c r="G68" s="660"/>
      <c r="H68" s="660"/>
      <c r="I68" s="661"/>
      <c r="J68" s="661"/>
      <c r="K68" s="662"/>
      <c r="L68" s="325"/>
      <c r="M68" s="325"/>
      <c r="N68" s="325"/>
      <c r="O68" s="325"/>
      <c r="P68" s="325"/>
    </row>
    <row r="69" spans="1:20" s="326" customFormat="1" ht="13.9" customHeight="1">
      <c r="A69" s="663" t="s">
        <v>5</v>
      </c>
      <c r="B69" s="664"/>
      <c r="C69" s="664"/>
      <c r="D69" s="664"/>
      <c r="E69" s="664"/>
      <c r="F69" s="665" t="s">
        <v>6</v>
      </c>
      <c r="G69" s="665"/>
      <c r="H69" s="665"/>
      <c r="I69" s="666"/>
      <c r="J69" s="666"/>
      <c r="K69" s="667"/>
      <c r="L69" s="325"/>
      <c r="M69" s="325"/>
      <c r="N69" s="325"/>
      <c r="O69" s="325"/>
      <c r="P69" s="325"/>
    </row>
    <row r="70" spans="1:20" s="326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325"/>
      <c r="M70" s="325"/>
      <c r="N70" s="325"/>
      <c r="O70" s="325"/>
      <c r="P70" s="325"/>
    </row>
    <row r="71" spans="1:20" s="326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325"/>
      <c r="M71" s="325"/>
      <c r="N71" s="325"/>
      <c r="O71" s="325"/>
      <c r="P71" s="325"/>
    </row>
    <row r="72" spans="1:20" s="326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325"/>
      <c r="M72" s="325"/>
      <c r="N72" s="325"/>
      <c r="O72" s="325"/>
      <c r="P72" s="325"/>
    </row>
    <row r="73" spans="1:20" s="326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325"/>
      <c r="M73" s="325"/>
      <c r="N73" s="325"/>
      <c r="O73" s="325"/>
      <c r="P73" s="325"/>
    </row>
    <row r="74" spans="1:20" s="326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325"/>
      <c r="M74" s="325"/>
      <c r="N74" s="325"/>
      <c r="O74" s="325"/>
      <c r="P74" s="325"/>
    </row>
    <row r="75" spans="1:20" s="326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325"/>
      <c r="M75" s="325"/>
      <c r="N75" s="325"/>
      <c r="O75" s="325"/>
      <c r="P75" s="325"/>
    </row>
    <row r="76" spans="1:20" s="326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325"/>
      <c r="M76" s="325"/>
      <c r="N76" s="325"/>
      <c r="O76" s="325"/>
      <c r="P76" s="325"/>
    </row>
    <row r="77" spans="1:20" s="326" customFormat="1" ht="15.75" thickTop="1">
      <c r="A77" s="325"/>
      <c r="B77" s="372"/>
      <c r="C77" s="373"/>
      <c r="D77" s="373"/>
      <c r="E77" s="373"/>
      <c r="F77" s="374"/>
      <c r="G77" s="374"/>
      <c r="H77" s="374"/>
      <c r="I77" s="374"/>
      <c r="J77" s="374"/>
      <c r="K77" s="325"/>
      <c r="L77" s="325"/>
      <c r="M77" s="325"/>
      <c r="N77" s="325"/>
      <c r="O77" s="325"/>
      <c r="P77" s="325"/>
      <c r="R77" s="325"/>
      <c r="S77" s="325"/>
      <c r="T77" s="325"/>
    </row>
  </sheetData>
  <mergeCells count="150"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  <mergeCell ref="B65:C65"/>
    <mergeCell ref="D65:G65"/>
    <mergeCell ref="H65:I65"/>
    <mergeCell ref="J65:K65"/>
    <mergeCell ref="I9:I11"/>
    <mergeCell ref="J9:J11"/>
    <mergeCell ref="K9:K11"/>
    <mergeCell ref="C12:E12"/>
    <mergeCell ref="C16:E16"/>
    <mergeCell ref="A17:E17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>
    <tabColor rgb="FFFFC000"/>
  </sheetPr>
  <dimension ref="A1:T77"/>
  <sheetViews>
    <sheetView view="pageBreakPreview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C.II.1.1.9. SX+LD cốt thép bản quá độ D ≤ 18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341</v>
      </c>
      <c r="N6" s="245" t="str">
        <f>THKLQT!C109</f>
        <v>SX+LD cốt thép bản quá độ D ≤ 18</v>
      </c>
      <c r="Q6" s="17"/>
    </row>
    <row r="7" spans="1:20" s="178" customFormat="1" ht="18.75" customHeight="1">
      <c r="A7" s="634">
        <f>I17</f>
        <v>8.31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THKLQT!D109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s="430" customFormat="1" ht="14.25" outlineLevel="2">
      <c r="A12" s="424">
        <f>SUBTOTAL(103,$B$12:B12)</f>
        <v>1</v>
      </c>
      <c r="B12" s="425">
        <f>Q12</f>
        <v>43578</v>
      </c>
      <c r="C12" s="706" t="str">
        <f>T12</f>
        <v>SX+LD cốt thép bản quá độ D ≤ 18 A1P</v>
      </c>
      <c r="D12" s="707"/>
      <c r="E12" s="708"/>
      <c r="F12" s="426">
        <f>'[1]Ban qua do'!$G$13/1000+'[1]Ban qua do'!$G$14/1000+'[1]Ban qua do'!$G$15/1000+'[1]Ban qua do'!$G$16/1000+'[1]Ban qua do'!$G$17/1000</f>
        <v>2.0913183680000005</v>
      </c>
      <c r="G12" s="427">
        <f>P12</f>
        <v>2.0910000000000002</v>
      </c>
      <c r="H12" s="428">
        <f>P12</f>
        <v>2.0910000000000002</v>
      </c>
      <c r="I12" s="429">
        <f>P12</f>
        <v>2.0910000000000002</v>
      </c>
      <c r="J12" s="429">
        <f>P12</f>
        <v>2.0910000000000002</v>
      </c>
      <c r="K12" s="700" t="s">
        <v>686</v>
      </c>
      <c r="L12" s="430" t="s">
        <v>711</v>
      </c>
      <c r="N12" s="431"/>
      <c r="O12" s="431" t="s">
        <v>342</v>
      </c>
      <c r="P12" s="432">
        <v>2.0910000000000002</v>
      </c>
      <c r="Q12" s="433">
        <v>43578</v>
      </c>
      <c r="R12" s="432"/>
      <c r="S12" s="432" t="e">
        <f>VLOOKUP($S$11,hamchuigoi3,M12,0)</f>
        <v>#VALUE!</v>
      </c>
      <c r="T12" s="434" t="str">
        <f>$N$6&amp;" "&amp;O12</f>
        <v>SX+LD cốt thép bản quá độ D ≤ 18 A1P</v>
      </c>
    </row>
    <row r="13" spans="1:20" s="430" customFormat="1" ht="14.25" outlineLevel="2">
      <c r="A13" s="424">
        <f>SUBTOTAL(103,$B$12:B13)</f>
        <v>2</v>
      </c>
      <c r="B13" s="425">
        <f t="shared" ref="B13:B15" si="0">Q13</f>
        <v>43579</v>
      </c>
      <c r="C13" s="706" t="str">
        <f t="shared" ref="C13:C15" si="1">T13</f>
        <v>SX+LD cốt thép bản quá độ D ≤ 18 A1T</v>
      </c>
      <c r="D13" s="707"/>
      <c r="E13" s="708"/>
      <c r="F13" s="426">
        <f>'[1]Ban qua do'!$G$6/1000+'[1]Ban qua do'!$G$7/1000+'[1]Ban qua do'!$G$8/1000+'[1]Ban qua do'!$G$9/1000+'[1]Ban qua do'!$G$10/1000</f>
        <v>2.0886423080000003</v>
      </c>
      <c r="G13" s="427">
        <f t="shared" ref="G13:G15" si="2">P13</f>
        <v>2.089</v>
      </c>
      <c r="H13" s="428">
        <f t="shared" ref="H13:H15" si="3">P13</f>
        <v>2.089</v>
      </c>
      <c r="I13" s="429">
        <f t="shared" ref="I13:I15" si="4">P13</f>
        <v>2.089</v>
      </c>
      <c r="J13" s="429">
        <f t="shared" ref="J13:J15" si="5">P13</f>
        <v>2.089</v>
      </c>
      <c r="K13" s="701"/>
      <c r="N13" s="431"/>
      <c r="O13" s="431" t="s">
        <v>343</v>
      </c>
      <c r="P13" s="432">
        <v>2.089</v>
      </c>
      <c r="Q13" s="433">
        <v>43579</v>
      </c>
      <c r="R13" s="432"/>
      <c r="S13" s="432" t="e">
        <f>VLOOKUP($S$11,hamchuigoi3,M13,0)</f>
        <v>#VALUE!</v>
      </c>
      <c r="T13" s="434" t="str">
        <f t="shared" ref="T13:T15" si="6">$N$6&amp;" "&amp;O13</f>
        <v>SX+LD cốt thép bản quá độ D ≤ 18 A1T</v>
      </c>
    </row>
    <row r="14" spans="1:20" s="430" customFormat="1" ht="14.25" outlineLevel="2">
      <c r="A14" s="424">
        <f>SUBTOTAL(103,$B$12:B14)</f>
        <v>3</v>
      </c>
      <c r="B14" s="425">
        <f t="shared" si="0"/>
        <v>43581</v>
      </c>
      <c r="C14" s="706" t="str">
        <f t="shared" si="1"/>
        <v>SX+LD cốt thép bản quá độ D ≤ 18 A2P</v>
      </c>
      <c r="D14" s="707"/>
      <c r="E14" s="708"/>
      <c r="F14" s="426">
        <f>'[1]Ban qua do'!$G$27/1000+'[1]Ban qua do'!$G$28/1000+'[1]Ban qua do'!$G$29/1000+'[1]Ban qua do'!$G$30/1000+'[1]Ban qua do'!$G$31/1000</f>
        <v>2.0650358080000002</v>
      </c>
      <c r="G14" s="427">
        <f t="shared" si="2"/>
        <v>2.0649999999999999</v>
      </c>
      <c r="H14" s="428">
        <f t="shared" si="3"/>
        <v>2.0649999999999999</v>
      </c>
      <c r="I14" s="429">
        <f t="shared" si="4"/>
        <v>2.0649999999999999</v>
      </c>
      <c r="J14" s="429">
        <f t="shared" si="5"/>
        <v>2.0649999999999999</v>
      </c>
      <c r="K14" s="701"/>
      <c r="N14" s="431"/>
      <c r="O14" s="431" t="s">
        <v>344</v>
      </c>
      <c r="P14" s="432">
        <v>2.0649999999999999</v>
      </c>
      <c r="Q14" s="433">
        <v>43581</v>
      </c>
      <c r="R14" s="432"/>
      <c r="S14" s="432" t="e">
        <f>VLOOKUP($S$11,hamchuigoi3,M14,0)</f>
        <v>#VALUE!</v>
      </c>
      <c r="T14" s="434" t="str">
        <f t="shared" si="6"/>
        <v>SX+LD cốt thép bản quá độ D ≤ 18 A2P</v>
      </c>
    </row>
    <row r="15" spans="1:20" s="430" customFormat="1" ht="14.25" outlineLevel="2">
      <c r="A15" s="424">
        <f>SUBTOTAL(103,$B$12:B15)</f>
        <v>4</v>
      </c>
      <c r="B15" s="425">
        <f t="shared" si="0"/>
        <v>43582</v>
      </c>
      <c r="C15" s="706" t="str">
        <f t="shared" si="1"/>
        <v>SX+LD cốt thép bản quá độ D ≤ 18 A2T</v>
      </c>
      <c r="D15" s="707"/>
      <c r="E15" s="708"/>
      <c r="F15" s="426">
        <f>'[1]Ban qua do'!$G$20/1000+'[1]Ban qua do'!$G$21/1000+'[1]Ban qua do'!$G$22/1000+'[1]Ban qua do'!$G$23/1000+'[1]Ban qua do'!$G$24/1000</f>
        <v>2.0695878280000004</v>
      </c>
      <c r="G15" s="427">
        <f t="shared" si="2"/>
        <v>2.0699999999999998</v>
      </c>
      <c r="H15" s="436">
        <f t="shared" si="3"/>
        <v>2.0699999999999998</v>
      </c>
      <c r="I15" s="429">
        <f t="shared" si="4"/>
        <v>2.0699999999999998</v>
      </c>
      <c r="J15" s="429">
        <f t="shared" si="5"/>
        <v>2.0699999999999998</v>
      </c>
      <c r="K15" s="702"/>
      <c r="N15" s="431"/>
      <c r="O15" s="431" t="s">
        <v>345</v>
      </c>
      <c r="P15" s="432">
        <v>2.0699999999999998</v>
      </c>
      <c r="Q15" s="433">
        <v>43582</v>
      </c>
      <c r="R15" s="432"/>
      <c r="S15" s="432" t="e">
        <f>VLOOKUP($S$11,hamchuigoi3,M15,0)</f>
        <v>#VALUE!</v>
      </c>
      <c r="T15" s="434" t="str">
        <f t="shared" si="6"/>
        <v>SX+LD cốt thép bản quá độ D ≤ 18 A2T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277">
        <f>'[1]Ban qua do'!$G$39/1000</f>
        <v>8.3145843120000009</v>
      </c>
      <c r="G17" s="79">
        <f>ROUNDDOWN(SUM(G12:G16),2)</f>
        <v>8.31</v>
      </c>
      <c r="H17" s="79">
        <f>ROUNDDOWN(SUM(H12:H16),2)</f>
        <v>8.31</v>
      </c>
      <c r="I17" s="79">
        <f>ROUNDDOWN(SUM(I12:I16),2)</f>
        <v>8.31</v>
      </c>
      <c r="J17" s="79">
        <f t="shared" ref="J17" si="7">ROUND(SUM(J12:J16),2)</f>
        <v>8.32</v>
      </c>
      <c r="K17" s="80"/>
      <c r="N17" s="118"/>
      <c r="O17" s="118"/>
      <c r="P17" s="90">
        <f>SUM(P12:P12)</f>
        <v>2.0910000000000002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C.II.1.1.9. SX+LD cốt thép bản quá độ D ≤ 18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8.31</v>
      </c>
      <c r="B36" s="640"/>
      <c r="C36" s="640"/>
      <c r="D36" s="640"/>
      <c r="E36" s="131" t="str">
        <f>E7</f>
        <v>(T)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SX+LD cốt thép bản quá độ D ≤ 18</v>
      </c>
      <c r="E40" s="624"/>
      <c r="F40" s="624"/>
      <c r="G40" s="624"/>
      <c r="H40" s="625">
        <f t="shared" ref="H40:H63" si="8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9">DATE(M40,L40,1)</f>
        <v>42948</v>
      </c>
      <c r="P40" s="103">
        <f t="shared" ref="P40:P64" si="10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1">"Tháng "&amp;IF(L41&lt;10,0&amp;L41&amp;"/"&amp;M41,L41&amp;"/"&amp;M41)</f>
        <v>Tháng 09/2017</v>
      </c>
      <c r="C41" s="567"/>
      <c r="D41" s="568" t="str">
        <f>D40</f>
        <v>SX+LD cốt thép bản quá độ D ≤ 18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9"/>
        <v>42979</v>
      </c>
      <c r="P41" s="103">
        <f t="shared" si="10"/>
        <v>43008</v>
      </c>
    </row>
    <row r="42" spans="1:20" s="5" customFormat="1" ht="17.100000000000001" customHeight="1">
      <c r="A42" s="104">
        <f>A41+1</f>
        <v>3</v>
      </c>
      <c r="B42" s="567" t="str">
        <f t="shared" si="11"/>
        <v>Tháng 10/2017</v>
      </c>
      <c r="C42" s="567"/>
      <c r="D42" s="568" t="str">
        <f t="shared" ref="D42:D64" si="12">D41</f>
        <v>SX+LD cốt thép bản quá độ D ≤ 18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9"/>
        <v>43009</v>
      </c>
      <c r="P42" s="103">
        <f t="shared" si="10"/>
        <v>43039</v>
      </c>
    </row>
    <row r="43" spans="1:20" s="5" customFormat="1" ht="17.100000000000001" customHeight="1">
      <c r="A43" s="104">
        <f t="shared" ref="A43:A65" si="13">A42+1</f>
        <v>4</v>
      </c>
      <c r="B43" s="567" t="str">
        <f t="shared" si="11"/>
        <v>Tháng 11/2017</v>
      </c>
      <c r="C43" s="567"/>
      <c r="D43" s="568" t="str">
        <f t="shared" si="12"/>
        <v>SX+LD cốt thép bản quá độ D ≤ 18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9"/>
        <v>43040</v>
      </c>
      <c r="P43" s="103">
        <f t="shared" si="10"/>
        <v>43069</v>
      </c>
    </row>
    <row r="44" spans="1:20" s="5" customFormat="1" ht="17.100000000000001" customHeight="1">
      <c r="A44" s="104">
        <f t="shared" si="13"/>
        <v>5</v>
      </c>
      <c r="B44" s="567" t="str">
        <f t="shared" si="11"/>
        <v>Tháng 12/2017</v>
      </c>
      <c r="C44" s="567"/>
      <c r="D44" s="568" t="str">
        <f t="shared" si="12"/>
        <v>SX+LD cốt thép bản quá độ D ≤ 18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9"/>
        <v>43070</v>
      </c>
      <c r="P44" s="103">
        <f t="shared" si="10"/>
        <v>43100</v>
      </c>
    </row>
    <row r="45" spans="1:20" s="5" customFormat="1" ht="17.100000000000001" customHeight="1">
      <c r="A45" s="104">
        <f t="shared" si="13"/>
        <v>6</v>
      </c>
      <c r="B45" s="567" t="str">
        <f t="shared" si="11"/>
        <v>Tháng 01/2018</v>
      </c>
      <c r="C45" s="567"/>
      <c r="D45" s="568" t="str">
        <f t="shared" si="12"/>
        <v>SX+LD cốt thép bản quá độ D ≤ 18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9"/>
        <v>43101</v>
      </c>
      <c r="P45" s="103">
        <f t="shared" si="10"/>
        <v>43131</v>
      </c>
    </row>
    <row r="46" spans="1:20" s="5" customFormat="1" ht="17.100000000000001" customHeight="1">
      <c r="A46" s="104">
        <f t="shared" si="13"/>
        <v>7</v>
      </c>
      <c r="B46" s="567" t="str">
        <f t="shared" si="11"/>
        <v>Tháng 02/2018</v>
      </c>
      <c r="C46" s="567"/>
      <c r="D46" s="568" t="str">
        <f t="shared" si="12"/>
        <v>SX+LD cốt thép bản quá độ D ≤ 18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9"/>
        <v>43132</v>
      </c>
      <c r="P46" s="103">
        <f t="shared" si="10"/>
        <v>43159</v>
      </c>
    </row>
    <row r="47" spans="1:20" s="5" customFormat="1" ht="17.100000000000001" customHeight="1">
      <c r="A47" s="104">
        <f t="shared" si="13"/>
        <v>8</v>
      </c>
      <c r="B47" s="567" t="str">
        <f t="shared" si="11"/>
        <v>Tháng 03/2018</v>
      </c>
      <c r="C47" s="567"/>
      <c r="D47" s="568" t="str">
        <f t="shared" si="12"/>
        <v>SX+LD cốt thép bản quá độ D ≤ 18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9"/>
        <v>43160</v>
      </c>
      <c r="P47" s="103">
        <f t="shared" si="10"/>
        <v>43190</v>
      </c>
    </row>
    <row r="48" spans="1:20" s="5" customFormat="1" ht="17.100000000000001" customHeight="1">
      <c r="A48" s="104">
        <f t="shared" si="13"/>
        <v>9</v>
      </c>
      <c r="B48" s="567" t="str">
        <f t="shared" si="11"/>
        <v>Tháng 04/2018</v>
      </c>
      <c r="C48" s="567"/>
      <c r="D48" s="568" t="str">
        <f t="shared" si="12"/>
        <v>SX+LD cốt thép bản quá độ D ≤ 18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9"/>
        <v>43191</v>
      </c>
      <c r="P48" s="103">
        <f t="shared" si="10"/>
        <v>43220</v>
      </c>
    </row>
    <row r="49" spans="1:16" s="5" customFormat="1" ht="17.100000000000001" customHeight="1">
      <c r="A49" s="104">
        <f t="shared" si="13"/>
        <v>10</v>
      </c>
      <c r="B49" s="567" t="str">
        <f t="shared" si="11"/>
        <v>Tháng 05/2018</v>
      </c>
      <c r="C49" s="567"/>
      <c r="D49" s="568" t="str">
        <f t="shared" si="12"/>
        <v>SX+LD cốt thép bản quá độ D ≤ 18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9"/>
        <v>43221</v>
      </c>
      <c r="P49" s="103">
        <f t="shared" si="10"/>
        <v>43251</v>
      </c>
    </row>
    <row r="50" spans="1:16" s="5" customFormat="1" ht="17.100000000000001" customHeight="1">
      <c r="A50" s="104">
        <f t="shared" si="13"/>
        <v>11</v>
      </c>
      <c r="B50" s="567" t="str">
        <f t="shared" si="11"/>
        <v>Tháng 06/2018</v>
      </c>
      <c r="C50" s="567"/>
      <c r="D50" s="568" t="str">
        <f t="shared" si="12"/>
        <v>SX+LD cốt thép bản quá độ D ≤ 18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9"/>
        <v>43252</v>
      </c>
      <c r="P50" s="103">
        <f t="shared" si="10"/>
        <v>43281</v>
      </c>
    </row>
    <row r="51" spans="1:16" s="5" customFormat="1" ht="17.100000000000001" customHeight="1">
      <c r="A51" s="104">
        <f t="shared" si="13"/>
        <v>12</v>
      </c>
      <c r="B51" s="567" t="str">
        <f t="shared" si="11"/>
        <v>Tháng 07/2018</v>
      </c>
      <c r="C51" s="567"/>
      <c r="D51" s="568" t="str">
        <f t="shared" si="12"/>
        <v>SX+LD cốt thép bản quá độ D ≤ 18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9"/>
        <v>43282</v>
      </c>
      <c r="P51" s="103">
        <f t="shared" si="10"/>
        <v>43312</v>
      </c>
    </row>
    <row r="52" spans="1:16" s="5" customFormat="1" ht="17.100000000000001" customHeight="1">
      <c r="A52" s="104">
        <f t="shared" si="13"/>
        <v>13</v>
      </c>
      <c r="B52" s="567" t="str">
        <f t="shared" si="11"/>
        <v>Tháng 08/2018</v>
      </c>
      <c r="C52" s="567"/>
      <c r="D52" s="568" t="str">
        <f t="shared" si="12"/>
        <v>SX+LD cốt thép bản quá độ D ≤ 18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9"/>
        <v>43313</v>
      </c>
      <c r="P52" s="103">
        <f t="shared" si="10"/>
        <v>43343</v>
      </c>
    </row>
    <row r="53" spans="1:16" s="5" customFormat="1" ht="17.100000000000001" customHeight="1">
      <c r="A53" s="104">
        <f t="shared" si="13"/>
        <v>14</v>
      </c>
      <c r="B53" s="567" t="str">
        <f t="shared" si="11"/>
        <v>Tháng 09/2018</v>
      </c>
      <c r="C53" s="567"/>
      <c r="D53" s="568" t="str">
        <f t="shared" si="12"/>
        <v>SX+LD cốt thép bản quá độ D ≤ 18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9"/>
        <v>43344</v>
      </c>
      <c r="P53" s="103">
        <f t="shared" si="10"/>
        <v>43373</v>
      </c>
    </row>
    <row r="54" spans="1:16" s="5" customFormat="1" ht="17.100000000000001" customHeight="1">
      <c r="A54" s="104">
        <f t="shared" si="13"/>
        <v>15</v>
      </c>
      <c r="B54" s="567" t="str">
        <f t="shared" si="11"/>
        <v>Tháng 10/2018</v>
      </c>
      <c r="C54" s="567"/>
      <c r="D54" s="568" t="str">
        <f t="shared" si="12"/>
        <v>SX+LD cốt thép bản quá độ D ≤ 18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9"/>
        <v>43374</v>
      </c>
      <c r="P54" s="103">
        <f t="shared" si="10"/>
        <v>43404</v>
      </c>
    </row>
    <row r="55" spans="1:16" s="5" customFormat="1" ht="17.100000000000001" customHeight="1">
      <c r="A55" s="104">
        <f t="shared" si="13"/>
        <v>16</v>
      </c>
      <c r="B55" s="567" t="str">
        <f t="shared" si="11"/>
        <v>Tháng 11/2018</v>
      </c>
      <c r="C55" s="567"/>
      <c r="D55" s="568" t="str">
        <f t="shared" si="12"/>
        <v>SX+LD cốt thép bản quá độ D ≤ 18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9"/>
        <v>43405</v>
      </c>
      <c r="P55" s="103">
        <f t="shared" si="10"/>
        <v>43434</v>
      </c>
    </row>
    <row r="56" spans="1:16" s="5" customFormat="1" ht="17.100000000000001" customHeight="1">
      <c r="A56" s="104">
        <f t="shared" si="13"/>
        <v>17</v>
      </c>
      <c r="B56" s="567" t="str">
        <f t="shared" si="11"/>
        <v>Tháng 12/2018</v>
      </c>
      <c r="C56" s="567"/>
      <c r="D56" s="568" t="str">
        <f t="shared" si="12"/>
        <v>SX+LD cốt thép bản quá độ D ≤ 18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9"/>
        <v>43435</v>
      </c>
      <c r="P56" s="103">
        <f t="shared" si="10"/>
        <v>43465</v>
      </c>
    </row>
    <row r="57" spans="1:16" s="5" customFormat="1" ht="17.100000000000001" customHeight="1">
      <c r="A57" s="104">
        <f t="shared" si="13"/>
        <v>18</v>
      </c>
      <c r="B57" s="567" t="str">
        <f t="shared" si="11"/>
        <v>Tháng 01/2019</v>
      </c>
      <c r="C57" s="567"/>
      <c r="D57" s="568" t="str">
        <f t="shared" si="12"/>
        <v>SX+LD cốt thép bản quá độ D ≤ 18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9"/>
        <v>43466</v>
      </c>
      <c r="P57" s="103">
        <f t="shared" si="10"/>
        <v>43496</v>
      </c>
    </row>
    <row r="58" spans="1:16" s="5" customFormat="1" ht="17.100000000000001" customHeight="1">
      <c r="A58" s="104">
        <f t="shared" si="13"/>
        <v>19</v>
      </c>
      <c r="B58" s="567" t="str">
        <f t="shared" si="11"/>
        <v>Tháng 02/2019</v>
      </c>
      <c r="C58" s="567"/>
      <c r="D58" s="568" t="str">
        <f t="shared" si="12"/>
        <v>SX+LD cốt thép bản quá độ D ≤ 18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9"/>
        <v>43497</v>
      </c>
      <c r="P58" s="103">
        <f t="shared" si="10"/>
        <v>43524</v>
      </c>
    </row>
    <row r="59" spans="1:16" s="5" customFormat="1" ht="17.100000000000001" customHeight="1">
      <c r="A59" s="104">
        <f t="shared" si="13"/>
        <v>20</v>
      </c>
      <c r="B59" s="567" t="str">
        <f t="shared" si="11"/>
        <v>Tháng 03/2019</v>
      </c>
      <c r="C59" s="567"/>
      <c r="D59" s="568" t="str">
        <f t="shared" si="12"/>
        <v>SX+LD cốt thép bản quá độ D ≤ 18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9"/>
        <v>43525</v>
      </c>
      <c r="P59" s="103">
        <f t="shared" si="10"/>
        <v>43555</v>
      </c>
    </row>
    <row r="60" spans="1:16" s="5" customFormat="1" ht="17.100000000000001" customHeight="1">
      <c r="A60" s="104">
        <f t="shared" si="13"/>
        <v>21</v>
      </c>
      <c r="B60" s="567" t="str">
        <f t="shared" si="11"/>
        <v>Tháng 04/2019</v>
      </c>
      <c r="C60" s="567"/>
      <c r="D60" s="568" t="str">
        <f t="shared" si="12"/>
        <v>SX+LD cốt thép bản quá độ D ≤ 18</v>
      </c>
      <c r="E60" s="568"/>
      <c r="F60" s="568"/>
      <c r="G60" s="568"/>
      <c r="H60" s="569">
        <f t="shared" si="8"/>
        <v>8.3149999999999995</v>
      </c>
      <c r="I60" s="569"/>
      <c r="J60" s="567"/>
      <c r="K60" s="570"/>
      <c r="L60">
        <v>4</v>
      </c>
      <c r="M60" s="101">
        <v>2019</v>
      </c>
      <c r="N60"/>
      <c r="O60" s="103">
        <f t="shared" si="9"/>
        <v>43556</v>
      </c>
      <c r="P60" s="103">
        <f t="shared" si="10"/>
        <v>43585</v>
      </c>
    </row>
    <row r="61" spans="1:16" s="5" customFormat="1" ht="17.100000000000001" customHeight="1">
      <c r="A61" s="104">
        <f t="shared" si="13"/>
        <v>22</v>
      </c>
      <c r="B61" s="567" t="str">
        <f t="shared" si="11"/>
        <v>Tháng 05/2019</v>
      </c>
      <c r="C61" s="567"/>
      <c r="D61" s="568" t="str">
        <f t="shared" si="12"/>
        <v>SX+LD cốt thép bản quá độ D ≤ 18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9"/>
        <v>43586</v>
      </c>
      <c r="P61" s="103">
        <f t="shared" si="10"/>
        <v>43616</v>
      </c>
    </row>
    <row r="62" spans="1:16" s="5" customFormat="1" ht="17.100000000000001" customHeight="1">
      <c r="A62" s="104">
        <f t="shared" si="13"/>
        <v>23</v>
      </c>
      <c r="B62" s="567" t="str">
        <f t="shared" si="11"/>
        <v>Tháng 06/2019</v>
      </c>
      <c r="C62" s="567"/>
      <c r="D62" s="568" t="str">
        <f t="shared" si="12"/>
        <v>SX+LD cốt thép bản quá độ D ≤ 18</v>
      </c>
      <c r="E62" s="568"/>
      <c r="F62" s="568"/>
      <c r="G62" s="568"/>
      <c r="H62" s="569">
        <f t="shared" si="8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9"/>
        <v>43617</v>
      </c>
      <c r="P62" s="103">
        <f t="shared" si="10"/>
        <v>43646</v>
      </c>
    </row>
    <row r="63" spans="1:16" s="5" customFormat="1" ht="17.100000000000001" customHeight="1">
      <c r="A63" s="104">
        <f t="shared" si="13"/>
        <v>24</v>
      </c>
      <c r="B63" s="567" t="str">
        <f t="shared" si="11"/>
        <v>Tháng 07/2019</v>
      </c>
      <c r="C63" s="567"/>
      <c r="D63" s="568" t="str">
        <f t="shared" si="12"/>
        <v>SX+LD cốt thép bản quá độ D ≤ 18</v>
      </c>
      <c r="E63" s="568"/>
      <c r="F63" s="568"/>
      <c r="G63" s="568"/>
      <c r="H63" s="569">
        <f t="shared" si="8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9"/>
        <v>43647</v>
      </c>
      <c r="P63" s="103">
        <f t="shared" si="10"/>
        <v>43677</v>
      </c>
    </row>
    <row r="64" spans="1:16" s="5" customFormat="1" ht="17.100000000000001" customHeight="1">
      <c r="A64" s="104">
        <f t="shared" si="13"/>
        <v>25</v>
      </c>
      <c r="B64" s="567" t="str">
        <f t="shared" si="11"/>
        <v>Tháng 08/2019</v>
      </c>
      <c r="C64" s="567"/>
      <c r="D64" s="568" t="str">
        <f t="shared" si="12"/>
        <v>SX+LD cốt thép bản quá độ D ≤ 18</v>
      </c>
      <c r="E64" s="568"/>
      <c r="F64" s="568"/>
      <c r="G64" s="568"/>
      <c r="H64" s="569">
        <f t="shared" ref="H64:H65" si="14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9"/>
        <v>43678</v>
      </c>
      <c r="P64" s="103">
        <f t="shared" si="10"/>
        <v>43708</v>
      </c>
    </row>
    <row r="65" spans="1:20" s="5" customFormat="1" ht="17.100000000000001" customHeight="1">
      <c r="A65" s="104">
        <f t="shared" si="13"/>
        <v>26</v>
      </c>
      <c r="B65" s="616" t="str">
        <f t="shared" si="11"/>
        <v>Tháng 09/2019</v>
      </c>
      <c r="C65" s="616"/>
      <c r="D65" s="652" t="str">
        <f>D63</f>
        <v>SX+LD cốt thép bản quá độ D ≤ 18</v>
      </c>
      <c r="E65" s="652"/>
      <c r="F65" s="652"/>
      <c r="G65" s="652"/>
      <c r="H65" s="615">
        <f t="shared" si="14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5">SUM(H40:I65)</f>
        <v>8.3149999999999995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  <mergeCell ref="B65:C65"/>
    <mergeCell ref="D65:G65"/>
    <mergeCell ref="H65:I65"/>
    <mergeCell ref="J65:K65"/>
    <mergeCell ref="I9:I11"/>
    <mergeCell ref="J9:J11"/>
    <mergeCell ref="K9:K11"/>
    <mergeCell ref="C12:E12"/>
    <mergeCell ref="C16:E16"/>
    <mergeCell ref="A17:E17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>
    <tabColor rgb="FFFFC000"/>
  </sheetPr>
  <dimension ref="A1:T77"/>
  <sheetViews>
    <sheetView view="pageBreakPreview" topLeftCell="A58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8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C.II.1.1.10. SX+LD cốt thép bản quá độ D &gt; 18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340</v>
      </c>
      <c r="N6" s="245" t="str">
        <f>THKLQT!C110</f>
        <v>SX+LD cốt thép bản quá độ D &gt; 18</v>
      </c>
      <c r="Q6" s="17"/>
    </row>
    <row r="7" spans="1:20" s="178" customFormat="1" ht="18.75" customHeight="1">
      <c r="A7" s="634">
        <f>I17</f>
        <v>7.87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THKLQT!D110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s="430" customFormat="1" ht="14.25" outlineLevel="2">
      <c r="A12" s="424">
        <f>SUBTOTAL(103,$B$12:B12)</f>
        <v>1</v>
      </c>
      <c r="B12" s="425">
        <f>Q12</f>
        <v>43578</v>
      </c>
      <c r="C12" s="706" t="str">
        <f>T12</f>
        <v>SX+LD cốt thép bản quá độ D &gt; 18 A1P</v>
      </c>
      <c r="D12" s="707"/>
      <c r="E12" s="708"/>
      <c r="F12" s="426">
        <f>'[1]Ban qua do'!$G$12/1000</f>
        <v>1.9725215999999999</v>
      </c>
      <c r="G12" s="427">
        <f>P12</f>
        <v>1.9730000000000001</v>
      </c>
      <c r="H12" s="428">
        <f>P12</f>
        <v>1.9730000000000001</v>
      </c>
      <c r="I12" s="429">
        <f>P12</f>
        <v>1.9730000000000001</v>
      </c>
      <c r="J12" s="429">
        <f>P12</f>
        <v>1.9730000000000001</v>
      </c>
      <c r="K12" s="700" t="s">
        <v>686</v>
      </c>
      <c r="L12" s="430" t="s">
        <v>711</v>
      </c>
      <c r="N12" s="431"/>
      <c r="O12" s="431" t="s">
        <v>342</v>
      </c>
      <c r="P12" s="432">
        <v>1.9730000000000001</v>
      </c>
      <c r="Q12" s="433">
        <v>43578</v>
      </c>
      <c r="R12" s="432"/>
      <c r="S12" s="432" t="e">
        <f>VLOOKUP($S$11,hamchuigoi3,M12,0)</f>
        <v>#VALUE!</v>
      </c>
      <c r="T12" s="434" t="str">
        <f>$N$6&amp;" "&amp;O12</f>
        <v>SX+LD cốt thép bản quá độ D &gt; 18 A1P</v>
      </c>
    </row>
    <row r="13" spans="1:20" s="430" customFormat="1" ht="14.25" outlineLevel="2">
      <c r="A13" s="424">
        <f>SUBTOTAL(103,$B$12:B13)</f>
        <v>2</v>
      </c>
      <c r="B13" s="425">
        <f t="shared" ref="B13:B15" si="0">Q13</f>
        <v>43579</v>
      </c>
      <c r="C13" s="706" t="str">
        <f t="shared" ref="C13:C15" si="1">T13</f>
        <v>SX+LD cốt thép bản quá độ D &gt; 18 A1T</v>
      </c>
      <c r="D13" s="707"/>
      <c r="E13" s="708"/>
      <c r="F13" s="426">
        <f>'[1]Ban qua do'!$G$5/1000</f>
        <v>1.9901333999999999</v>
      </c>
      <c r="G13" s="427">
        <f t="shared" ref="G13:G15" si="2">P13</f>
        <v>1.99</v>
      </c>
      <c r="H13" s="428">
        <f t="shared" ref="H13:H15" si="3">P13</f>
        <v>1.99</v>
      </c>
      <c r="I13" s="429">
        <f t="shared" ref="I13:I15" si="4">P13</f>
        <v>1.99</v>
      </c>
      <c r="J13" s="429">
        <f t="shared" ref="J13:J15" si="5">P13</f>
        <v>1.99</v>
      </c>
      <c r="K13" s="701"/>
      <c r="N13" s="431"/>
      <c r="O13" s="431" t="s">
        <v>343</v>
      </c>
      <c r="P13" s="432">
        <v>1.99</v>
      </c>
      <c r="Q13" s="433">
        <v>43579</v>
      </c>
      <c r="R13" s="432"/>
      <c r="S13" s="432" t="e">
        <f>VLOOKUP($S$11,hamchuigoi3,M13,0)</f>
        <v>#VALUE!</v>
      </c>
      <c r="T13" s="434" t="str">
        <f t="shared" ref="T13:T15" si="6">$N$6&amp;" "&amp;O13</f>
        <v>SX+LD cốt thép bản quá độ D &gt; 18 A1T</v>
      </c>
    </row>
    <row r="14" spans="1:20" s="430" customFormat="1" ht="14.25" outlineLevel="2">
      <c r="A14" s="424">
        <f>SUBTOTAL(103,$B$12:B14)</f>
        <v>3</v>
      </c>
      <c r="B14" s="425">
        <f t="shared" si="0"/>
        <v>43581</v>
      </c>
      <c r="C14" s="706" t="str">
        <f t="shared" si="1"/>
        <v>SX+LD cốt thép bản quá độ D &gt; 18 A2P</v>
      </c>
      <c r="D14" s="707"/>
      <c r="E14" s="708"/>
      <c r="F14" s="426">
        <f>'[1]Ban qua do'!$G$26/1000</f>
        <v>1.9549097999999998</v>
      </c>
      <c r="G14" s="427">
        <f t="shared" si="2"/>
        <v>1.9550000000000001</v>
      </c>
      <c r="H14" s="428">
        <f t="shared" si="3"/>
        <v>1.9550000000000001</v>
      </c>
      <c r="I14" s="429">
        <f t="shared" si="4"/>
        <v>1.9550000000000001</v>
      </c>
      <c r="J14" s="429">
        <f t="shared" si="5"/>
        <v>1.9550000000000001</v>
      </c>
      <c r="K14" s="701"/>
      <c r="N14" s="431"/>
      <c r="O14" s="431" t="s">
        <v>344</v>
      </c>
      <c r="P14" s="432">
        <v>1.9550000000000001</v>
      </c>
      <c r="Q14" s="433">
        <v>43581</v>
      </c>
      <c r="R14" s="432"/>
      <c r="S14" s="432" t="e">
        <f>VLOOKUP($S$11,hamchuigoi3,M14,0)</f>
        <v>#VALUE!</v>
      </c>
      <c r="T14" s="434" t="str">
        <f t="shared" si="6"/>
        <v>SX+LD cốt thép bản quá độ D &gt; 18 A2P</v>
      </c>
    </row>
    <row r="15" spans="1:20" s="430" customFormat="1" ht="14.25" outlineLevel="2">
      <c r="A15" s="424">
        <f>SUBTOTAL(103,$B$12:B15)</f>
        <v>4</v>
      </c>
      <c r="B15" s="425">
        <f t="shared" si="0"/>
        <v>43582</v>
      </c>
      <c r="C15" s="706" t="str">
        <f t="shared" si="1"/>
        <v>SX+LD cốt thép bản quá độ D &gt; 18 A2T</v>
      </c>
      <c r="D15" s="707"/>
      <c r="E15" s="708"/>
      <c r="F15" s="426">
        <f>'[1]Ban qua do'!$G$19/1000</f>
        <v>1.9549097999999998</v>
      </c>
      <c r="G15" s="427">
        <f t="shared" si="2"/>
        <v>1.9550000000000001</v>
      </c>
      <c r="H15" s="428">
        <f t="shared" si="3"/>
        <v>1.9550000000000001</v>
      </c>
      <c r="I15" s="429">
        <f t="shared" si="4"/>
        <v>1.9550000000000001</v>
      </c>
      <c r="J15" s="429">
        <f t="shared" si="5"/>
        <v>1.9550000000000001</v>
      </c>
      <c r="K15" s="702"/>
      <c r="N15" s="431"/>
      <c r="O15" s="431" t="s">
        <v>345</v>
      </c>
      <c r="P15" s="432">
        <v>1.9550000000000001</v>
      </c>
      <c r="Q15" s="433">
        <v>43582</v>
      </c>
      <c r="R15" s="432"/>
      <c r="S15" s="432" t="e">
        <f>VLOOKUP($S$11,hamchuigoi3,M15,0)</f>
        <v>#VALUE!</v>
      </c>
      <c r="T15" s="434" t="str">
        <f t="shared" si="6"/>
        <v>SX+LD cốt thép bản quá độ D &gt; 18 A2T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277">
        <f>'[1]Ban qua do'!$G$40/1000</f>
        <v>7.8724745999999994</v>
      </c>
      <c r="G17" s="79">
        <f t="shared" ref="G17:J17" si="7">ROUND(SUM(G12:G16),2)</f>
        <v>7.87</v>
      </c>
      <c r="H17" s="79">
        <f t="shared" si="7"/>
        <v>7.87</v>
      </c>
      <c r="I17" s="79">
        <f t="shared" si="7"/>
        <v>7.87</v>
      </c>
      <c r="J17" s="79">
        <f t="shared" si="7"/>
        <v>7.87</v>
      </c>
      <c r="K17" s="80"/>
      <c r="N17" s="118"/>
      <c r="O17" s="118"/>
      <c r="P17" s="90">
        <f>SUM(P12:P12)</f>
        <v>1.9730000000000001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C.II.1.1.10. SX+LD cốt thép bản quá độ D &gt; 18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7.87</v>
      </c>
      <c r="B36" s="640"/>
      <c r="C36" s="640"/>
      <c r="D36" s="640"/>
      <c r="E36" s="131" t="str">
        <f>E7</f>
        <v>(T)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SX+LD cốt thép bản quá độ D &gt; 18</v>
      </c>
      <c r="E40" s="624"/>
      <c r="F40" s="624"/>
      <c r="G40" s="624"/>
      <c r="H40" s="625">
        <f t="shared" ref="H40:H63" si="8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9">DATE(M40,L40,1)</f>
        <v>42948</v>
      </c>
      <c r="P40" s="103">
        <f t="shared" ref="P40:P64" si="10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1">"Tháng "&amp;IF(L41&lt;10,0&amp;L41&amp;"/"&amp;M41,L41&amp;"/"&amp;M41)</f>
        <v>Tháng 09/2017</v>
      </c>
      <c r="C41" s="567"/>
      <c r="D41" s="568" t="str">
        <f>D40</f>
        <v>SX+LD cốt thép bản quá độ D &gt; 18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9"/>
        <v>42979</v>
      </c>
      <c r="P41" s="103">
        <f t="shared" si="10"/>
        <v>43008</v>
      </c>
    </row>
    <row r="42" spans="1:20" s="5" customFormat="1" ht="17.100000000000001" customHeight="1">
      <c r="A42" s="104">
        <f>A41+1</f>
        <v>3</v>
      </c>
      <c r="B42" s="567" t="str">
        <f t="shared" si="11"/>
        <v>Tháng 10/2017</v>
      </c>
      <c r="C42" s="567"/>
      <c r="D42" s="568" t="str">
        <f t="shared" ref="D42:D64" si="12">D41</f>
        <v>SX+LD cốt thép bản quá độ D &gt; 18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9"/>
        <v>43009</v>
      </c>
      <c r="P42" s="103">
        <f t="shared" si="10"/>
        <v>43039</v>
      </c>
    </row>
    <row r="43" spans="1:20" s="5" customFormat="1" ht="17.100000000000001" customHeight="1">
      <c r="A43" s="104">
        <f t="shared" ref="A43:A65" si="13">A42+1</f>
        <v>4</v>
      </c>
      <c r="B43" s="567" t="str">
        <f t="shared" si="11"/>
        <v>Tháng 11/2017</v>
      </c>
      <c r="C43" s="567"/>
      <c r="D43" s="568" t="str">
        <f t="shared" si="12"/>
        <v>SX+LD cốt thép bản quá độ D &gt; 18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9"/>
        <v>43040</v>
      </c>
      <c r="P43" s="103">
        <f t="shared" si="10"/>
        <v>43069</v>
      </c>
    </row>
    <row r="44" spans="1:20" s="5" customFormat="1" ht="17.100000000000001" customHeight="1">
      <c r="A44" s="104">
        <f t="shared" si="13"/>
        <v>5</v>
      </c>
      <c r="B44" s="567" t="str">
        <f t="shared" si="11"/>
        <v>Tháng 12/2017</v>
      </c>
      <c r="C44" s="567"/>
      <c r="D44" s="568" t="str">
        <f t="shared" si="12"/>
        <v>SX+LD cốt thép bản quá độ D &gt; 18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9"/>
        <v>43070</v>
      </c>
      <c r="P44" s="103">
        <f t="shared" si="10"/>
        <v>43100</v>
      </c>
    </row>
    <row r="45" spans="1:20" s="5" customFormat="1" ht="17.100000000000001" customHeight="1">
      <c r="A45" s="104">
        <f t="shared" si="13"/>
        <v>6</v>
      </c>
      <c r="B45" s="567" t="str">
        <f t="shared" si="11"/>
        <v>Tháng 01/2018</v>
      </c>
      <c r="C45" s="567"/>
      <c r="D45" s="568" t="str">
        <f t="shared" si="12"/>
        <v>SX+LD cốt thép bản quá độ D &gt; 18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9"/>
        <v>43101</v>
      </c>
      <c r="P45" s="103">
        <f t="shared" si="10"/>
        <v>43131</v>
      </c>
    </row>
    <row r="46" spans="1:20" s="5" customFormat="1" ht="17.100000000000001" customHeight="1">
      <c r="A46" s="104">
        <f t="shared" si="13"/>
        <v>7</v>
      </c>
      <c r="B46" s="567" t="str">
        <f t="shared" si="11"/>
        <v>Tháng 02/2018</v>
      </c>
      <c r="C46" s="567"/>
      <c r="D46" s="568" t="str">
        <f t="shared" si="12"/>
        <v>SX+LD cốt thép bản quá độ D &gt; 18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9"/>
        <v>43132</v>
      </c>
      <c r="P46" s="103">
        <f t="shared" si="10"/>
        <v>43159</v>
      </c>
    </row>
    <row r="47" spans="1:20" s="5" customFormat="1" ht="17.100000000000001" customHeight="1">
      <c r="A47" s="104">
        <f t="shared" si="13"/>
        <v>8</v>
      </c>
      <c r="B47" s="567" t="str">
        <f t="shared" si="11"/>
        <v>Tháng 03/2018</v>
      </c>
      <c r="C47" s="567"/>
      <c r="D47" s="568" t="str">
        <f t="shared" si="12"/>
        <v>SX+LD cốt thép bản quá độ D &gt; 18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9"/>
        <v>43160</v>
      </c>
      <c r="P47" s="103">
        <f t="shared" si="10"/>
        <v>43190</v>
      </c>
    </row>
    <row r="48" spans="1:20" s="5" customFormat="1" ht="17.100000000000001" customHeight="1">
      <c r="A48" s="104">
        <f t="shared" si="13"/>
        <v>9</v>
      </c>
      <c r="B48" s="567" t="str">
        <f t="shared" si="11"/>
        <v>Tháng 04/2018</v>
      </c>
      <c r="C48" s="567"/>
      <c r="D48" s="568" t="str">
        <f t="shared" si="12"/>
        <v>SX+LD cốt thép bản quá độ D &gt; 18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9"/>
        <v>43191</v>
      </c>
      <c r="P48" s="103">
        <f t="shared" si="10"/>
        <v>43220</v>
      </c>
    </row>
    <row r="49" spans="1:16" s="5" customFormat="1" ht="17.100000000000001" customHeight="1">
      <c r="A49" s="104">
        <f t="shared" si="13"/>
        <v>10</v>
      </c>
      <c r="B49" s="567" t="str">
        <f t="shared" si="11"/>
        <v>Tháng 05/2018</v>
      </c>
      <c r="C49" s="567"/>
      <c r="D49" s="568" t="str">
        <f t="shared" si="12"/>
        <v>SX+LD cốt thép bản quá độ D &gt; 18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9"/>
        <v>43221</v>
      </c>
      <c r="P49" s="103">
        <f t="shared" si="10"/>
        <v>43251</v>
      </c>
    </row>
    <row r="50" spans="1:16" s="5" customFormat="1" ht="17.100000000000001" customHeight="1">
      <c r="A50" s="104">
        <f t="shared" si="13"/>
        <v>11</v>
      </c>
      <c r="B50" s="567" t="str">
        <f t="shared" si="11"/>
        <v>Tháng 06/2018</v>
      </c>
      <c r="C50" s="567"/>
      <c r="D50" s="568" t="str">
        <f t="shared" si="12"/>
        <v>SX+LD cốt thép bản quá độ D &gt; 18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9"/>
        <v>43252</v>
      </c>
      <c r="P50" s="103">
        <f t="shared" si="10"/>
        <v>43281</v>
      </c>
    </row>
    <row r="51" spans="1:16" s="5" customFormat="1" ht="17.100000000000001" customHeight="1">
      <c r="A51" s="104">
        <f t="shared" si="13"/>
        <v>12</v>
      </c>
      <c r="B51" s="567" t="str">
        <f t="shared" si="11"/>
        <v>Tháng 07/2018</v>
      </c>
      <c r="C51" s="567"/>
      <c r="D51" s="568" t="str">
        <f t="shared" si="12"/>
        <v>SX+LD cốt thép bản quá độ D &gt; 18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9"/>
        <v>43282</v>
      </c>
      <c r="P51" s="103">
        <f t="shared" si="10"/>
        <v>43312</v>
      </c>
    </row>
    <row r="52" spans="1:16" s="5" customFormat="1" ht="17.100000000000001" customHeight="1">
      <c r="A52" s="104">
        <f t="shared" si="13"/>
        <v>13</v>
      </c>
      <c r="B52" s="567" t="str">
        <f t="shared" si="11"/>
        <v>Tháng 08/2018</v>
      </c>
      <c r="C52" s="567"/>
      <c r="D52" s="568" t="str">
        <f t="shared" si="12"/>
        <v>SX+LD cốt thép bản quá độ D &gt; 18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9"/>
        <v>43313</v>
      </c>
      <c r="P52" s="103">
        <f t="shared" si="10"/>
        <v>43343</v>
      </c>
    </row>
    <row r="53" spans="1:16" s="5" customFormat="1" ht="17.100000000000001" customHeight="1">
      <c r="A53" s="104">
        <f t="shared" si="13"/>
        <v>14</v>
      </c>
      <c r="B53" s="567" t="str">
        <f t="shared" si="11"/>
        <v>Tháng 09/2018</v>
      </c>
      <c r="C53" s="567"/>
      <c r="D53" s="568" t="str">
        <f t="shared" si="12"/>
        <v>SX+LD cốt thép bản quá độ D &gt; 18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9"/>
        <v>43344</v>
      </c>
      <c r="P53" s="103">
        <f t="shared" si="10"/>
        <v>43373</v>
      </c>
    </row>
    <row r="54" spans="1:16" s="5" customFormat="1" ht="17.100000000000001" customHeight="1">
      <c r="A54" s="104">
        <f t="shared" si="13"/>
        <v>15</v>
      </c>
      <c r="B54" s="567" t="str">
        <f t="shared" si="11"/>
        <v>Tháng 10/2018</v>
      </c>
      <c r="C54" s="567"/>
      <c r="D54" s="568" t="str">
        <f t="shared" si="12"/>
        <v>SX+LD cốt thép bản quá độ D &gt; 18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9"/>
        <v>43374</v>
      </c>
      <c r="P54" s="103">
        <f t="shared" si="10"/>
        <v>43404</v>
      </c>
    </row>
    <row r="55" spans="1:16" s="5" customFormat="1" ht="17.100000000000001" customHeight="1">
      <c r="A55" s="104">
        <f t="shared" si="13"/>
        <v>16</v>
      </c>
      <c r="B55" s="567" t="str">
        <f t="shared" si="11"/>
        <v>Tháng 11/2018</v>
      </c>
      <c r="C55" s="567"/>
      <c r="D55" s="568" t="str">
        <f t="shared" si="12"/>
        <v>SX+LD cốt thép bản quá độ D &gt; 18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9"/>
        <v>43405</v>
      </c>
      <c r="P55" s="103">
        <f t="shared" si="10"/>
        <v>43434</v>
      </c>
    </row>
    <row r="56" spans="1:16" s="5" customFormat="1" ht="17.100000000000001" customHeight="1">
      <c r="A56" s="104">
        <f t="shared" si="13"/>
        <v>17</v>
      </c>
      <c r="B56" s="567" t="str">
        <f t="shared" si="11"/>
        <v>Tháng 12/2018</v>
      </c>
      <c r="C56" s="567"/>
      <c r="D56" s="568" t="str">
        <f t="shared" si="12"/>
        <v>SX+LD cốt thép bản quá độ D &gt; 18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9"/>
        <v>43435</v>
      </c>
      <c r="P56" s="103">
        <f t="shared" si="10"/>
        <v>43465</v>
      </c>
    </row>
    <row r="57" spans="1:16" s="5" customFormat="1" ht="17.100000000000001" customHeight="1">
      <c r="A57" s="104">
        <f t="shared" si="13"/>
        <v>18</v>
      </c>
      <c r="B57" s="567" t="str">
        <f t="shared" si="11"/>
        <v>Tháng 01/2019</v>
      </c>
      <c r="C57" s="567"/>
      <c r="D57" s="568" t="str">
        <f t="shared" si="12"/>
        <v>SX+LD cốt thép bản quá độ D &gt; 18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9"/>
        <v>43466</v>
      </c>
      <c r="P57" s="103">
        <f t="shared" si="10"/>
        <v>43496</v>
      </c>
    </row>
    <row r="58" spans="1:16" s="5" customFormat="1" ht="17.100000000000001" customHeight="1">
      <c r="A58" s="104">
        <f t="shared" si="13"/>
        <v>19</v>
      </c>
      <c r="B58" s="567" t="str">
        <f t="shared" si="11"/>
        <v>Tháng 02/2019</v>
      </c>
      <c r="C58" s="567"/>
      <c r="D58" s="568" t="str">
        <f t="shared" si="12"/>
        <v>SX+LD cốt thép bản quá độ D &gt; 18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9"/>
        <v>43497</v>
      </c>
      <c r="P58" s="103">
        <f t="shared" si="10"/>
        <v>43524</v>
      </c>
    </row>
    <row r="59" spans="1:16" s="5" customFormat="1" ht="17.100000000000001" customHeight="1">
      <c r="A59" s="104">
        <f t="shared" si="13"/>
        <v>20</v>
      </c>
      <c r="B59" s="567" t="str">
        <f t="shared" si="11"/>
        <v>Tháng 03/2019</v>
      </c>
      <c r="C59" s="567"/>
      <c r="D59" s="568" t="str">
        <f t="shared" si="12"/>
        <v>SX+LD cốt thép bản quá độ D &gt; 18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9"/>
        <v>43525</v>
      </c>
      <c r="P59" s="103">
        <f t="shared" si="10"/>
        <v>43555</v>
      </c>
    </row>
    <row r="60" spans="1:16" s="5" customFormat="1" ht="17.100000000000001" customHeight="1">
      <c r="A60" s="104">
        <f t="shared" si="13"/>
        <v>21</v>
      </c>
      <c r="B60" s="567" t="str">
        <f t="shared" si="11"/>
        <v>Tháng 04/2019</v>
      </c>
      <c r="C60" s="567"/>
      <c r="D60" s="568" t="str">
        <f t="shared" si="12"/>
        <v>SX+LD cốt thép bản quá độ D &gt; 18</v>
      </c>
      <c r="E60" s="568"/>
      <c r="F60" s="568"/>
      <c r="G60" s="568"/>
      <c r="H60" s="569">
        <f t="shared" si="8"/>
        <v>7.8730000000000002</v>
      </c>
      <c r="I60" s="569"/>
      <c r="J60" s="567"/>
      <c r="K60" s="570"/>
      <c r="L60">
        <v>4</v>
      </c>
      <c r="M60" s="101">
        <v>2019</v>
      </c>
      <c r="N60"/>
      <c r="O60" s="103">
        <f t="shared" si="9"/>
        <v>43556</v>
      </c>
      <c r="P60" s="103">
        <f t="shared" si="10"/>
        <v>43585</v>
      </c>
    </row>
    <row r="61" spans="1:16" s="5" customFormat="1" ht="17.100000000000001" customHeight="1">
      <c r="A61" s="104">
        <f t="shared" si="13"/>
        <v>22</v>
      </c>
      <c r="B61" s="567" t="str">
        <f t="shared" si="11"/>
        <v>Tháng 05/2019</v>
      </c>
      <c r="C61" s="567"/>
      <c r="D61" s="568" t="str">
        <f t="shared" si="12"/>
        <v>SX+LD cốt thép bản quá độ D &gt; 18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9"/>
        <v>43586</v>
      </c>
      <c r="P61" s="103">
        <f t="shared" si="10"/>
        <v>43616</v>
      </c>
    </row>
    <row r="62" spans="1:16" s="5" customFormat="1" ht="17.100000000000001" customHeight="1">
      <c r="A62" s="104">
        <f t="shared" si="13"/>
        <v>23</v>
      </c>
      <c r="B62" s="567" t="str">
        <f t="shared" si="11"/>
        <v>Tháng 06/2019</v>
      </c>
      <c r="C62" s="567"/>
      <c r="D62" s="568" t="str">
        <f t="shared" si="12"/>
        <v>SX+LD cốt thép bản quá độ D &gt; 18</v>
      </c>
      <c r="E62" s="568"/>
      <c r="F62" s="568"/>
      <c r="G62" s="568"/>
      <c r="H62" s="569">
        <f t="shared" si="8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9"/>
        <v>43617</v>
      </c>
      <c r="P62" s="103">
        <f t="shared" si="10"/>
        <v>43646</v>
      </c>
    </row>
    <row r="63" spans="1:16" s="5" customFormat="1" ht="17.100000000000001" customHeight="1">
      <c r="A63" s="104">
        <f t="shared" si="13"/>
        <v>24</v>
      </c>
      <c r="B63" s="567" t="str">
        <f t="shared" si="11"/>
        <v>Tháng 07/2019</v>
      </c>
      <c r="C63" s="567"/>
      <c r="D63" s="568" t="str">
        <f t="shared" si="12"/>
        <v>SX+LD cốt thép bản quá độ D &gt; 18</v>
      </c>
      <c r="E63" s="568"/>
      <c r="F63" s="568"/>
      <c r="G63" s="568"/>
      <c r="H63" s="569">
        <f t="shared" si="8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9"/>
        <v>43647</v>
      </c>
      <c r="P63" s="103">
        <f t="shared" si="10"/>
        <v>43677</v>
      </c>
    </row>
    <row r="64" spans="1:16" s="5" customFormat="1" ht="17.100000000000001" customHeight="1">
      <c r="A64" s="104">
        <f t="shared" si="13"/>
        <v>25</v>
      </c>
      <c r="B64" s="567" t="str">
        <f t="shared" si="11"/>
        <v>Tháng 08/2019</v>
      </c>
      <c r="C64" s="567"/>
      <c r="D64" s="568" t="str">
        <f t="shared" si="12"/>
        <v>SX+LD cốt thép bản quá độ D &gt; 18</v>
      </c>
      <c r="E64" s="568"/>
      <c r="F64" s="568"/>
      <c r="G64" s="568"/>
      <c r="H64" s="569">
        <f t="shared" ref="H64:H65" si="14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9"/>
        <v>43678</v>
      </c>
      <c r="P64" s="103">
        <f t="shared" si="10"/>
        <v>43708</v>
      </c>
    </row>
    <row r="65" spans="1:20" s="5" customFormat="1" ht="17.100000000000001" customHeight="1">
      <c r="A65" s="104">
        <f t="shared" si="13"/>
        <v>26</v>
      </c>
      <c r="B65" s="616" t="str">
        <f t="shared" si="11"/>
        <v>Tháng 09/2019</v>
      </c>
      <c r="C65" s="616"/>
      <c r="D65" s="652" t="str">
        <f>D63</f>
        <v>SX+LD cốt thép bản quá độ D &gt; 18</v>
      </c>
      <c r="E65" s="652"/>
      <c r="F65" s="652"/>
      <c r="G65" s="652"/>
      <c r="H65" s="615">
        <f t="shared" si="14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5">SUM(H40:I65)</f>
        <v>7.8730000000000002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  <mergeCell ref="B65:C65"/>
    <mergeCell ref="D65:G65"/>
    <mergeCell ref="H65:I65"/>
    <mergeCell ref="J65:K65"/>
    <mergeCell ref="I9:I11"/>
    <mergeCell ref="J9:J11"/>
    <mergeCell ref="K9:K11"/>
    <mergeCell ref="C12:E12"/>
    <mergeCell ref="C16:E16"/>
    <mergeCell ref="A17:E17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rgb="FFFFFF00"/>
  </sheetPr>
  <dimension ref="A1:T81"/>
  <sheetViews>
    <sheetView topLeftCell="A3" zoomScaleSheetLayoutView="100" workbookViewId="0">
      <selection activeCell="F19" activeCellId="2" sqref="F14:F15 F18 F19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4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C.II.1.1.11. Quét nhựa bitum chống thấm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647</v>
      </c>
      <c r="N6" s="245" t="str">
        <f>THKLQT!C111</f>
        <v>Quét nhựa bitum chống thấm</v>
      </c>
      <c r="Q6" s="17"/>
    </row>
    <row r="7" spans="1:20" s="178" customFormat="1" ht="18.75" customHeight="1">
      <c r="A7" s="634">
        <f>I21</f>
        <v>1317.29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THKLQT!D111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83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43352</v>
      </c>
      <c r="C12" s="571" t="str">
        <f>T12</f>
        <v>Quét nhựa bitum chống thấm bệ mố A1R</v>
      </c>
      <c r="D12" s="572"/>
      <c r="E12" s="573"/>
      <c r="F12" s="2">
        <f>42.86*1.5</f>
        <v>64.289999999999992</v>
      </c>
      <c r="G12" s="1">
        <f t="shared" ref="G12:G19" si="0">F12</f>
        <v>64.289999999999992</v>
      </c>
      <c r="H12" s="31">
        <f>MIN(F12:G12)</f>
        <v>64.289999999999992</v>
      </c>
      <c r="I12" s="107">
        <f>H12</f>
        <v>64.289999999999992</v>
      </c>
      <c r="J12" s="107">
        <f>P12</f>
        <v>0</v>
      </c>
      <c r="K12" s="700" t="s">
        <v>677</v>
      </c>
      <c r="L12" s="4" t="s">
        <v>757</v>
      </c>
      <c r="N12" s="118"/>
      <c r="O12" s="118" t="s">
        <v>758</v>
      </c>
      <c r="P12" s="88"/>
      <c r="Q12" s="89">
        <v>43352</v>
      </c>
      <c r="R12" s="88"/>
      <c r="S12" s="88" t="e">
        <f t="shared" ref="S12:S19" si="1">VLOOKUP($S$11,hamchuigoi3,M12,0)</f>
        <v>#VALUE!</v>
      </c>
      <c r="T12" s="3" t="str">
        <f>$N$6&amp;" "&amp;O12</f>
        <v>Quét nhựa bitum chống thấm bệ mố A1R</v>
      </c>
    </row>
    <row r="13" spans="1:20" s="430" customFormat="1" ht="14.25" outlineLevel="2">
      <c r="A13" s="424">
        <f>SUBTOTAL(103,$B$12:B13)</f>
        <v>2</v>
      </c>
      <c r="B13" s="425">
        <f t="shared" ref="B13" si="2">Q13</f>
        <v>43338</v>
      </c>
      <c r="C13" s="706" t="str">
        <f t="shared" ref="C13" si="3">T13</f>
        <v>Quét nhựa bitum chống thấm bệ mố A1L</v>
      </c>
      <c r="D13" s="707"/>
      <c r="E13" s="708"/>
      <c r="F13" s="426">
        <f>43.03*1.5</f>
        <v>64.545000000000002</v>
      </c>
      <c r="G13" s="427">
        <f t="shared" si="0"/>
        <v>64.545000000000002</v>
      </c>
      <c r="H13" s="428">
        <f t="shared" ref="H13:H19" si="4">MIN(F13:G13)</f>
        <v>64.545000000000002</v>
      </c>
      <c r="I13" s="429">
        <f t="shared" ref="I13:I19" si="5">H13</f>
        <v>64.545000000000002</v>
      </c>
      <c r="J13" s="429">
        <f t="shared" ref="J13" si="6">P13</f>
        <v>0</v>
      </c>
      <c r="K13" s="701"/>
      <c r="L13" s="430" t="s">
        <v>823</v>
      </c>
      <c r="N13" s="431"/>
      <c r="O13" s="431" t="s">
        <v>759</v>
      </c>
      <c r="P13" s="432"/>
      <c r="Q13" s="433">
        <v>43338</v>
      </c>
      <c r="R13" s="432"/>
      <c r="S13" s="432" t="e">
        <f t="shared" si="1"/>
        <v>#VALUE!</v>
      </c>
      <c r="T13" s="434" t="str">
        <f t="shared" ref="T13" si="7">$N$6&amp;" "&amp;O13</f>
        <v>Quét nhựa bitum chống thấm bệ mố A1L</v>
      </c>
    </row>
    <row r="14" spans="1:20" ht="14.25" outlineLevel="2">
      <c r="A14" s="81">
        <f>SUBTOTAL(103,$B$12:B14)</f>
        <v>3</v>
      </c>
      <c r="B14" s="78">
        <f t="shared" ref="B14:B15" si="8">Q14</f>
        <v>43312</v>
      </c>
      <c r="C14" s="571" t="str">
        <f t="shared" ref="C14:C15" si="9">T14</f>
        <v>Quét nhựa bitum chống thấm bệ mố A2R</v>
      </c>
      <c r="D14" s="572"/>
      <c r="E14" s="573"/>
      <c r="F14" s="2">
        <f>46*2</f>
        <v>92</v>
      </c>
      <c r="G14" s="1">
        <f t="shared" si="0"/>
        <v>92</v>
      </c>
      <c r="H14" s="31">
        <f t="shared" si="4"/>
        <v>92</v>
      </c>
      <c r="I14" s="107">
        <f t="shared" si="5"/>
        <v>92</v>
      </c>
      <c r="J14" s="107">
        <f t="shared" ref="J14:J15" si="10">P14</f>
        <v>0</v>
      </c>
      <c r="K14" s="701"/>
      <c r="N14" s="118"/>
      <c r="O14" s="118" t="s">
        <v>760</v>
      </c>
      <c r="P14" s="88"/>
      <c r="Q14" s="89">
        <v>43312</v>
      </c>
      <c r="R14" s="88"/>
      <c r="S14" s="88" t="e">
        <f t="shared" si="1"/>
        <v>#VALUE!</v>
      </c>
      <c r="T14" s="3" t="str">
        <f t="shared" ref="T14:T15" si="11">$N$6&amp;" "&amp;O14</f>
        <v>Quét nhựa bitum chống thấm bệ mố A2R</v>
      </c>
    </row>
    <row r="15" spans="1:20" ht="14.25" outlineLevel="2">
      <c r="A15" s="81">
        <f>SUBTOTAL(103,$B$12:B15)</f>
        <v>4</v>
      </c>
      <c r="B15" s="78">
        <f t="shared" si="8"/>
        <v>43310</v>
      </c>
      <c r="C15" s="571" t="str">
        <f t="shared" si="9"/>
        <v>Quét nhựa bitum chống thấm bệ mố A2L</v>
      </c>
      <c r="D15" s="572"/>
      <c r="E15" s="573"/>
      <c r="F15" s="2">
        <f>45.45*2</f>
        <v>90.9</v>
      </c>
      <c r="G15" s="1">
        <f t="shared" si="0"/>
        <v>90.9</v>
      </c>
      <c r="H15" s="31">
        <f t="shared" si="4"/>
        <v>90.9</v>
      </c>
      <c r="I15" s="107">
        <f t="shared" si="5"/>
        <v>90.9</v>
      </c>
      <c r="J15" s="107">
        <f t="shared" si="10"/>
        <v>0</v>
      </c>
      <c r="K15" s="701"/>
      <c r="N15" s="118"/>
      <c r="O15" s="118" t="s">
        <v>761</v>
      </c>
      <c r="P15" s="88"/>
      <c r="Q15" s="89">
        <v>43310</v>
      </c>
      <c r="R15" s="88"/>
      <c r="S15" s="88" t="e">
        <f t="shared" si="1"/>
        <v>#VALUE!</v>
      </c>
      <c r="T15" s="3" t="str">
        <f t="shared" si="11"/>
        <v>Quét nhựa bitum chống thấm bệ mố A2L</v>
      </c>
    </row>
    <row r="16" spans="1:20" ht="14.25" outlineLevel="2">
      <c r="A16" s="81">
        <f>SUBTOTAL(103,$B$12:B16)</f>
        <v>5</v>
      </c>
      <c r="B16" s="78">
        <f t="shared" ref="B16" si="12">Q16</f>
        <v>43392</v>
      </c>
      <c r="C16" s="571" t="str">
        <f t="shared" ref="C16" si="13">T16</f>
        <v>Quét nhựa bitum chống thấm thân A1R</v>
      </c>
      <c r="D16" s="572"/>
      <c r="E16" s="573"/>
      <c r="F16" s="2">
        <f>65.12+(9.32+8.94)/2*11.66+36.99+10.49*0.5+20.24</f>
        <v>234.05080000000004</v>
      </c>
      <c r="G16" s="1">
        <f t="shared" si="0"/>
        <v>234.05080000000004</v>
      </c>
      <c r="H16" s="31">
        <f t="shared" si="4"/>
        <v>234.05080000000004</v>
      </c>
      <c r="I16" s="107">
        <f t="shared" si="5"/>
        <v>234.05080000000004</v>
      </c>
      <c r="J16" s="107">
        <f t="shared" ref="J16" si="14">P16</f>
        <v>0</v>
      </c>
      <c r="K16" s="701"/>
      <c r="N16" s="118"/>
      <c r="O16" s="118" t="s">
        <v>762</v>
      </c>
      <c r="P16" s="88"/>
      <c r="Q16" s="89">
        <v>43392</v>
      </c>
      <c r="R16" s="88"/>
      <c r="S16" s="88" t="e">
        <f t="shared" si="1"/>
        <v>#VALUE!</v>
      </c>
      <c r="T16" s="3" t="str">
        <f t="shared" ref="T16" si="15">$N$6&amp;" "&amp;O16</f>
        <v>Quét nhựa bitum chống thấm thân A1R</v>
      </c>
    </row>
    <row r="17" spans="1:20" s="430" customFormat="1" ht="14.25" outlineLevel="2">
      <c r="A17" s="424">
        <f>SUBTOTAL(103,$B$12:B17)</f>
        <v>6</v>
      </c>
      <c r="B17" s="425">
        <f t="shared" ref="B17:B19" si="16">Q17</f>
        <v>43378</v>
      </c>
      <c r="C17" s="706" t="str">
        <f t="shared" ref="C17:C19" si="17">T17</f>
        <v>Quét nhựa bitum chống thấm thân A1L</v>
      </c>
      <c r="D17" s="707"/>
      <c r="E17" s="708"/>
      <c r="F17" s="426">
        <f>63.94+(8.91+8.54)/2*11.88+35.22+9.72*0.5+20.24</f>
        <v>227.91300000000004</v>
      </c>
      <c r="G17" s="427">
        <f t="shared" si="0"/>
        <v>227.91300000000004</v>
      </c>
      <c r="H17" s="428">
        <f t="shared" si="4"/>
        <v>227.91300000000004</v>
      </c>
      <c r="I17" s="429">
        <f t="shared" si="5"/>
        <v>227.91300000000004</v>
      </c>
      <c r="J17" s="429">
        <f t="shared" ref="J17:J19" si="18">P17</f>
        <v>0</v>
      </c>
      <c r="K17" s="701"/>
      <c r="L17" s="430" t="s">
        <v>823</v>
      </c>
      <c r="N17" s="431"/>
      <c r="O17" s="431" t="s">
        <v>763</v>
      </c>
      <c r="P17" s="432"/>
      <c r="Q17" s="433">
        <v>43378</v>
      </c>
      <c r="R17" s="432"/>
      <c r="S17" s="432" t="e">
        <f t="shared" si="1"/>
        <v>#VALUE!</v>
      </c>
      <c r="T17" s="434" t="str">
        <f t="shared" ref="T17:T19" si="19">$N$6&amp;" "&amp;O17</f>
        <v>Quét nhựa bitum chống thấm thân A1L</v>
      </c>
    </row>
    <row r="18" spans="1:20" ht="14.25" outlineLevel="2">
      <c r="A18" s="81">
        <f>SUBTOTAL(103,$B$12:B18)</f>
        <v>7</v>
      </c>
      <c r="B18" s="78">
        <f t="shared" si="16"/>
        <v>43360</v>
      </c>
      <c r="C18" s="571" t="str">
        <f t="shared" si="17"/>
        <v>Quét nhựa bitum chống thấm thân A2R</v>
      </c>
      <c r="D18" s="572"/>
      <c r="E18" s="573"/>
      <c r="F18" s="2">
        <f>71.55+(10.84+10.51)/2*11.591+45.12+11.67*0.8+25.1</f>
        <v>274.83992500000005</v>
      </c>
      <c r="G18" s="1">
        <f t="shared" si="0"/>
        <v>274.83992500000005</v>
      </c>
      <c r="H18" s="31">
        <f t="shared" si="4"/>
        <v>274.83992500000005</v>
      </c>
      <c r="I18" s="107">
        <f t="shared" si="5"/>
        <v>274.83992500000005</v>
      </c>
      <c r="J18" s="107">
        <f t="shared" si="18"/>
        <v>0</v>
      </c>
      <c r="K18" s="701"/>
      <c r="N18" s="118"/>
      <c r="O18" s="118" t="s">
        <v>764</v>
      </c>
      <c r="P18" s="88"/>
      <c r="Q18" s="89">
        <v>43360</v>
      </c>
      <c r="R18" s="88"/>
      <c r="S18" s="88" t="e">
        <f t="shared" si="1"/>
        <v>#VALUE!</v>
      </c>
      <c r="T18" s="3" t="str">
        <f t="shared" si="19"/>
        <v>Quét nhựa bitum chống thấm thân A2R</v>
      </c>
    </row>
    <row r="19" spans="1:20" ht="14.25" outlineLevel="2">
      <c r="A19" s="81">
        <f>SUBTOTAL(103,$B$12:B19)</f>
        <v>8</v>
      </c>
      <c r="B19" s="78">
        <f t="shared" si="16"/>
        <v>43358</v>
      </c>
      <c r="C19" s="571" t="str">
        <f t="shared" si="17"/>
        <v>Quét nhựa bitum chống thấm thân A2L</v>
      </c>
      <c r="D19" s="572"/>
      <c r="E19" s="573"/>
      <c r="F19" s="2">
        <f>71.84+(10.51+10.13)/2*11.637+43.01+10.89*0.8+25.1</f>
        <v>268.75584000000003</v>
      </c>
      <c r="G19" s="1">
        <f t="shared" si="0"/>
        <v>268.75584000000003</v>
      </c>
      <c r="H19" s="31">
        <f t="shared" si="4"/>
        <v>268.75584000000003</v>
      </c>
      <c r="I19" s="107">
        <f t="shared" si="5"/>
        <v>268.75584000000003</v>
      </c>
      <c r="J19" s="107">
        <f t="shared" si="18"/>
        <v>0</v>
      </c>
      <c r="K19" s="702"/>
      <c r="N19" s="118"/>
      <c r="O19" s="118" t="s">
        <v>765</v>
      </c>
      <c r="P19" s="88"/>
      <c r="Q19" s="89">
        <v>43358</v>
      </c>
      <c r="R19" s="88"/>
      <c r="S19" s="88" t="e">
        <f t="shared" si="1"/>
        <v>#VALUE!</v>
      </c>
      <c r="T19" s="3" t="str">
        <f t="shared" si="19"/>
        <v>Quét nhựa bitum chống thấm thân A2L</v>
      </c>
    </row>
    <row r="20" spans="1:20" ht="14.25" outlineLevel="2">
      <c r="A20" s="81"/>
      <c r="B20" s="78"/>
      <c r="C20" s="571"/>
      <c r="D20" s="572"/>
      <c r="E20" s="573"/>
      <c r="F20" s="27"/>
      <c r="G20" s="33"/>
      <c r="H20" s="31"/>
      <c r="I20" s="107"/>
      <c r="J20" s="107"/>
      <c r="K20" s="82"/>
      <c r="N20" s="118"/>
      <c r="O20" s="118"/>
      <c r="P20" s="88"/>
      <c r="Q20" s="89"/>
      <c r="R20" s="88"/>
      <c r="S20" s="88"/>
      <c r="T20" s="3"/>
    </row>
    <row r="21" spans="1:20" thickBot="1">
      <c r="A21" s="574" t="s">
        <v>4</v>
      </c>
      <c r="B21" s="575"/>
      <c r="C21" s="575"/>
      <c r="D21" s="575"/>
      <c r="E21" s="575"/>
      <c r="F21" s="79">
        <f>SUM(F12:F19)</f>
        <v>1317.2945650000001</v>
      </c>
      <c r="G21" s="79">
        <f t="shared" ref="G21:J21" si="20">ROUND(SUM(G12:G20),2)</f>
        <v>1317.29</v>
      </c>
      <c r="H21" s="79">
        <f t="shared" si="20"/>
        <v>1317.29</v>
      </c>
      <c r="I21" s="79">
        <f t="shared" si="20"/>
        <v>1317.29</v>
      </c>
      <c r="J21" s="79">
        <f t="shared" si="20"/>
        <v>0</v>
      </c>
      <c r="K21" s="80"/>
      <c r="N21" s="118"/>
      <c r="O21" s="118"/>
      <c r="P21" s="90">
        <f>SUM(P12:P12)</f>
        <v>0</v>
      </c>
    </row>
    <row r="22" spans="1:20" s="175" customFormat="1" ht="18" customHeight="1" thickTop="1" thickBot="1">
      <c r="A22" s="284"/>
      <c r="B22" s="284"/>
      <c r="C22" s="284"/>
      <c r="D22" s="284"/>
      <c r="E22" s="284"/>
      <c r="F22" s="116"/>
      <c r="G22" s="116"/>
      <c r="H22" s="116"/>
      <c r="I22" s="116"/>
      <c r="J22" s="116"/>
      <c r="K22" s="117"/>
      <c r="L22" s="4"/>
      <c r="M22" s="4"/>
      <c r="N22" s="118"/>
      <c r="O22" s="118"/>
      <c r="P22" s="119"/>
      <c r="Q22" s="120"/>
      <c r="R22" s="120"/>
      <c r="S22" s="120"/>
      <c r="T22" s="121"/>
    </row>
    <row r="23" spans="1:20" s="5" customFormat="1" ht="13.9" customHeight="1" thickTop="1">
      <c r="A23" s="578" t="s">
        <v>68</v>
      </c>
      <c r="B23" s="579"/>
      <c r="C23" s="579"/>
      <c r="D23" s="579"/>
      <c r="E23" s="579"/>
      <c r="F23" s="580" t="s">
        <v>69</v>
      </c>
      <c r="G23" s="580"/>
      <c r="H23" s="580"/>
      <c r="I23" s="581"/>
      <c r="J23" s="581"/>
      <c r="K23" s="582"/>
      <c r="L23" s="4"/>
      <c r="M23" s="4"/>
      <c r="N23" s="4"/>
      <c r="O23" s="4"/>
      <c r="P23" s="4"/>
    </row>
    <row r="24" spans="1:20" s="5" customFormat="1" ht="13.9" customHeight="1">
      <c r="A24" s="583" t="s">
        <v>5</v>
      </c>
      <c r="B24" s="584"/>
      <c r="C24" s="584"/>
      <c r="D24" s="584"/>
      <c r="E24" s="584"/>
      <c r="F24" s="585" t="s">
        <v>6</v>
      </c>
      <c r="G24" s="585"/>
      <c r="H24" s="585"/>
      <c r="I24" s="586"/>
      <c r="J24" s="586"/>
      <c r="K24" s="587"/>
      <c r="L24" s="4"/>
      <c r="M24" s="4"/>
      <c r="N24" s="4"/>
      <c r="O24" s="4"/>
      <c r="P24" s="4"/>
    </row>
    <row r="25" spans="1:20" s="5" customFormat="1" ht="13.9" customHeight="1">
      <c r="A25" s="583" t="s">
        <v>836</v>
      </c>
      <c r="B25" s="584"/>
      <c r="C25" s="584"/>
      <c r="D25" s="584"/>
      <c r="E25" s="584"/>
      <c r="F25" s="590" t="s">
        <v>837</v>
      </c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>
      <c r="A27" s="583"/>
      <c r="B27" s="584"/>
      <c r="C27" s="584"/>
      <c r="D27" s="584"/>
      <c r="E27" s="584"/>
      <c r="F27" s="590"/>
      <c r="G27" s="590"/>
      <c r="H27" s="590"/>
      <c r="I27" s="591"/>
      <c r="J27" s="591"/>
      <c r="K27" s="592"/>
      <c r="L27" s="4"/>
      <c r="M27" s="4"/>
      <c r="N27" s="4"/>
      <c r="O27" s="4"/>
      <c r="P27" s="4"/>
    </row>
    <row r="28" spans="1:20" s="5" customFormat="1" ht="13.9" customHeight="1">
      <c r="A28" s="583"/>
      <c r="B28" s="584"/>
      <c r="C28" s="584"/>
      <c r="D28" s="584"/>
      <c r="E28" s="584"/>
      <c r="F28" s="590"/>
      <c r="G28" s="590"/>
      <c r="H28" s="590"/>
      <c r="I28" s="591"/>
      <c r="J28" s="591"/>
      <c r="K28" s="592"/>
      <c r="L28" s="4"/>
      <c r="M28" s="4"/>
      <c r="N28" s="4"/>
      <c r="O28" s="4"/>
      <c r="P28" s="4"/>
    </row>
    <row r="29" spans="1:20" s="5" customFormat="1" ht="13.9" customHeight="1">
      <c r="A29" s="583"/>
      <c r="B29" s="584"/>
      <c r="C29" s="584"/>
      <c r="D29" s="584"/>
      <c r="E29" s="584"/>
      <c r="F29" s="590"/>
      <c r="G29" s="590"/>
      <c r="H29" s="590"/>
      <c r="I29" s="591"/>
      <c r="J29" s="591"/>
      <c r="K29" s="592"/>
      <c r="L29" s="4"/>
      <c r="M29" s="4"/>
      <c r="N29" s="4"/>
      <c r="O29" s="4"/>
      <c r="P29" s="4"/>
    </row>
    <row r="30" spans="1:20" s="5" customFormat="1" ht="13.9" customHeight="1">
      <c r="A30" s="583"/>
      <c r="B30" s="584"/>
      <c r="C30" s="584"/>
      <c r="D30" s="584"/>
      <c r="E30" s="584"/>
      <c r="F30" s="590"/>
      <c r="G30" s="590"/>
      <c r="H30" s="590"/>
      <c r="I30" s="591"/>
      <c r="J30" s="591"/>
      <c r="K30" s="592"/>
      <c r="L30" s="4"/>
      <c r="M30" s="4"/>
      <c r="N30" s="4"/>
      <c r="O30" s="4"/>
      <c r="P30" s="4"/>
    </row>
    <row r="31" spans="1:20" s="5" customFormat="1" ht="13.9" customHeight="1" thickBot="1">
      <c r="A31" s="588"/>
      <c r="B31" s="589"/>
      <c r="C31" s="589"/>
      <c r="D31" s="589"/>
      <c r="E31" s="589"/>
      <c r="F31" s="593"/>
      <c r="G31" s="593"/>
      <c r="H31" s="593"/>
      <c r="I31" s="594"/>
      <c r="J31" s="594"/>
      <c r="K31" s="595"/>
      <c r="L31" s="4"/>
      <c r="M31" s="4"/>
      <c r="N31" s="4"/>
      <c r="O31" s="4"/>
      <c r="P31" s="4"/>
    </row>
    <row r="32" spans="1:20" s="175" customFormat="1" ht="18" customHeight="1" thickTop="1">
      <c r="A32" s="284"/>
      <c r="B32" s="284"/>
      <c r="C32" s="284"/>
      <c r="D32" s="284"/>
      <c r="E32" s="284"/>
      <c r="F32" s="116"/>
      <c r="G32" s="116"/>
      <c r="H32" s="116"/>
      <c r="I32" s="116"/>
      <c r="J32" s="116"/>
      <c r="K32" s="117"/>
      <c r="L32" s="118"/>
      <c r="M32" s="118"/>
      <c r="N32" s="118"/>
      <c r="O32" s="118"/>
      <c r="P32" s="119"/>
      <c r="Q32" s="120"/>
      <c r="R32" s="120"/>
      <c r="S32" s="120"/>
      <c r="T32" s="121"/>
    </row>
    <row r="33" spans="1:20" s="111" customFormat="1" ht="48" customHeight="1">
      <c r="A33" s="596" t="s">
        <v>87</v>
      </c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108"/>
      <c r="M33" s="109"/>
      <c r="N33" s="110"/>
    </row>
    <row r="34" spans="1:20" s="112" customFormat="1" ht="18" customHeight="1">
      <c r="A34" s="597" t="s">
        <v>599</v>
      </c>
      <c r="B34" s="597"/>
      <c r="C34" s="597"/>
      <c r="D34" s="597"/>
      <c r="E34" s="597"/>
      <c r="F34" s="597"/>
      <c r="G34" s="597"/>
      <c r="H34" s="597"/>
      <c r="I34" s="597"/>
      <c r="J34" s="597"/>
      <c r="K34" s="597"/>
    </row>
    <row r="35" spans="1:20" s="175" customFormat="1" ht="20.100000000000001" customHeight="1">
      <c r="A35" s="598" t="s">
        <v>90</v>
      </c>
      <c r="B35" s="598"/>
      <c r="C35" s="598"/>
      <c r="D35" s="598"/>
      <c r="E35" s="598"/>
      <c r="F35" s="598"/>
      <c r="G35" s="598"/>
      <c r="H35" s="598"/>
      <c r="I35" s="598"/>
      <c r="J35" s="598"/>
      <c r="K35" s="598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599" t="s">
        <v>91</v>
      </c>
      <c r="B36" s="599"/>
      <c r="C36" s="599"/>
      <c r="D36" s="599"/>
      <c r="E36" s="599"/>
      <c r="F36" s="599"/>
      <c r="G36" s="599"/>
      <c r="H36" s="599"/>
      <c r="I36" s="599"/>
      <c r="J36" s="599"/>
      <c r="K36" s="599"/>
      <c r="L36" s="123"/>
      <c r="M36" s="124"/>
      <c r="N36" s="123"/>
      <c r="O36" s="123"/>
      <c r="P36" s="123"/>
      <c r="Q36" s="123"/>
      <c r="R36" s="123"/>
      <c r="S36" s="123"/>
      <c r="T36" s="123"/>
    </row>
    <row r="37" spans="1:20" s="175" customFormat="1" ht="15.95" customHeight="1">
      <c r="A37" s="600" t="str">
        <f>A4</f>
        <v>PHẦN C.: CẦU VƯỢT</v>
      </c>
      <c r="B37" s="601"/>
      <c r="C37" s="601"/>
      <c r="D37" s="601"/>
      <c r="E37" s="601"/>
      <c r="F37" s="601"/>
      <c r="G37" s="601"/>
      <c r="H37" s="601"/>
      <c r="I37" s="601"/>
      <c r="J37" s="601"/>
      <c r="K37" s="602"/>
      <c r="L37" s="123"/>
      <c r="M37" s="124"/>
      <c r="N37" s="123"/>
      <c r="O37" s="123"/>
      <c r="P37" s="123"/>
      <c r="Q37" s="123"/>
      <c r="R37" s="123"/>
      <c r="S37" s="123"/>
      <c r="T37" s="123"/>
    </row>
    <row r="38" spans="1:20" s="175" customFormat="1" ht="15.95" customHeight="1">
      <c r="A38" s="285" t="str">
        <f>A5</f>
        <v>Hạng mục C.II. HỆ MẶT CẦU, LAN CAN, THẢM MẶT CẦU, THOÁT NƯỚC, KHE CO GIÃN</v>
      </c>
      <c r="B38" s="286"/>
      <c r="C38" s="127"/>
      <c r="D38" s="127"/>
      <c r="E38" s="128"/>
      <c r="F38" s="129"/>
      <c r="G38" s="129"/>
      <c r="H38" s="129"/>
      <c r="I38" s="129"/>
      <c r="J38" s="129"/>
      <c r="K38" s="130"/>
      <c r="L38" s="123"/>
      <c r="M38" s="124"/>
      <c r="N38" s="123"/>
      <c r="O38" s="123"/>
      <c r="P38" s="123"/>
      <c r="Q38" s="123"/>
      <c r="R38" s="123"/>
      <c r="S38" s="123"/>
      <c r="T38" s="123"/>
    </row>
    <row r="39" spans="1:20" s="175" customFormat="1" ht="15.95" customHeight="1">
      <c r="A39" s="285" t="str">
        <f>A6</f>
        <v>Mục C.II.1.1.11. Quét nhựa bitum chống thấm</v>
      </c>
      <c r="B39" s="286"/>
      <c r="C39" s="127"/>
      <c r="D39" s="127"/>
      <c r="E39" s="128"/>
      <c r="F39" s="129"/>
      <c r="G39" s="129"/>
      <c r="H39" s="129"/>
      <c r="I39" s="129"/>
      <c r="J39" s="129"/>
      <c r="K39" s="130"/>
      <c r="L39" s="123"/>
      <c r="M39" s="124"/>
      <c r="N39" s="123"/>
      <c r="O39" s="123"/>
      <c r="P39" s="123"/>
      <c r="Q39" s="123"/>
      <c r="R39" s="123"/>
      <c r="S39" s="123"/>
      <c r="T39" s="123"/>
    </row>
    <row r="40" spans="1:20" s="175" customFormat="1" ht="15.95" customHeight="1">
      <c r="A40" s="639">
        <f>A7</f>
        <v>1317.29</v>
      </c>
      <c r="B40" s="640"/>
      <c r="C40" s="640"/>
      <c r="D40" s="640"/>
      <c r="E40" s="131" t="str">
        <f>E7</f>
        <v>(m2)</v>
      </c>
      <c r="F40" s="132"/>
      <c r="G40" s="132"/>
      <c r="H40" s="132"/>
      <c r="I40" s="132"/>
      <c r="J40" s="132"/>
      <c r="K40" s="133"/>
      <c r="L40" s="173"/>
      <c r="M40" s="135"/>
      <c r="N40" s="174"/>
      <c r="P40" s="174"/>
    </row>
    <row r="41" spans="1:20" s="5" customFormat="1" ht="13.5" customHeight="1" thickBot="1">
      <c r="A41" s="28"/>
      <c r="B41" s="28"/>
      <c r="C41" s="28"/>
      <c r="D41" s="28"/>
      <c r="E41" s="28"/>
      <c r="F41" s="30"/>
      <c r="G41" s="30"/>
      <c r="H41" s="30"/>
      <c r="I41" s="30"/>
      <c r="J41" s="30"/>
      <c r="K41" s="8"/>
      <c r="L41" s="23"/>
      <c r="M41" s="9"/>
      <c r="N41" s="4"/>
      <c r="O41" s="4"/>
      <c r="P41" s="4"/>
      <c r="R41" s="4"/>
      <c r="S41" s="4"/>
      <c r="T41" s="4"/>
    </row>
    <row r="42" spans="1:20" s="5" customFormat="1" ht="21.6" customHeight="1" thickTop="1">
      <c r="A42" s="576" t="s">
        <v>3</v>
      </c>
      <c r="B42" s="641" t="s">
        <v>84</v>
      </c>
      <c r="C42" s="641"/>
      <c r="D42" s="643" t="s">
        <v>96</v>
      </c>
      <c r="E42" s="643"/>
      <c r="F42" s="643"/>
      <c r="G42" s="643"/>
      <c r="H42" s="641" t="s">
        <v>89</v>
      </c>
      <c r="I42" s="641"/>
      <c r="J42" s="641" t="s">
        <v>85</v>
      </c>
      <c r="K42" s="645"/>
      <c r="L42"/>
      <c r="M42" s="94"/>
      <c r="N42" s="94"/>
      <c r="O42" s="95"/>
      <c r="P42" s="96"/>
    </row>
    <row r="43" spans="1:20" s="5" customFormat="1" ht="21.6" customHeight="1">
      <c r="A43" s="577"/>
      <c r="B43" s="642"/>
      <c r="C43" s="642"/>
      <c r="D43" s="644"/>
      <c r="E43" s="644"/>
      <c r="F43" s="644"/>
      <c r="G43" s="644"/>
      <c r="H43" s="642"/>
      <c r="I43" s="642"/>
      <c r="J43" s="642"/>
      <c r="K43" s="646"/>
      <c r="L43"/>
      <c r="M43" s="97"/>
      <c r="N43" s="97"/>
      <c r="O43" s="98"/>
      <c r="P43" s="99"/>
    </row>
    <row r="44" spans="1:20" s="5" customFormat="1" ht="17.100000000000001" customHeight="1">
      <c r="A44" s="100">
        <v>1</v>
      </c>
      <c r="B44" s="623" t="str">
        <f>"Tháng "&amp;IF(L44&lt;10,0&amp;L44&amp;"/"&amp;M44,L44&amp;"/"&amp;M44)</f>
        <v>Tháng 08/2017</v>
      </c>
      <c r="C44" s="623"/>
      <c r="D44" s="624" t="str">
        <f>N6</f>
        <v>Quét nhựa bitum chống thấm</v>
      </c>
      <c r="E44" s="624"/>
      <c r="F44" s="624"/>
      <c r="G44" s="624"/>
      <c r="H44" s="625">
        <f t="shared" ref="H44:H67" si="21">+SUMIFS($I$12:$I$20,$B$12:$B$20,"&gt;="&amp;$O44,$B$12:$B$20,"&lt;="&amp;$P44)</f>
        <v>0</v>
      </c>
      <c r="I44" s="625"/>
      <c r="J44" s="623"/>
      <c r="K44" s="626"/>
      <c r="L44">
        <v>8</v>
      </c>
      <c r="M44" s="101">
        <v>2017</v>
      </c>
      <c r="N44" s="97"/>
      <c r="O44" s="103">
        <f t="shared" ref="O44:O68" si="22">DATE(M44,L44,1)</f>
        <v>42948</v>
      </c>
      <c r="P44" s="103">
        <f t="shared" ref="P44:P68" si="23">DATE(M44,L44+1,0)</f>
        <v>42978</v>
      </c>
    </row>
    <row r="45" spans="1:20" s="5" customFormat="1" ht="17.100000000000001" customHeight="1">
      <c r="A45" s="104">
        <v>2</v>
      </c>
      <c r="B45" s="567" t="str">
        <f t="shared" ref="B45:B69" si="24">"Tháng "&amp;IF(L45&lt;10,0&amp;L45&amp;"/"&amp;M45,L45&amp;"/"&amp;M45)</f>
        <v>Tháng 09/2017</v>
      </c>
      <c r="C45" s="567"/>
      <c r="D45" s="568" t="str">
        <f>D44</f>
        <v>Quét nhựa bitum chống thấm</v>
      </c>
      <c r="E45" s="568"/>
      <c r="F45" s="568"/>
      <c r="G45" s="568"/>
      <c r="H45" s="569">
        <f t="shared" si="21"/>
        <v>0</v>
      </c>
      <c r="I45" s="569"/>
      <c r="J45" s="567"/>
      <c r="K45" s="570"/>
      <c r="L45">
        <v>9</v>
      </c>
      <c r="M45" s="101">
        <v>2017</v>
      </c>
      <c r="N45"/>
      <c r="O45" s="103">
        <f t="shared" si="22"/>
        <v>42979</v>
      </c>
      <c r="P45" s="103">
        <f t="shared" si="23"/>
        <v>43008</v>
      </c>
    </row>
    <row r="46" spans="1:20" s="5" customFormat="1" ht="17.100000000000001" customHeight="1">
      <c r="A46" s="104">
        <f>A45+1</f>
        <v>3</v>
      </c>
      <c r="B46" s="567" t="str">
        <f t="shared" si="24"/>
        <v>Tháng 10/2017</v>
      </c>
      <c r="C46" s="567"/>
      <c r="D46" s="568" t="str">
        <f t="shared" ref="D46:D68" si="25">D45</f>
        <v>Quét nhựa bitum chống thấm</v>
      </c>
      <c r="E46" s="568"/>
      <c r="F46" s="568"/>
      <c r="G46" s="568"/>
      <c r="H46" s="569">
        <f t="shared" si="21"/>
        <v>0</v>
      </c>
      <c r="I46" s="569"/>
      <c r="J46" s="567"/>
      <c r="K46" s="570"/>
      <c r="L46">
        <v>10</v>
      </c>
      <c r="M46" s="101">
        <v>2017</v>
      </c>
      <c r="N46"/>
      <c r="O46" s="103">
        <f t="shared" si="22"/>
        <v>43009</v>
      </c>
      <c r="P46" s="103">
        <f t="shared" si="23"/>
        <v>43039</v>
      </c>
    </row>
    <row r="47" spans="1:20" s="5" customFormat="1" ht="17.100000000000001" customHeight="1">
      <c r="A47" s="104">
        <f t="shared" ref="A47:A69" si="26">A46+1</f>
        <v>4</v>
      </c>
      <c r="B47" s="567" t="str">
        <f t="shared" si="24"/>
        <v>Tháng 11/2017</v>
      </c>
      <c r="C47" s="567"/>
      <c r="D47" s="568" t="str">
        <f t="shared" si="25"/>
        <v>Quét nhựa bitum chống thấm</v>
      </c>
      <c r="E47" s="568"/>
      <c r="F47" s="568"/>
      <c r="G47" s="568"/>
      <c r="H47" s="569">
        <f t="shared" si="21"/>
        <v>0</v>
      </c>
      <c r="I47" s="569"/>
      <c r="J47" s="567"/>
      <c r="K47" s="570"/>
      <c r="L47">
        <v>11</v>
      </c>
      <c r="M47" s="101">
        <v>2017</v>
      </c>
      <c r="N47"/>
      <c r="O47" s="103">
        <f t="shared" si="22"/>
        <v>43040</v>
      </c>
      <c r="P47" s="103">
        <f t="shared" si="23"/>
        <v>43069</v>
      </c>
    </row>
    <row r="48" spans="1:20" s="5" customFormat="1" ht="17.100000000000001" customHeight="1">
      <c r="A48" s="104">
        <f t="shared" si="26"/>
        <v>5</v>
      </c>
      <c r="B48" s="567" t="str">
        <f t="shared" si="24"/>
        <v>Tháng 12/2017</v>
      </c>
      <c r="C48" s="567"/>
      <c r="D48" s="568" t="str">
        <f t="shared" si="25"/>
        <v>Quét nhựa bitum chống thấm</v>
      </c>
      <c r="E48" s="568"/>
      <c r="F48" s="568"/>
      <c r="G48" s="568"/>
      <c r="H48" s="569">
        <f t="shared" si="21"/>
        <v>0</v>
      </c>
      <c r="I48" s="569"/>
      <c r="J48" s="567"/>
      <c r="K48" s="570"/>
      <c r="L48">
        <v>12</v>
      </c>
      <c r="M48" s="101">
        <v>2017</v>
      </c>
      <c r="N48"/>
      <c r="O48" s="103">
        <f t="shared" si="22"/>
        <v>43070</v>
      </c>
      <c r="P48" s="103">
        <f t="shared" si="23"/>
        <v>43100</v>
      </c>
    </row>
    <row r="49" spans="1:16" s="5" customFormat="1" ht="17.100000000000001" customHeight="1">
      <c r="A49" s="104">
        <f t="shared" si="26"/>
        <v>6</v>
      </c>
      <c r="B49" s="567" t="str">
        <f t="shared" si="24"/>
        <v>Tháng 01/2018</v>
      </c>
      <c r="C49" s="567"/>
      <c r="D49" s="568" t="str">
        <f t="shared" si="25"/>
        <v>Quét nhựa bitum chống thấm</v>
      </c>
      <c r="E49" s="568"/>
      <c r="F49" s="568"/>
      <c r="G49" s="568"/>
      <c r="H49" s="569">
        <f t="shared" si="21"/>
        <v>0</v>
      </c>
      <c r="I49" s="569"/>
      <c r="J49" s="567"/>
      <c r="K49" s="570"/>
      <c r="L49">
        <v>1</v>
      </c>
      <c r="M49" s="101">
        <v>2018</v>
      </c>
      <c r="N49"/>
      <c r="O49" s="103">
        <f t="shared" si="22"/>
        <v>43101</v>
      </c>
      <c r="P49" s="103">
        <f t="shared" si="23"/>
        <v>43131</v>
      </c>
    </row>
    <row r="50" spans="1:16" s="5" customFormat="1" ht="17.100000000000001" customHeight="1">
      <c r="A50" s="104">
        <f t="shared" si="26"/>
        <v>7</v>
      </c>
      <c r="B50" s="567" t="str">
        <f t="shared" si="24"/>
        <v>Tháng 02/2018</v>
      </c>
      <c r="C50" s="567"/>
      <c r="D50" s="568" t="str">
        <f t="shared" si="25"/>
        <v>Quét nhựa bitum chống thấm</v>
      </c>
      <c r="E50" s="568"/>
      <c r="F50" s="568"/>
      <c r="G50" s="568"/>
      <c r="H50" s="569">
        <f t="shared" si="21"/>
        <v>0</v>
      </c>
      <c r="I50" s="569"/>
      <c r="J50" s="567"/>
      <c r="K50" s="570"/>
      <c r="L50">
        <v>2</v>
      </c>
      <c r="M50" s="101">
        <v>2018</v>
      </c>
      <c r="N50"/>
      <c r="O50" s="103">
        <f t="shared" si="22"/>
        <v>43132</v>
      </c>
      <c r="P50" s="103">
        <f t="shared" si="23"/>
        <v>43159</v>
      </c>
    </row>
    <row r="51" spans="1:16" s="5" customFormat="1" ht="17.100000000000001" customHeight="1">
      <c r="A51" s="104">
        <f t="shared" si="26"/>
        <v>8</v>
      </c>
      <c r="B51" s="567" t="str">
        <f t="shared" si="24"/>
        <v>Tháng 03/2018</v>
      </c>
      <c r="C51" s="567"/>
      <c r="D51" s="568" t="str">
        <f t="shared" si="25"/>
        <v>Quét nhựa bitum chống thấm</v>
      </c>
      <c r="E51" s="568"/>
      <c r="F51" s="568"/>
      <c r="G51" s="568"/>
      <c r="H51" s="569">
        <f t="shared" si="21"/>
        <v>0</v>
      </c>
      <c r="I51" s="569"/>
      <c r="J51" s="567"/>
      <c r="K51" s="570"/>
      <c r="L51">
        <v>3</v>
      </c>
      <c r="M51" s="101">
        <v>2018</v>
      </c>
      <c r="N51"/>
      <c r="O51" s="103">
        <f t="shared" si="22"/>
        <v>43160</v>
      </c>
      <c r="P51" s="103">
        <f t="shared" si="23"/>
        <v>43190</v>
      </c>
    </row>
    <row r="52" spans="1:16" s="5" customFormat="1" ht="17.100000000000001" customHeight="1">
      <c r="A52" s="104">
        <f t="shared" si="26"/>
        <v>9</v>
      </c>
      <c r="B52" s="567" t="str">
        <f t="shared" si="24"/>
        <v>Tháng 04/2018</v>
      </c>
      <c r="C52" s="567"/>
      <c r="D52" s="568" t="str">
        <f t="shared" si="25"/>
        <v>Quét nhựa bitum chống thấm</v>
      </c>
      <c r="E52" s="568"/>
      <c r="F52" s="568"/>
      <c r="G52" s="568"/>
      <c r="H52" s="569">
        <f t="shared" si="21"/>
        <v>0</v>
      </c>
      <c r="I52" s="569"/>
      <c r="J52" s="567"/>
      <c r="K52" s="570"/>
      <c r="L52">
        <v>4</v>
      </c>
      <c r="M52" s="101">
        <v>2018</v>
      </c>
      <c r="N52"/>
      <c r="O52" s="103">
        <f t="shared" si="22"/>
        <v>43191</v>
      </c>
      <c r="P52" s="103">
        <f t="shared" si="23"/>
        <v>43220</v>
      </c>
    </row>
    <row r="53" spans="1:16" s="5" customFormat="1" ht="17.100000000000001" customHeight="1">
      <c r="A53" s="104">
        <f t="shared" si="26"/>
        <v>10</v>
      </c>
      <c r="B53" s="567" t="str">
        <f t="shared" si="24"/>
        <v>Tháng 05/2018</v>
      </c>
      <c r="C53" s="567"/>
      <c r="D53" s="568" t="str">
        <f t="shared" si="25"/>
        <v>Quét nhựa bitum chống thấm</v>
      </c>
      <c r="E53" s="568"/>
      <c r="F53" s="568"/>
      <c r="G53" s="568"/>
      <c r="H53" s="569">
        <f t="shared" si="21"/>
        <v>0</v>
      </c>
      <c r="I53" s="569"/>
      <c r="J53" s="567"/>
      <c r="K53" s="570"/>
      <c r="L53">
        <v>5</v>
      </c>
      <c r="M53" s="101">
        <v>2018</v>
      </c>
      <c r="N53"/>
      <c r="O53" s="103">
        <f t="shared" si="22"/>
        <v>43221</v>
      </c>
      <c r="P53" s="103">
        <f t="shared" si="23"/>
        <v>43251</v>
      </c>
    </row>
    <row r="54" spans="1:16" s="5" customFormat="1" ht="17.100000000000001" customHeight="1">
      <c r="A54" s="104">
        <f t="shared" si="26"/>
        <v>11</v>
      </c>
      <c r="B54" s="567" t="str">
        <f t="shared" si="24"/>
        <v>Tháng 06/2018</v>
      </c>
      <c r="C54" s="567"/>
      <c r="D54" s="568" t="str">
        <f t="shared" si="25"/>
        <v>Quét nhựa bitum chống thấm</v>
      </c>
      <c r="E54" s="568"/>
      <c r="F54" s="568"/>
      <c r="G54" s="568"/>
      <c r="H54" s="569">
        <f t="shared" si="21"/>
        <v>0</v>
      </c>
      <c r="I54" s="569"/>
      <c r="J54" s="567"/>
      <c r="K54" s="570"/>
      <c r="L54">
        <v>6</v>
      </c>
      <c r="M54" s="101">
        <v>2018</v>
      </c>
      <c r="N54"/>
      <c r="O54" s="103">
        <f t="shared" si="22"/>
        <v>43252</v>
      </c>
      <c r="P54" s="103">
        <f t="shared" si="23"/>
        <v>43281</v>
      </c>
    </row>
    <row r="55" spans="1:16" s="5" customFormat="1" ht="17.100000000000001" customHeight="1">
      <c r="A55" s="104">
        <f t="shared" si="26"/>
        <v>12</v>
      </c>
      <c r="B55" s="567" t="str">
        <f t="shared" si="24"/>
        <v>Tháng 07/2018</v>
      </c>
      <c r="C55" s="567"/>
      <c r="D55" s="568" t="str">
        <f t="shared" si="25"/>
        <v>Quét nhựa bitum chống thấm</v>
      </c>
      <c r="E55" s="568"/>
      <c r="F55" s="568"/>
      <c r="G55" s="568"/>
      <c r="H55" s="569">
        <f t="shared" si="21"/>
        <v>182.9</v>
      </c>
      <c r="I55" s="569"/>
      <c r="J55" s="567"/>
      <c r="K55" s="570"/>
      <c r="L55">
        <v>7</v>
      </c>
      <c r="M55" s="101">
        <v>2018</v>
      </c>
      <c r="N55"/>
      <c r="O55" s="103">
        <f t="shared" si="22"/>
        <v>43282</v>
      </c>
      <c r="P55" s="103">
        <f t="shared" si="23"/>
        <v>43312</v>
      </c>
    </row>
    <row r="56" spans="1:16" s="5" customFormat="1" ht="17.100000000000001" customHeight="1">
      <c r="A56" s="104">
        <f t="shared" si="26"/>
        <v>13</v>
      </c>
      <c r="B56" s="567" t="str">
        <f t="shared" si="24"/>
        <v>Tháng 08/2018</v>
      </c>
      <c r="C56" s="567"/>
      <c r="D56" s="568" t="str">
        <f t="shared" si="25"/>
        <v>Quét nhựa bitum chống thấm</v>
      </c>
      <c r="E56" s="568"/>
      <c r="F56" s="568"/>
      <c r="G56" s="568"/>
      <c r="H56" s="569">
        <f t="shared" si="21"/>
        <v>64.545000000000002</v>
      </c>
      <c r="I56" s="569"/>
      <c r="J56" s="567"/>
      <c r="K56" s="570"/>
      <c r="L56">
        <v>8</v>
      </c>
      <c r="M56" s="101">
        <v>2018</v>
      </c>
      <c r="N56"/>
      <c r="O56" s="103">
        <f t="shared" si="22"/>
        <v>43313</v>
      </c>
      <c r="P56" s="103">
        <f t="shared" si="23"/>
        <v>43343</v>
      </c>
    </row>
    <row r="57" spans="1:16" s="5" customFormat="1" ht="17.100000000000001" customHeight="1">
      <c r="A57" s="104">
        <f t="shared" si="26"/>
        <v>14</v>
      </c>
      <c r="B57" s="567" t="str">
        <f t="shared" si="24"/>
        <v>Tháng 09/2018</v>
      </c>
      <c r="C57" s="567"/>
      <c r="D57" s="568" t="str">
        <f t="shared" si="25"/>
        <v>Quét nhựa bitum chống thấm</v>
      </c>
      <c r="E57" s="568"/>
      <c r="F57" s="568"/>
      <c r="G57" s="568"/>
      <c r="H57" s="569">
        <f t="shared" si="21"/>
        <v>607.88576500000011</v>
      </c>
      <c r="I57" s="569"/>
      <c r="J57" s="567"/>
      <c r="K57" s="570"/>
      <c r="L57">
        <v>9</v>
      </c>
      <c r="M57" s="101">
        <v>2018</v>
      </c>
      <c r="N57"/>
      <c r="O57" s="103">
        <f t="shared" si="22"/>
        <v>43344</v>
      </c>
      <c r="P57" s="103">
        <f t="shared" si="23"/>
        <v>43373</v>
      </c>
    </row>
    <row r="58" spans="1:16" s="5" customFormat="1" ht="17.100000000000001" customHeight="1">
      <c r="A58" s="104">
        <f t="shared" si="26"/>
        <v>15</v>
      </c>
      <c r="B58" s="567" t="str">
        <f t="shared" si="24"/>
        <v>Tháng 10/2018</v>
      </c>
      <c r="C58" s="567"/>
      <c r="D58" s="568" t="str">
        <f t="shared" si="25"/>
        <v>Quét nhựa bitum chống thấm</v>
      </c>
      <c r="E58" s="568"/>
      <c r="F58" s="568"/>
      <c r="G58" s="568"/>
      <c r="H58" s="569">
        <f t="shared" si="21"/>
        <v>461.96380000000011</v>
      </c>
      <c r="I58" s="569"/>
      <c r="J58" s="567"/>
      <c r="K58" s="570"/>
      <c r="L58">
        <v>10</v>
      </c>
      <c r="M58" s="101">
        <v>2018</v>
      </c>
      <c r="N58"/>
      <c r="O58" s="103">
        <f t="shared" si="22"/>
        <v>43374</v>
      </c>
      <c r="P58" s="103">
        <f t="shared" si="23"/>
        <v>43404</v>
      </c>
    </row>
    <row r="59" spans="1:16" s="5" customFormat="1" ht="17.100000000000001" customHeight="1">
      <c r="A59" s="104">
        <f t="shared" si="26"/>
        <v>16</v>
      </c>
      <c r="B59" s="567" t="str">
        <f t="shared" si="24"/>
        <v>Tháng 11/2018</v>
      </c>
      <c r="C59" s="567"/>
      <c r="D59" s="568" t="str">
        <f t="shared" si="25"/>
        <v>Quét nhựa bitum chống thấm</v>
      </c>
      <c r="E59" s="568"/>
      <c r="F59" s="568"/>
      <c r="G59" s="568"/>
      <c r="H59" s="569">
        <f t="shared" si="21"/>
        <v>0</v>
      </c>
      <c r="I59" s="569"/>
      <c r="J59" s="567"/>
      <c r="K59" s="570"/>
      <c r="L59">
        <v>11</v>
      </c>
      <c r="M59" s="101">
        <v>2018</v>
      </c>
      <c r="N59"/>
      <c r="O59" s="103">
        <f t="shared" si="22"/>
        <v>43405</v>
      </c>
      <c r="P59" s="103">
        <f t="shared" si="23"/>
        <v>43434</v>
      </c>
    </row>
    <row r="60" spans="1:16" s="5" customFormat="1" ht="17.100000000000001" customHeight="1">
      <c r="A60" s="104">
        <f t="shared" si="26"/>
        <v>17</v>
      </c>
      <c r="B60" s="567" t="str">
        <f t="shared" si="24"/>
        <v>Tháng 12/2018</v>
      </c>
      <c r="C60" s="567"/>
      <c r="D60" s="568" t="str">
        <f t="shared" si="25"/>
        <v>Quét nhựa bitum chống thấm</v>
      </c>
      <c r="E60" s="568"/>
      <c r="F60" s="568"/>
      <c r="G60" s="568"/>
      <c r="H60" s="569">
        <f t="shared" si="21"/>
        <v>0</v>
      </c>
      <c r="I60" s="569"/>
      <c r="J60" s="567"/>
      <c r="K60" s="570"/>
      <c r="L60">
        <v>12</v>
      </c>
      <c r="M60" s="101">
        <v>2018</v>
      </c>
      <c r="N60"/>
      <c r="O60" s="103">
        <f t="shared" si="22"/>
        <v>43435</v>
      </c>
      <c r="P60" s="103">
        <f t="shared" si="23"/>
        <v>43465</v>
      </c>
    </row>
    <row r="61" spans="1:16" s="5" customFormat="1" ht="17.100000000000001" customHeight="1">
      <c r="A61" s="104">
        <f t="shared" si="26"/>
        <v>18</v>
      </c>
      <c r="B61" s="567" t="str">
        <f t="shared" si="24"/>
        <v>Tháng 01/2019</v>
      </c>
      <c r="C61" s="567"/>
      <c r="D61" s="568" t="str">
        <f t="shared" si="25"/>
        <v>Quét nhựa bitum chống thấm</v>
      </c>
      <c r="E61" s="568"/>
      <c r="F61" s="568"/>
      <c r="G61" s="568"/>
      <c r="H61" s="569">
        <f t="shared" si="21"/>
        <v>0</v>
      </c>
      <c r="I61" s="569"/>
      <c r="J61" s="567"/>
      <c r="K61" s="570"/>
      <c r="L61">
        <v>1</v>
      </c>
      <c r="M61" s="101">
        <v>2019</v>
      </c>
      <c r="N61"/>
      <c r="O61" s="103">
        <f t="shared" si="22"/>
        <v>43466</v>
      </c>
      <c r="P61" s="103">
        <f t="shared" si="23"/>
        <v>43496</v>
      </c>
    </row>
    <row r="62" spans="1:16" s="5" customFormat="1" ht="17.100000000000001" customHeight="1">
      <c r="A62" s="104">
        <f t="shared" si="26"/>
        <v>19</v>
      </c>
      <c r="B62" s="567" t="str">
        <f t="shared" si="24"/>
        <v>Tháng 02/2019</v>
      </c>
      <c r="C62" s="567"/>
      <c r="D62" s="568" t="str">
        <f t="shared" si="25"/>
        <v>Quét nhựa bitum chống thấm</v>
      </c>
      <c r="E62" s="568"/>
      <c r="F62" s="568"/>
      <c r="G62" s="568"/>
      <c r="H62" s="569">
        <f t="shared" si="21"/>
        <v>0</v>
      </c>
      <c r="I62" s="569"/>
      <c r="J62" s="567"/>
      <c r="K62" s="570"/>
      <c r="L62">
        <v>2</v>
      </c>
      <c r="M62" s="101">
        <v>2019</v>
      </c>
      <c r="N62"/>
      <c r="O62" s="103">
        <f t="shared" si="22"/>
        <v>43497</v>
      </c>
      <c r="P62" s="103">
        <f t="shared" si="23"/>
        <v>43524</v>
      </c>
    </row>
    <row r="63" spans="1:16" s="5" customFormat="1" ht="17.100000000000001" customHeight="1">
      <c r="A63" s="104">
        <f t="shared" si="26"/>
        <v>20</v>
      </c>
      <c r="B63" s="567" t="str">
        <f t="shared" si="24"/>
        <v>Tháng 03/2019</v>
      </c>
      <c r="C63" s="567"/>
      <c r="D63" s="568" t="str">
        <f t="shared" si="25"/>
        <v>Quét nhựa bitum chống thấm</v>
      </c>
      <c r="E63" s="568"/>
      <c r="F63" s="568"/>
      <c r="G63" s="568"/>
      <c r="H63" s="569">
        <f t="shared" si="21"/>
        <v>0</v>
      </c>
      <c r="I63" s="569"/>
      <c r="J63" s="567"/>
      <c r="K63" s="570"/>
      <c r="L63">
        <v>3</v>
      </c>
      <c r="M63" s="101">
        <v>2019</v>
      </c>
      <c r="N63"/>
      <c r="O63" s="103">
        <f t="shared" si="22"/>
        <v>43525</v>
      </c>
      <c r="P63" s="103">
        <f t="shared" si="23"/>
        <v>43555</v>
      </c>
    </row>
    <row r="64" spans="1:16" s="5" customFormat="1" ht="17.100000000000001" customHeight="1">
      <c r="A64" s="104">
        <f t="shared" si="26"/>
        <v>21</v>
      </c>
      <c r="B64" s="567" t="str">
        <f t="shared" si="24"/>
        <v>Tháng 04/2019</v>
      </c>
      <c r="C64" s="567"/>
      <c r="D64" s="568" t="str">
        <f t="shared" si="25"/>
        <v>Quét nhựa bitum chống thấm</v>
      </c>
      <c r="E64" s="568"/>
      <c r="F64" s="568"/>
      <c r="G64" s="568"/>
      <c r="H64" s="569">
        <f t="shared" si="21"/>
        <v>0</v>
      </c>
      <c r="I64" s="569"/>
      <c r="J64" s="567"/>
      <c r="K64" s="570"/>
      <c r="L64">
        <v>4</v>
      </c>
      <c r="M64" s="101">
        <v>2019</v>
      </c>
      <c r="N64"/>
      <c r="O64" s="103">
        <f t="shared" si="22"/>
        <v>43556</v>
      </c>
      <c r="P64" s="103">
        <f t="shared" si="23"/>
        <v>43585</v>
      </c>
    </row>
    <row r="65" spans="1:16" s="5" customFormat="1" ht="17.100000000000001" customHeight="1">
      <c r="A65" s="104">
        <f t="shared" si="26"/>
        <v>22</v>
      </c>
      <c r="B65" s="567" t="str">
        <f t="shared" si="24"/>
        <v>Tháng 05/2019</v>
      </c>
      <c r="C65" s="567"/>
      <c r="D65" s="568" t="str">
        <f t="shared" si="25"/>
        <v>Quét nhựa bitum chống thấm</v>
      </c>
      <c r="E65" s="568"/>
      <c r="F65" s="568"/>
      <c r="G65" s="568"/>
      <c r="H65" s="569">
        <f t="shared" si="21"/>
        <v>0</v>
      </c>
      <c r="I65" s="569"/>
      <c r="J65" s="567"/>
      <c r="K65" s="570"/>
      <c r="L65">
        <v>5</v>
      </c>
      <c r="M65" s="101">
        <v>2019</v>
      </c>
      <c r="N65"/>
      <c r="O65" s="103">
        <f t="shared" si="22"/>
        <v>43586</v>
      </c>
      <c r="P65" s="103">
        <f t="shared" si="23"/>
        <v>43616</v>
      </c>
    </row>
    <row r="66" spans="1:16" s="5" customFormat="1" ht="17.100000000000001" customHeight="1">
      <c r="A66" s="104">
        <f t="shared" si="26"/>
        <v>23</v>
      </c>
      <c r="B66" s="567" t="str">
        <f t="shared" si="24"/>
        <v>Tháng 06/2019</v>
      </c>
      <c r="C66" s="567"/>
      <c r="D66" s="568" t="str">
        <f t="shared" si="25"/>
        <v>Quét nhựa bitum chống thấm</v>
      </c>
      <c r="E66" s="568"/>
      <c r="F66" s="568"/>
      <c r="G66" s="568"/>
      <c r="H66" s="569">
        <f t="shared" si="21"/>
        <v>0</v>
      </c>
      <c r="I66" s="569"/>
      <c r="J66" s="567"/>
      <c r="K66" s="570"/>
      <c r="L66">
        <v>6</v>
      </c>
      <c r="M66" s="101">
        <v>2019</v>
      </c>
      <c r="N66"/>
      <c r="O66" s="103">
        <f t="shared" si="22"/>
        <v>43617</v>
      </c>
      <c r="P66" s="103">
        <f t="shared" si="23"/>
        <v>43646</v>
      </c>
    </row>
    <row r="67" spans="1:16" s="5" customFormat="1" ht="17.100000000000001" customHeight="1">
      <c r="A67" s="104">
        <f t="shared" si="26"/>
        <v>24</v>
      </c>
      <c r="B67" s="567" t="str">
        <f t="shared" si="24"/>
        <v>Tháng 07/2019</v>
      </c>
      <c r="C67" s="567"/>
      <c r="D67" s="568" t="str">
        <f t="shared" si="25"/>
        <v>Quét nhựa bitum chống thấm</v>
      </c>
      <c r="E67" s="568"/>
      <c r="F67" s="568"/>
      <c r="G67" s="568"/>
      <c r="H67" s="569">
        <f t="shared" si="21"/>
        <v>0</v>
      </c>
      <c r="I67" s="569"/>
      <c r="J67" s="567"/>
      <c r="K67" s="570"/>
      <c r="L67">
        <v>7</v>
      </c>
      <c r="M67" s="101">
        <v>2019</v>
      </c>
      <c r="N67"/>
      <c r="O67" s="103">
        <f t="shared" si="22"/>
        <v>43647</v>
      </c>
      <c r="P67" s="103">
        <f t="shared" si="23"/>
        <v>43677</v>
      </c>
    </row>
    <row r="68" spans="1:16" s="5" customFormat="1" ht="17.100000000000001" customHeight="1">
      <c r="A68" s="104">
        <f t="shared" si="26"/>
        <v>25</v>
      </c>
      <c r="B68" s="567" t="str">
        <f t="shared" si="24"/>
        <v>Tháng 08/2019</v>
      </c>
      <c r="C68" s="567"/>
      <c r="D68" s="568" t="str">
        <f t="shared" si="25"/>
        <v>Quét nhựa bitum chống thấm</v>
      </c>
      <c r="E68" s="568"/>
      <c r="F68" s="568"/>
      <c r="G68" s="568"/>
      <c r="H68" s="569">
        <f t="shared" ref="H68:H69" si="27">+SUMIFS($I$12:$I$39,$B$12:$B$39,"&gt;="&amp;$O68,$B$12:$B$39,"&lt;="&amp;$P68)</f>
        <v>0</v>
      </c>
      <c r="I68" s="569"/>
      <c r="J68" s="567"/>
      <c r="K68" s="570"/>
      <c r="L68">
        <v>8</v>
      </c>
      <c r="M68" s="101">
        <v>2019</v>
      </c>
      <c r="N68"/>
      <c r="O68" s="103">
        <f t="shared" si="22"/>
        <v>43678</v>
      </c>
      <c r="P68" s="103">
        <f t="shared" si="23"/>
        <v>43708</v>
      </c>
    </row>
    <row r="69" spans="1:16" s="5" customFormat="1" ht="17.100000000000001" customHeight="1">
      <c r="A69" s="104">
        <f t="shared" si="26"/>
        <v>26</v>
      </c>
      <c r="B69" s="616" t="str">
        <f t="shared" si="24"/>
        <v>Tháng 09/2019</v>
      </c>
      <c r="C69" s="616"/>
      <c r="D69" s="652" t="str">
        <f>D67</f>
        <v>Quét nhựa bitum chống thấm</v>
      </c>
      <c r="E69" s="652"/>
      <c r="F69" s="652"/>
      <c r="G69" s="652"/>
      <c r="H69" s="615">
        <f t="shared" si="27"/>
        <v>0</v>
      </c>
      <c r="I69" s="615"/>
      <c r="J69" s="616"/>
      <c r="K69" s="617"/>
      <c r="L69">
        <v>9</v>
      </c>
      <c r="M69" s="101">
        <v>2019</v>
      </c>
      <c r="N69"/>
      <c r="O69" s="103">
        <f>DATE(M69,L69,1)</f>
        <v>43709</v>
      </c>
      <c r="P69" s="103">
        <f>DATE(M69,L69+1,0)</f>
        <v>43738</v>
      </c>
    </row>
    <row r="70" spans="1:16" s="5" customFormat="1" ht="21.6" customHeight="1" thickBot="1">
      <c r="A70" s="618" t="s">
        <v>86</v>
      </c>
      <c r="B70" s="619"/>
      <c r="C70" s="619"/>
      <c r="D70" s="619"/>
      <c r="E70" s="619"/>
      <c r="F70" s="619"/>
      <c r="G70" s="620"/>
      <c r="H70" s="621">
        <f t="shared" ref="H70" si="28">SUM(H44:I69)</f>
        <v>1317.2945650000001</v>
      </c>
      <c r="I70" s="622"/>
      <c r="J70" s="621"/>
      <c r="K70" s="622"/>
      <c r="L70"/>
      <c r="M70"/>
      <c r="N70"/>
      <c r="O70"/>
      <c r="P70"/>
    </row>
    <row r="71" spans="1:16" s="5" customFormat="1" ht="18" customHeight="1" thickTop="1" thickBot="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4"/>
      <c r="M71" s="4"/>
      <c r="N71" s="4"/>
      <c r="O71" s="4"/>
      <c r="P71" s="20"/>
    </row>
    <row r="72" spans="1:16" s="5" customFormat="1" ht="13.9" customHeight="1" thickTop="1">
      <c r="A72" s="647" t="s">
        <v>68</v>
      </c>
      <c r="B72" s="648"/>
      <c r="C72" s="648"/>
      <c r="D72" s="648"/>
      <c r="E72" s="648"/>
      <c r="F72" s="649" t="s">
        <v>69</v>
      </c>
      <c r="G72" s="649"/>
      <c r="H72" s="649"/>
      <c r="I72" s="650"/>
      <c r="J72" s="650"/>
      <c r="K72" s="651"/>
      <c r="L72" s="4"/>
      <c r="M72" s="4"/>
      <c r="N72" s="4"/>
      <c r="O72" s="4"/>
      <c r="P72" s="4"/>
    </row>
    <row r="73" spans="1:16" s="5" customFormat="1" ht="13.9" customHeight="1">
      <c r="A73" s="583" t="s">
        <v>5</v>
      </c>
      <c r="B73" s="584"/>
      <c r="C73" s="584"/>
      <c r="D73" s="584"/>
      <c r="E73" s="584"/>
      <c r="F73" s="585" t="s">
        <v>6</v>
      </c>
      <c r="G73" s="585"/>
      <c r="H73" s="585"/>
      <c r="I73" s="586"/>
      <c r="J73" s="586"/>
      <c r="K73" s="587"/>
      <c r="L73" s="4"/>
      <c r="M73" s="4"/>
      <c r="N73" s="4"/>
      <c r="O73" s="4"/>
      <c r="P73" s="4"/>
    </row>
    <row r="74" spans="1:16" s="5" customFormat="1" ht="13.9" customHeight="1">
      <c r="A74" s="583" t="s">
        <v>836</v>
      </c>
      <c r="B74" s="584"/>
      <c r="C74" s="584"/>
      <c r="D74" s="584"/>
      <c r="E74" s="584"/>
      <c r="F74" s="590" t="s">
        <v>837</v>
      </c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16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16" s="5" customFormat="1" ht="13.9" customHeight="1">
      <c r="A76" s="583"/>
      <c r="B76" s="584"/>
      <c r="C76" s="584"/>
      <c r="D76" s="584"/>
      <c r="E76" s="584"/>
      <c r="F76" s="590"/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16" s="5" customFormat="1" ht="13.9" customHeight="1">
      <c r="A77" s="583"/>
      <c r="B77" s="584"/>
      <c r="C77" s="584"/>
      <c r="D77" s="584"/>
      <c r="E77" s="584"/>
      <c r="F77" s="590"/>
      <c r="G77" s="590"/>
      <c r="H77" s="590"/>
      <c r="I77" s="591"/>
      <c r="J77" s="591"/>
      <c r="K77" s="592"/>
      <c r="L77" s="4"/>
      <c r="M77" s="4"/>
      <c r="N77" s="4"/>
      <c r="O77" s="4"/>
      <c r="P77" s="4"/>
    </row>
    <row r="78" spans="1:16" s="5" customFormat="1" ht="13.9" customHeight="1">
      <c r="A78" s="583"/>
      <c r="B78" s="584"/>
      <c r="C78" s="584"/>
      <c r="D78" s="584"/>
      <c r="E78" s="584"/>
      <c r="F78" s="590"/>
      <c r="G78" s="590"/>
      <c r="H78" s="590"/>
      <c r="I78" s="591"/>
      <c r="J78" s="591"/>
      <c r="K78" s="592"/>
      <c r="L78" s="4"/>
      <c r="M78" s="4"/>
      <c r="N78" s="4"/>
      <c r="O78" s="4"/>
      <c r="P78" s="4"/>
    </row>
    <row r="79" spans="1:16" s="5" customFormat="1" ht="13.9" customHeight="1">
      <c r="A79" s="583"/>
      <c r="B79" s="584"/>
      <c r="C79" s="584"/>
      <c r="D79" s="584"/>
      <c r="E79" s="584"/>
      <c r="F79" s="590"/>
      <c r="G79" s="590"/>
      <c r="H79" s="590"/>
      <c r="I79" s="591"/>
      <c r="J79" s="591"/>
      <c r="K79" s="592"/>
      <c r="L79" s="4"/>
      <c r="M79" s="4"/>
      <c r="N79" s="4"/>
      <c r="O79" s="4"/>
      <c r="P79" s="4"/>
    </row>
    <row r="80" spans="1:16" s="5" customFormat="1" ht="13.9" customHeight="1" thickBot="1">
      <c r="A80" s="588"/>
      <c r="B80" s="589"/>
      <c r="C80" s="589"/>
      <c r="D80" s="589"/>
      <c r="E80" s="589"/>
      <c r="F80" s="593"/>
      <c r="G80" s="593"/>
      <c r="H80" s="593"/>
      <c r="I80" s="594"/>
      <c r="J80" s="594"/>
      <c r="K80" s="595"/>
      <c r="L80" s="4"/>
      <c r="M80" s="4"/>
      <c r="N80" s="4"/>
      <c r="O80" s="4"/>
      <c r="P80" s="4"/>
    </row>
    <row r="81" spans="1:20" s="5" customFormat="1" ht="15.75" thickTop="1">
      <c r="A81" s="4"/>
      <c r="B81" s="12"/>
      <c r="C81" s="10"/>
      <c r="D81" s="10"/>
      <c r="E81" s="10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R81" s="4"/>
      <c r="S81" s="4"/>
      <c r="T81" s="4"/>
    </row>
  </sheetData>
  <mergeCells count="154">
    <mergeCell ref="A74:E80"/>
    <mergeCell ref="F74:K80"/>
    <mergeCell ref="A70:G70"/>
    <mergeCell ref="H70:I70"/>
    <mergeCell ref="J70:K70"/>
    <mergeCell ref="A72:E72"/>
    <mergeCell ref="F72:K72"/>
    <mergeCell ref="A73:E73"/>
    <mergeCell ref="F73:K73"/>
    <mergeCell ref="B68:C68"/>
    <mergeCell ref="D68:G68"/>
    <mergeCell ref="H68:I68"/>
    <mergeCell ref="J68:K68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A37:K37"/>
    <mergeCell ref="A40:D40"/>
    <mergeCell ref="A42:A43"/>
    <mergeCell ref="B42:C43"/>
    <mergeCell ref="D42:G43"/>
    <mergeCell ref="H42:I43"/>
    <mergeCell ref="J42:K43"/>
    <mergeCell ref="A25:E31"/>
    <mergeCell ref="F25:K31"/>
    <mergeCell ref="A33:K33"/>
    <mergeCell ref="A34:K34"/>
    <mergeCell ref="A35:K35"/>
    <mergeCell ref="A36:K36"/>
    <mergeCell ref="C19:E19"/>
    <mergeCell ref="C20:E20"/>
    <mergeCell ref="A21:E21"/>
    <mergeCell ref="A23:E23"/>
    <mergeCell ref="F23:K23"/>
    <mergeCell ref="A24:E24"/>
    <mergeCell ref="F24:K24"/>
    <mergeCell ref="I9:I11"/>
    <mergeCell ref="J9:J11"/>
    <mergeCell ref="K9:K11"/>
    <mergeCell ref="C12:E12"/>
    <mergeCell ref="C17:E17"/>
    <mergeCell ref="C18:E18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9"/>
    <mergeCell ref="C16:E16"/>
    <mergeCell ref="C13:E13"/>
    <mergeCell ref="C14:E14"/>
    <mergeCell ref="C15:E15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32" max="10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>
    <tabColor rgb="FFFFFF00"/>
  </sheetPr>
  <dimension ref="A1:T77"/>
  <sheetViews>
    <sheetView view="pageBreakPreview" topLeftCell="A61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C.II.1.1.10. Chèn bitum bản quá độ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340</v>
      </c>
      <c r="N6" s="245" t="str">
        <f>THKLQT!C112</f>
        <v>Chèn bitum bản quá độ</v>
      </c>
      <c r="Q6" s="17"/>
    </row>
    <row r="7" spans="1:20" s="178" customFormat="1" ht="18.75" customHeight="1">
      <c r="A7" s="634">
        <f>I17</f>
        <v>0.63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THKLQT!D112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43578</v>
      </c>
      <c r="C12" s="571" t="str">
        <f>T12</f>
        <v>Chèn bitum bản quá độ A1P</v>
      </c>
      <c r="D12" s="572"/>
      <c r="E12" s="573"/>
      <c r="F12" s="2">
        <v>0.1575</v>
      </c>
      <c r="G12" s="1">
        <f>F12</f>
        <v>0.1575</v>
      </c>
      <c r="H12" s="423">
        <f>P12</f>
        <v>0.192</v>
      </c>
      <c r="I12" s="107">
        <f>G12</f>
        <v>0.1575</v>
      </c>
      <c r="J12" s="107">
        <f>P12</f>
        <v>0.192</v>
      </c>
      <c r="K12" s="82"/>
      <c r="N12" s="118"/>
      <c r="O12" s="118" t="s">
        <v>342</v>
      </c>
      <c r="P12" s="88">
        <v>0.192</v>
      </c>
      <c r="Q12" s="89">
        <v>43578</v>
      </c>
      <c r="R12" s="88"/>
      <c r="S12" s="88" t="e">
        <f>VLOOKUP($S$11,hamchuigoi3,M12,0)</f>
        <v>#VALUE!</v>
      </c>
      <c r="T12" s="3" t="str">
        <f>$N$6&amp;" "&amp;O12</f>
        <v>Chèn bitum bản quá độ A1P</v>
      </c>
    </row>
    <row r="13" spans="1:20" ht="14.25" outlineLevel="2">
      <c r="A13" s="81">
        <f>SUBTOTAL(103,$B$12:B13)</f>
        <v>2</v>
      </c>
      <c r="B13" s="78">
        <f t="shared" ref="B13:B15" si="0">Q13</f>
        <v>43579</v>
      </c>
      <c r="C13" s="571" t="str">
        <f t="shared" ref="C13:C15" si="1">T13</f>
        <v>Chèn bitum bản quá độ A1T</v>
      </c>
      <c r="D13" s="572"/>
      <c r="E13" s="573"/>
      <c r="F13" s="2">
        <v>0.1575</v>
      </c>
      <c r="G13" s="1">
        <f t="shared" ref="G13:G15" si="2">F13</f>
        <v>0.1575</v>
      </c>
      <c r="H13" s="299">
        <f t="shared" ref="H13:H15" si="3">P13</f>
        <v>0.193</v>
      </c>
      <c r="I13" s="107">
        <f t="shared" ref="I13:I15" si="4">G13</f>
        <v>0.1575</v>
      </c>
      <c r="J13" s="107">
        <f t="shared" ref="J13:J15" si="5">P13</f>
        <v>0.193</v>
      </c>
      <c r="K13" s="82"/>
      <c r="N13" s="118"/>
      <c r="O13" s="118" t="s">
        <v>343</v>
      </c>
      <c r="P13" s="88">
        <v>0.193</v>
      </c>
      <c r="Q13" s="89">
        <v>43579</v>
      </c>
      <c r="R13" s="88"/>
      <c r="S13" s="88" t="e">
        <f>VLOOKUP($S$11,hamchuigoi3,M13,0)</f>
        <v>#VALUE!</v>
      </c>
      <c r="T13" s="3" t="str">
        <f t="shared" ref="T13:T15" si="6">$N$6&amp;" "&amp;O13</f>
        <v>Chèn bitum bản quá độ A1T</v>
      </c>
    </row>
    <row r="14" spans="1:20" ht="14.25" outlineLevel="2">
      <c r="A14" s="81">
        <f>SUBTOTAL(103,$B$12:B14)</f>
        <v>3</v>
      </c>
      <c r="B14" s="78">
        <f t="shared" si="0"/>
        <v>43581</v>
      </c>
      <c r="C14" s="571" t="str">
        <f t="shared" si="1"/>
        <v>Chèn bitum bản quá độ A2P</v>
      </c>
      <c r="D14" s="572"/>
      <c r="E14" s="573"/>
      <c r="F14" s="2">
        <v>0.1575</v>
      </c>
      <c r="G14" s="1">
        <f t="shared" si="2"/>
        <v>0.1575</v>
      </c>
      <c r="H14" s="299">
        <f t="shared" si="3"/>
        <v>0.189</v>
      </c>
      <c r="I14" s="107">
        <f t="shared" si="4"/>
        <v>0.1575</v>
      </c>
      <c r="J14" s="107">
        <f t="shared" si="5"/>
        <v>0.189</v>
      </c>
      <c r="K14" s="82"/>
      <c r="M14" s="4">
        <f>0.63/4</f>
        <v>0.1575</v>
      </c>
      <c r="N14" s="118"/>
      <c r="O14" s="118" t="s">
        <v>344</v>
      </c>
      <c r="P14" s="88">
        <v>0.189</v>
      </c>
      <c r="Q14" s="89">
        <v>43581</v>
      </c>
      <c r="R14" s="88"/>
      <c r="S14" s="88" t="e">
        <f>VLOOKUP($S$11,hamchuigoi3,M14,0)</f>
        <v>#VALUE!</v>
      </c>
      <c r="T14" s="3" t="str">
        <f t="shared" si="6"/>
        <v>Chèn bitum bản quá độ A2P</v>
      </c>
    </row>
    <row r="15" spans="1:20" ht="14.25" outlineLevel="2">
      <c r="A15" s="81">
        <f>SUBTOTAL(103,$B$12:B15)</f>
        <v>4</v>
      </c>
      <c r="B15" s="78">
        <f t="shared" si="0"/>
        <v>43582</v>
      </c>
      <c r="C15" s="571" t="str">
        <f t="shared" si="1"/>
        <v>Chèn bitum bản quá độ A2T</v>
      </c>
      <c r="D15" s="572"/>
      <c r="E15" s="573"/>
      <c r="F15" s="2">
        <v>0.1575</v>
      </c>
      <c r="G15" s="1">
        <f t="shared" si="2"/>
        <v>0.1575</v>
      </c>
      <c r="H15" s="299">
        <f t="shared" si="3"/>
        <v>0.19</v>
      </c>
      <c r="I15" s="107">
        <f t="shared" si="4"/>
        <v>0.1575</v>
      </c>
      <c r="J15" s="107">
        <f t="shared" si="5"/>
        <v>0.19</v>
      </c>
      <c r="K15" s="82"/>
      <c r="N15" s="118"/>
      <c r="O15" s="118" t="s">
        <v>345</v>
      </c>
      <c r="P15" s="88">
        <v>0.19</v>
      </c>
      <c r="Q15" s="89">
        <v>43582</v>
      </c>
      <c r="R15" s="88"/>
      <c r="S15" s="88" t="e">
        <f>VLOOKUP($S$11,hamchuigoi3,M15,0)</f>
        <v>#VALUE!</v>
      </c>
      <c r="T15" s="3" t="str">
        <f t="shared" si="6"/>
        <v>Chèn bitum bản quá độ A2T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 t="shared" ref="F17:J17" si="7">ROUND(SUM(F12:F16),2)</f>
        <v>0.63</v>
      </c>
      <c r="G17" s="79">
        <f t="shared" si="7"/>
        <v>0.63</v>
      </c>
      <c r="H17" s="79">
        <f t="shared" si="7"/>
        <v>0.76</v>
      </c>
      <c r="I17" s="79">
        <f t="shared" si="7"/>
        <v>0.63</v>
      </c>
      <c r="J17" s="79">
        <f t="shared" si="7"/>
        <v>0.76</v>
      </c>
      <c r="K17" s="80"/>
      <c r="N17" s="118"/>
      <c r="O17" s="118"/>
      <c r="P17" s="90">
        <f>SUM(P12:P12)</f>
        <v>0.192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C.II.1.1.10. Chèn bitum bản quá độ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0.63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Chèn bitum bản quá độ</v>
      </c>
      <c r="E40" s="624"/>
      <c r="F40" s="624"/>
      <c r="G40" s="624"/>
      <c r="H40" s="625">
        <f t="shared" ref="H40:H63" si="8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9">DATE(M40,L40,1)</f>
        <v>42948</v>
      </c>
      <c r="P40" s="103">
        <f t="shared" ref="P40:P64" si="10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1">"Tháng "&amp;IF(L41&lt;10,0&amp;L41&amp;"/"&amp;M41,L41&amp;"/"&amp;M41)</f>
        <v>Tháng 09/2017</v>
      </c>
      <c r="C41" s="567"/>
      <c r="D41" s="568" t="str">
        <f>D40</f>
        <v>Chèn bitum bản quá độ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9"/>
        <v>42979</v>
      </c>
      <c r="P41" s="103">
        <f t="shared" si="10"/>
        <v>43008</v>
      </c>
    </row>
    <row r="42" spans="1:20" s="5" customFormat="1" ht="17.100000000000001" customHeight="1">
      <c r="A42" s="104">
        <f>A41+1</f>
        <v>3</v>
      </c>
      <c r="B42" s="567" t="str">
        <f t="shared" si="11"/>
        <v>Tháng 10/2017</v>
      </c>
      <c r="C42" s="567"/>
      <c r="D42" s="568" t="str">
        <f t="shared" ref="D42:D64" si="12">D41</f>
        <v>Chèn bitum bản quá độ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9"/>
        <v>43009</v>
      </c>
      <c r="P42" s="103">
        <f t="shared" si="10"/>
        <v>43039</v>
      </c>
    </row>
    <row r="43" spans="1:20" s="5" customFormat="1" ht="17.100000000000001" customHeight="1">
      <c r="A43" s="104">
        <f t="shared" ref="A43:A65" si="13">A42+1</f>
        <v>4</v>
      </c>
      <c r="B43" s="567" t="str">
        <f t="shared" si="11"/>
        <v>Tháng 11/2017</v>
      </c>
      <c r="C43" s="567"/>
      <c r="D43" s="568" t="str">
        <f t="shared" si="12"/>
        <v>Chèn bitum bản quá độ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9"/>
        <v>43040</v>
      </c>
      <c r="P43" s="103">
        <f t="shared" si="10"/>
        <v>43069</v>
      </c>
    </row>
    <row r="44" spans="1:20" s="5" customFormat="1" ht="17.100000000000001" customHeight="1">
      <c r="A44" s="104">
        <f t="shared" si="13"/>
        <v>5</v>
      </c>
      <c r="B44" s="567" t="str">
        <f t="shared" si="11"/>
        <v>Tháng 12/2017</v>
      </c>
      <c r="C44" s="567"/>
      <c r="D44" s="568" t="str">
        <f t="shared" si="12"/>
        <v>Chèn bitum bản quá độ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9"/>
        <v>43070</v>
      </c>
      <c r="P44" s="103">
        <f t="shared" si="10"/>
        <v>43100</v>
      </c>
    </row>
    <row r="45" spans="1:20" s="5" customFormat="1" ht="17.100000000000001" customHeight="1">
      <c r="A45" s="104">
        <f t="shared" si="13"/>
        <v>6</v>
      </c>
      <c r="B45" s="567" t="str">
        <f t="shared" si="11"/>
        <v>Tháng 01/2018</v>
      </c>
      <c r="C45" s="567"/>
      <c r="D45" s="568" t="str">
        <f t="shared" si="12"/>
        <v>Chèn bitum bản quá độ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9"/>
        <v>43101</v>
      </c>
      <c r="P45" s="103">
        <f t="shared" si="10"/>
        <v>43131</v>
      </c>
    </row>
    <row r="46" spans="1:20" s="5" customFormat="1" ht="17.100000000000001" customHeight="1">
      <c r="A46" s="104">
        <f t="shared" si="13"/>
        <v>7</v>
      </c>
      <c r="B46" s="567" t="str">
        <f t="shared" si="11"/>
        <v>Tháng 02/2018</v>
      </c>
      <c r="C46" s="567"/>
      <c r="D46" s="568" t="str">
        <f t="shared" si="12"/>
        <v>Chèn bitum bản quá độ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9"/>
        <v>43132</v>
      </c>
      <c r="P46" s="103">
        <f t="shared" si="10"/>
        <v>43159</v>
      </c>
    </row>
    <row r="47" spans="1:20" s="5" customFormat="1" ht="17.100000000000001" customHeight="1">
      <c r="A47" s="104">
        <f t="shared" si="13"/>
        <v>8</v>
      </c>
      <c r="B47" s="567" t="str">
        <f t="shared" si="11"/>
        <v>Tháng 03/2018</v>
      </c>
      <c r="C47" s="567"/>
      <c r="D47" s="568" t="str">
        <f t="shared" si="12"/>
        <v>Chèn bitum bản quá độ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9"/>
        <v>43160</v>
      </c>
      <c r="P47" s="103">
        <f t="shared" si="10"/>
        <v>43190</v>
      </c>
    </row>
    <row r="48" spans="1:20" s="5" customFormat="1" ht="17.100000000000001" customHeight="1">
      <c r="A48" s="104">
        <f t="shared" si="13"/>
        <v>9</v>
      </c>
      <c r="B48" s="567" t="str">
        <f t="shared" si="11"/>
        <v>Tháng 04/2018</v>
      </c>
      <c r="C48" s="567"/>
      <c r="D48" s="568" t="str">
        <f t="shared" si="12"/>
        <v>Chèn bitum bản quá độ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9"/>
        <v>43191</v>
      </c>
      <c r="P48" s="103">
        <f t="shared" si="10"/>
        <v>43220</v>
      </c>
    </row>
    <row r="49" spans="1:16" s="5" customFormat="1" ht="17.100000000000001" customHeight="1">
      <c r="A49" s="104">
        <f t="shared" si="13"/>
        <v>10</v>
      </c>
      <c r="B49" s="567" t="str">
        <f t="shared" si="11"/>
        <v>Tháng 05/2018</v>
      </c>
      <c r="C49" s="567"/>
      <c r="D49" s="568" t="str">
        <f t="shared" si="12"/>
        <v>Chèn bitum bản quá độ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9"/>
        <v>43221</v>
      </c>
      <c r="P49" s="103">
        <f t="shared" si="10"/>
        <v>43251</v>
      </c>
    </row>
    <row r="50" spans="1:16" s="5" customFormat="1" ht="17.100000000000001" customHeight="1">
      <c r="A50" s="104">
        <f t="shared" si="13"/>
        <v>11</v>
      </c>
      <c r="B50" s="567" t="str">
        <f t="shared" si="11"/>
        <v>Tháng 06/2018</v>
      </c>
      <c r="C50" s="567"/>
      <c r="D50" s="568" t="str">
        <f t="shared" si="12"/>
        <v>Chèn bitum bản quá độ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9"/>
        <v>43252</v>
      </c>
      <c r="P50" s="103">
        <f t="shared" si="10"/>
        <v>43281</v>
      </c>
    </row>
    <row r="51" spans="1:16" s="5" customFormat="1" ht="17.100000000000001" customHeight="1">
      <c r="A51" s="104">
        <f t="shared" si="13"/>
        <v>12</v>
      </c>
      <c r="B51" s="567" t="str">
        <f t="shared" si="11"/>
        <v>Tháng 07/2018</v>
      </c>
      <c r="C51" s="567"/>
      <c r="D51" s="568" t="str">
        <f t="shared" si="12"/>
        <v>Chèn bitum bản quá độ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9"/>
        <v>43282</v>
      </c>
      <c r="P51" s="103">
        <f t="shared" si="10"/>
        <v>43312</v>
      </c>
    </row>
    <row r="52" spans="1:16" s="5" customFormat="1" ht="17.100000000000001" customHeight="1">
      <c r="A52" s="104">
        <f t="shared" si="13"/>
        <v>13</v>
      </c>
      <c r="B52" s="567" t="str">
        <f t="shared" si="11"/>
        <v>Tháng 08/2018</v>
      </c>
      <c r="C52" s="567"/>
      <c r="D52" s="568" t="str">
        <f t="shared" si="12"/>
        <v>Chèn bitum bản quá độ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9"/>
        <v>43313</v>
      </c>
      <c r="P52" s="103">
        <f t="shared" si="10"/>
        <v>43343</v>
      </c>
    </row>
    <row r="53" spans="1:16" s="5" customFormat="1" ht="17.100000000000001" customHeight="1">
      <c r="A53" s="104">
        <f t="shared" si="13"/>
        <v>14</v>
      </c>
      <c r="B53" s="567" t="str">
        <f t="shared" si="11"/>
        <v>Tháng 09/2018</v>
      </c>
      <c r="C53" s="567"/>
      <c r="D53" s="568" t="str">
        <f t="shared" si="12"/>
        <v>Chèn bitum bản quá độ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9"/>
        <v>43344</v>
      </c>
      <c r="P53" s="103">
        <f t="shared" si="10"/>
        <v>43373</v>
      </c>
    </row>
    <row r="54" spans="1:16" s="5" customFormat="1" ht="17.100000000000001" customHeight="1">
      <c r="A54" s="104">
        <f t="shared" si="13"/>
        <v>15</v>
      </c>
      <c r="B54" s="567" t="str">
        <f t="shared" si="11"/>
        <v>Tháng 10/2018</v>
      </c>
      <c r="C54" s="567"/>
      <c r="D54" s="568" t="str">
        <f t="shared" si="12"/>
        <v>Chèn bitum bản quá độ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9"/>
        <v>43374</v>
      </c>
      <c r="P54" s="103">
        <f t="shared" si="10"/>
        <v>43404</v>
      </c>
    </row>
    <row r="55" spans="1:16" s="5" customFormat="1" ht="17.100000000000001" customHeight="1">
      <c r="A55" s="104">
        <f t="shared" si="13"/>
        <v>16</v>
      </c>
      <c r="B55" s="567" t="str">
        <f t="shared" si="11"/>
        <v>Tháng 11/2018</v>
      </c>
      <c r="C55" s="567"/>
      <c r="D55" s="568" t="str">
        <f t="shared" si="12"/>
        <v>Chèn bitum bản quá độ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9"/>
        <v>43405</v>
      </c>
      <c r="P55" s="103">
        <f t="shared" si="10"/>
        <v>43434</v>
      </c>
    </row>
    <row r="56" spans="1:16" s="5" customFormat="1" ht="17.100000000000001" customHeight="1">
      <c r="A56" s="104">
        <f t="shared" si="13"/>
        <v>17</v>
      </c>
      <c r="B56" s="567" t="str">
        <f t="shared" si="11"/>
        <v>Tháng 12/2018</v>
      </c>
      <c r="C56" s="567"/>
      <c r="D56" s="568" t="str">
        <f t="shared" si="12"/>
        <v>Chèn bitum bản quá độ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9"/>
        <v>43435</v>
      </c>
      <c r="P56" s="103">
        <f t="shared" si="10"/>
        <v>43465</v>
      </c>
    </row>
    <row r="57" spans="1:16" s="5" customFormat="1" ht="17.100000000000001" customHeight="1">
      <c r="A57" s="104">
        <f t="shared" si="13"/>
        <v>18</v>
      </c>
      <c r="B57" s="567" t="str">
        <f t="shared" si="11"/>
        <v>Tháng 01/2019</v>
      </c>
      <c r="C57" s="567"/>
      <c r="D57" s="568" t="str">
        <f t="shared" si="12"/>
        <v>Chèn bitum bản quá độ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9"/>
        <v>43466</v>
      </c>
      <c r="P57" s="103">
        <f t="shared" si="10"/>
        <v>43496</v>
      </c>
    </row>
    <row r="58" spans="1:16" s="5" customFormat="1" ht="17.100000000000001" customHeight="1">
      <c r="A58" s="104">
        <f t="shared" si="13"/>
        <v>19</v>
      </c>
      <c r="B58" s="567" t="str">
        <f t="shared" si="11"/>
        <v>Tháng 02/2019</v>
      </c>
      <c r="C58" s="567"/>
      <c r="D58" s="568" t="str">
        <f t="shared" si="12"/>
        <v>Chèn bitum bản quá độ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9"/>
        <v>43497</v>
      </c>
      <c r="P58" s="103">
        <f t="shared" si="10"/>
        <v>43524</v>
      </c>
    </row>
    <row r="59" spans="1:16" s="5" customFormat="1" ht="17.100000000000001" customHeight="1">
      <c r="A59" s="104">
        <f t="shared" si="13"/>
        <v>20</v>
      </c>
      <c r="B59" s="567" t="str">
        <f t="shared" si="11"/>
        <v>Tháng 03/2019</v>
      </c>
      <c r="C59" s="567"/>
      <c r="D59" s="568" t="str">
        <f t="shared" si="12"/>
        <v>Chèn bitum bản quá độ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9"/>
        <v>43525</v>
      </c>
      <c r="P59" s="103">
        <f t="shared" si="10"/>
        <v>43555</v>
      </c>
    </row>
    <row r="60" spans="1:16" s="5" customFormat="1" ht="17.100000000000001" customHeight="1">
      <c r="A60" s="104">
        <f t="shared" si="13"/>
        <v>21</v>
      </c>
      <c r="B60" s="567" t="str">
        <f t="shared" si="11"/>
        <v>Tháng 04/2019</v>
      </c>
      <c r="C60" s="567"/>
      <c r="D60" s="568" t="str">
        <f t="shared" si="12"/>
        <v>Chèn bitum bản quá độ</v>
      </c>
      <c r="E60" s="568"/>
      <c r="F60" s="568"/>
      <c r="G60" s="568"/>
      <c r="H60" s="569">
        <f t="shared" si="8"/>
        <v>0.63</v>
      </c>
      <c r="I60" s="569"/>
      <c r="J60" s="567"/>
      <c r="K60" s="570"/>
      <c r="L60">
        <v>4</v>
      </c>
      <c r="M60" s="101">
        <v>2019</v>
      </c>
      <c r="N60"/>
      <c r="O60" s="103">
        <f t="shared" si="9"/>
        <v>43556</v>
      </c>
      <c r="P60" s="103">
        <f t="shared" si="10"/>
        <v>43585</v>
      </c>
    </row>
    <row r="61" spans="1:16" s="5" customFormat="1" ht="17.100000000000001" customHeight="1">
      <c r="A61" s="104">
        <f t="shared" si="13"/>
        <v>22</v>
      </c>
      <c r="B61" s="567" t="str">
        <f t="shared" si="11"/>
        <v>Tháng 05/2019</v>
      </c>
      <c r="C61" s="567"/>
      <c r="D61" s="568" t="str">
        <f t="shared" si="12"/>
        <v>Chèn bitum bản quá độ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9"/>
        <v>43586</v>
      </c>
      <c r="P61" s="103">
        <f t="shared" si="10"/>
        <v>43616</v>
      </c>
    </row>
    <row r="62" spans="1:16" s="5" customFormat="1" ht="17.100000000000001" customHeight="1">
      <c r="A62" s="104">
        <f t="shared" si="13"/>
        <v>23</v>
      </c>
      <c r="B62" s="567" t="str">
        <f t="shared" si="11"/>
        <v>Tháng 06/2019</v>
      </c>
      <c r="C62" s="567"/>
      <c r="D62" s="568" t="str">
        <f t="shared" si="12"/>
        <v>Chèn bitum bản quá độ</v>
      </c>
      <c r="E62" s="568"/>
      <c r="F62" s="568"/>
      <c r="G62" s="568"/>
      <c r="H62" s="569">
        <f t="shared" si="8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9"/>
        <v>43617</v>
      </c>
      <c r="P62" s="103">
        <f t="shared" si="10"/>
        <v>43646</v>
      </c>
    </row>
    <row r="63" spans="1:16" s="5" customFormat="1" ht="17.100000000000001" customHeight="1">
      <c r="A63" s="104">
        <f t="shared" si="13"/>
        <v>24</v>
      </c>
      <c r="B63" s="567" t="str">
        <f t="shared" si="11"/>
        <v>Tháng 07/2019</v>
      </c>
      <c r="C63" s="567"/>
      <c r="D63" s="568" t="str">
        <f t="shared" si="12"/>
        <v>Chèn bitum bản quá độ</v>
      </c>
      <c r="E63" s="568"/>
      <c r="F63" s="568"/>
      <c r="G63" s="568"/>
      <c r="H63" s="569">
        <f t="shared" si="8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9"/>
        <v>43647</v>
      </c>
      <c r="P63" s="103">
        <f t="shared" si="10"/>
        <v>43677</v>
      </c>
    </row>
    <row r="64" spans="1:16" s="5" customFormat="1" ht="17.100000000000001" customHeight="1">
      <c r="A64" s="104">
        <f t="shared" si="13"/>
        <v>25</v>
      </c>
      <c r="B64" s="567" t="str">
        <f t="shared" si="11"/>
        <v>Tháng 08/2019</v>
      </c>
      <c r="C64" s="567"/>
      <c r="D64" s="568" t="str">
        <f t="shared" si="12"/>
        <v>Chèn bitum bản quá độ</v>
      </c>
      <c r="E64" s="568"/>
      <c r="F64" s="568"/>
      <c r="G64" s="568"/>
      <c r="H64" s="569">
        <f t="shared" ref="H64:H65" si="14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9"/>
        <v>43678</v>
      </c>
      <c r="P64" s="103">
        <f t="shared" si="10"/>
        <v>43708</v>
      </c>
    </row>
    <row r="65" spans="1:20" s="5" customFormat="1" ht="17.100000000000001" customHeight="1">
      <c r="A65" s="104">
        <f t="shared" si="13"/>
        <v>26</v>
      </c>
      <c r="B65" s="616" t="str">
        <f t="shared" si="11"/>
        <v>Tháng 09/2019</v>
      </c>
      <c r="C65" s="616"/>
      <c r="D65" s="652" t="str">
        <f>D63</f>
        <v>Chèn bitum bản quá độ</v>
      </c>
      <c r="E65" s="652"/>
      <c r="F65" s="652"/>
      <c r="G65" s="652"/>
      <c r="H65" s="615">
        <f t="shared" si="14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5">SUM(H40:I65)</f>
        <v>0.63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49">
    <mergeCell ref="A70:E76"/>
    <mergeCell ref="F70:K76"/>
    <mergeCell ref="C13:E13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5:C65"/>
    <mergeCell ref="D65:G65"/>
    <mergeCell ref="H65:I65"/>
    <mergeCell ref="J65:K65"/>
    <mergeCell ref="I9:I11"/>
    <mergeCell ref="J9:J11"/>
    <mergeCell ref="K9:K11"/>
    <mergeCell ref="C12:E12"/>
    <mergeCell ref="C16:E16"/>
    <mergeCell ref="A17:E17"/>
    <mergeCell ref="A29:K29"/>
    <mergeCell ref="A30:K30"/>
    <mergeCell ref="A31:K31"/>
    <mergeCell ref="A32:K32"/>
    <mergeCell ref="A33:K33"/>
    <mergeCell ref="A36:D36"/>
    <mergeCell ref="A19:E19"/>
    <mergeCell ref="F19:K19"/>
    <mergeCell ref="A20:E20"/>
    <mergeCell ref="F20:K20"/>
    <mergeCell ref="A21:E27"/>
    <mergeCell ref="F21:K27"/>
    <mergeCell ref="B41:C41"/>
    <mergeCell ref="D41:G4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>
    <tabColor rgb="FFFFFF00"/>
  </sheetPr>
  <dimension ref="A1:T77"/>
  <sheetViews>
    <sheetView topLeftCell="A11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C.II.1.1.13. Lắp đặt ống HDPE D112/90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361</v>
      </c>
      <c r="N6" s="245" t="str">
        <f>THKLQT!C113</f>
        <v>Lắp đặt ống HDPE D112/90</v>
      </c>
      <c r="Q6" s="17"/>
    </row>
    <row r="7" spans="1:20" s="178" customFormat="1" ht="18.75" customHeight="1">
      <c r="A7" s="634">
        <f>I17</f>
        <v>28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THKLQT!D113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43370</v>
      </c>
      <c r="C12" s="571" t="str">
        <f>T12</f>
        <v>Lắp đặt ống HDPE D112/90 ,thân A1L</v>
      </c>
      <c r="D12" s="572"/>
      <c r="E12" s="573"/>
      <c r="F12" s="2">
        <f>'[2]THKL MO M1'!$J$44</f>
        <v>7</v>
      </c>
      <c r="G12" s="1">
        <f>P12</f>
        <v>7</v>
      </c>
      <c r="H12" s="381">
        <f>P12</f>
        <v>7</v>
      </c>
      <c r="I12" s="107">
        <f>P12</f>
        <v>7</v>
      </c>
      <c r="J12" s="107">
        <f>P12</f>
        <v>7</v>
      </c>
      <c r="K12" s="700"/>
      <c r="L12" s="404" t="s">
        <v>766</v>
      </c>
      <c r="N12" s="118"/>
      <c r="O12" s="118" t="s">
        <v>355</v>
      </c>
      <c r="P12" s="88">
        <v>7</v>
      </c>
      <c r="Q12" s="89">
        <v>43370</v>
      </c>
      <c r="R12" s="88"/>
      <c r="S12" s="88" t="e">
        <f>VLOOKUP($S$11,hamchuigoi3,M12,0)</f>
        <v>#VALUE!</v>
      </c>
      <c r="T12" s="3" t="str">
        <f t="shared" ref="T12:T14" si="0">$N$6&amp;" "&amp;O12</f>
        <v>Lắp đặt ống HDPE D112/90 ,thân A1L</v>
      </c>
    </row>
    <row r="13" spans="1:20" ht="14.25" outlineLevel="2">
      <c r="A13" s="81">
        <f>SUBTOTAL(103,$B$12:B13)</f>
        <v>2</v>
      </c>
      <c r="B13" s="78">
        <f t="shared" ref="B13:B15" si="1">Q13</f>
        <v>43384</v>
      </c>
      <c r="C13" s="571" t="str">
        <f t="shared" ref="C13:C15" si="2">T13</f>
        <v>Lắp đặt ống HDPE D112/90 ,thân A1R</v>
      </c>
      <c r="D13" s="572"/>
      <c r="E13" s="573"/>
      <c r="F13" s="2">
        <f>'[2]THKL MO M1'!$I$44</f>
        <v>7</v>
      </c>
      <c r="G13" s="1">
        <f t="shared" ref="G13:G15" si="3">P13</f>
        <v>7</v>
      </c>
      <c r="H13" s="381">
        <f t="shared" ref="H13:H15" si="4">P13</f>
        <v>7</v>
      </c>
      <c r="I13" s="107">
        <f t="shared" ref="I13:I15" si="5">P13</f>
        <v>7</v>
      </c>
      <c r="J13" s="107">
        <f t="shared" ref="J13:J15" si="6">P13</f>
        <v>7</v>
      </c>
      <c r="K13" s="701"/>
      <c r="N13" s="118"/>
      <c r="O13" s="118" t="s">
        <v>356</v>
      </c>
      <c r="P13" s="88">
        <v>7</v>
      </c>
      <c r="Q13" s="89">
        <v>43384</v>
      </c>
      <c r="R13" s="88"/>
      <c r="S13" s="88" t="e">
        <f>VLOOKUP($S$11,hamchuigoi3,M13,0)</f>
        <v>#VALUE!</v>
      </c>
      <c r="T13" s="3" t="str">
        <f t="shared" si="0"/>
        <v>Lắp đặt ống HDPE D112/90 ,thân A1R</v>
      </c>
    </row>
    <row r="14" spans="1:20" ht="14.25" outlineLevel="2">
      <c r="A14" s="81">
        <f>SUBTOTAL(103,$B$12:B14)</f>
        <v>3</v>
      </c>
      <c r="B14" s="78">
        <f t="shared" si="1"/>
        <v>43350</v>
      </c>
      <c r="C14" s="571" t="str">
        <f t="shared" si="2"/>
        <v>Lắp đặt ống HDPE D112/90 ,thân A2L</v>
      </c>
      <c r="D14" s="572"/>
      <c r="E14" s="573"/>
      <c r="F14" s="2">
        <f>'[2]THKL MO M2'!$J$44</f>
        <v>7</v>
      </c>
      <c r="G14" s="1">
        <f t="shared" si="3"/>
        <v>7</v>
      </c>
      <c r="H14" s="381">
        <f t="shared" si="4"/>
        <v>7</v>
      </c>
      <c r="I14" s="107">
        <f t="shared" si="5"/>
        <v>7</v>
      </c>
      <c r="J14" s="107">
        <f t="shared" si="6"/>
        <v>7</v>
      </c>
      <c r="K14" s="701"/>
      <c r="N14" s="118"/>
      <c r="O14" s="118" t="s">
        <v>357</v>
      </c>
      <c r="P14" s="88">
        <v>7</v>
      </c>
      <c r="Q14" s="89">
        <v>43350</v>
      </c>
      <c r="R14" s="88"/>
      <c r="S14" s="88" t="e">
        <f>VLOOKUP($S$11,hamchuigoi3,M14,0)</f>
        <v>#VALUE!</v>
      </c>
      <c r="T14" s="3" t="str">
        <f t="shared" si="0"/>
        <v>Lắp đặt ống HDPE D112/90 ,thân A2L</v>
      </c>
    </row>
    <row r="15" spans="1:20" ht="14.25" outlineLevel="2">
      <c r="A15" s="81">
        <f>SUBTOTAL(103,$B$12:B15)</f>
        <v>4</v>
      </c>
      <c r="B15" s="78">
        <f t="shared" si="1"/>
        <v>43352</v>
      </c>
      <c r="C15" s="571" t="str">
        <f t="shared" si="2"/>
        <v>Lắp đặt ống HDPE D112/90 ,thân A2R</v>
      </c>
      <c r="D15" s="572"/>
      <c r="E15" s="573"/>
      <c r="F15" s="2">
        <f>'[2]THKL MO M2'!$I$44</f>
        <v>7</v>
      </c>
      <c r="G15" s="1">
        <f t="shared" si="3"/>
        <v>7</v>
      </c>
      <c r="H15" s="381">
        <f t="shared" si="4"/>
        <v>7</v>
      </c>
      <c r="I15" s="107">
        <f t="shared" si="5"/>
        <v>7</v>
      </c>
      <c r="J15" s="107">
        <f t="shared" si="6"/>
        <v>7</v>
      </c>
      <c r="K15" s="702"/>
      <c r="N15" s="118"/>
      <c r="O15" s="118" t="s">
        <v>358</v>
      </c>
      <c r="P15" s="88">
        <v>7</v>
      </c>
      <c r="Q15" s="89">
        <v>43352</v>
      </c>
      <c r="R15" s="88"/>
      <c r="S15" s="88" t="e">
        <f>VLOOKUP($S$11,hamchuigoi3,M15,0)</f>
        <v>#VALUE!</v>
      </c>
      <c r="T15" s="3" t="str">
        <f>$N$6&amp;" "&amp;O15</f>
        <v>Lắp đặt ống HDPE D112/90 ,thân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28</v>
      </c>
      <c r="G17" s="79">
        <f t="shared" ref="G17:J17" si="7">ROUND(SUM(G12:G16),2)</f>
        <v>28</v>
      </c>
      <c r="H17" s="79">
        <f t="shared" si="7"/>
        <v>28</v>
      </c>
      <c r="I17" s="79">
        <f t="shared" si="7"/>
        <v>28</v>
      </c>
      <c r="J17" s="79">
        <f t="shared" si="7"/>
        <v>28</v>
      </c>
      <c r="K17" s="80"/>
      <c r="N17" s="118"/>
      <c r="O17" s="118"/>
      <c r="P17" s="90">
        <f>SUM(P12:P12)</f>
        <v>7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 t="s">
        <v>353</v>
      </c>
      <c r="N18" s="118" t="s">
        <v>354</v>
      </c>
      <c r="O18" s="118" t="s">
        <v>351</v>
      </c>
      <c r="P18" s="119" t="s">
        <v>352</v>
      </c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>
        <v>149.16999999999999</v>
      </c>
      <c r="N19" s="4">
        <v>149.11699999999999</v>
      </c>
      <c r="O19" s="4">
        <v>0</v>
      </c>
      <c r="P19" s="4">
        <v>0</v>
      </c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>
        <v>0</v>
      </c>
      <c r="N20" s="4">
        <v>8.4559999999999995</v>
      </c>
      <c r="O20" s="4">
        <v>10.151999999999999</v>
      </c>
      <c r="P20" s="4">
        <v>0</v>
      </c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9.2609999999999992</v>
      </c>
      <c r="P21" s="4">
        <v>0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4</v>
      </c>
      <c r="N22" s="4">
        <v>4</v>
      </c>
      <c r="O22" s="4">
        <v>4</v>
      </c>
      <c r="P22" s="4">
        <v>4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0</v>
      </c>
      <c r="N23" s="4">
        <v>0</v>
      </c>
      <c r="O23" s="4">
        <v>309</v>
      </c>
      <c r="P23" s="4">
        <v>309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2300.7199999999998</v>
      </c>
      <c r="N24" s="4">
        <v>3002.72</v>
      </c>
      <c r="O24" s="4">
        <v>562.11</v>
      </c>
      <c r="P24" s="4">
        <v>562.11</v>
      </c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>
        <v>6369.45</v>
      </c>
      <c r="N25" s="4">
        <v>6905.47</v>
      </c>
      <c r="O25" s="4">
        <v>6119.16</v>
      </c>
      <c r="P25" s="4">
        <v>9046.5499999999993</v>
      </c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>
        <v>7896.36</v>
      </c>
      <c r="N26" s="4">
        <v>7805.84</v>
      </c>
      <c r="O26" s="4">
        <v>1921.33</v>
      </c>
      <c r="P26" s="4">
        <v>13505.69</v>
      </c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>
        <v>140</v>
      </c>
      <c r="N27" s="4">
        <v>139.6</v>
      </c>
      <c r="O27" s="4">
        <v>218.6</v>
      </c>
      <c r="P27" s="4">
        <v>209.5</v>
      </c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C.II.1.1.13. Lắp đặt ống HDPE D112/90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28</v>
      </c>
      <c r="B36" s="640"/>
      <c r="C36" s="640"/>
      <c r="D36" s="640"/>
      <c r="E36" s="131" t="str">
        <f>E7</f>
        <v>(m)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Lắp đặt ống HDPE D112/90</v>
      </c>
      <c r="E40" s="624"/>
      <c r="F40" s="624"/>
      <c r="G40" s="624"/>
      <c r="H40" s="625">
        <f t="shared" ref="H40:H63" si="8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9">DATE(M40,L40,1)</f>
        <v>42948</v>
      </c>
      <c r="P40" s="103">
        <f t="shared" ref="P40:P64" si="10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1">"Tháng "&amp;IF(L41&lt;10,0&amp;L41&amp;"/"&amp;M41,L41&amp;"/"&amp;M41)</f>
        <v>Tháng 09/2017</v>
      </c>
      <c r="C41" s="567"/>
      <c r="D41" s="568" t="str">
        <f>D40</f>
        <v>Lắp đặt ống HDPE D112/90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9"/>
        <v>42979</v>
      </c>
      <c r="P41" s="103">
        <f t="shared" si="10"/>
        <v>43008</v>
      </c>
    </row>
    <row r="42" spans="1:20" s="5" customFormat="1" ht="17.100000000000001" customHeight="1">
      <c r="A42" s="104">
        <f>A41+1</f>
        <v>3</v>
      </c>
      <c r="B42" s="567" t="str">
        <f t="shared" si="11"/>
        <v>Tháng 10/2017</v>
      </c>
      <c r="C42" s="567"/>
      <c r="D42" s="568" t="str">
        <f t="shared" ref="D42:D64" si="12">D41</f>
        <v>Lắp đặt ống HDPE D112/90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9"/>
        <v>43009</v>
      </c>
      <c r="P42" s="103">
        <f t="shared" si="10"/>
        <v>43039</v>
      </c>
    </row>
    <row r="43" spans="1:20" s="5" customFormat="1" ht="17.100000000000001" customHeight="1">
      <c r="A43" s="104">
        <f t="shared" ref="A43:A65" si="13">A42+1</f>
        <v>4</v>
      </c>
      <c r="B43" s="567" t="str">
        <f t="shared" si="11"/>
        <v>Tháng 11/2017</v>
      </c>
      <c r="C43" s="567"/>
      <c r="D43" s="568" t="str">
        <f t="shared" si="12"/>
        <v>Lắp đặt ống HDPE D112/90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9"/>
        <v>43040</v>
      </c>
      <c r="P43" s="103">
        <f t="shared" si="10"/>
        <v>43069</v>
      </c>
    </row>
    <row r="44" spans="1:20" s="5" customFormat="1" ht="17.100000000000001" customHeight="1">
      <c r="A44" s="104">
        <f t="shared" si="13"/>
        <v>5</v>
      </c>
      <c r="B44" s="567" t="str">
        <f t="shared" si="11"/>
        <v>Tháng 12/2017</v>
      </c>
      <c r="C44" s="567"/>
      <c r="D44" s="568" t="str">
        <f t="shared" si="12"/>
        <v>Lắp đặt ống HDPE D112/90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9"/>
        <v>43070</v>
      </c>
      <c r="P44" s="103">
        <f t="shared" si="10"/>
        <v>43100</v>
      </c>
    </row>
    <row r="45" spans="1:20" s="5" customFormat="1" ht="17.100000000000001" customHeight="1">
      <c r="A45" s="104">
        <f t="shared" si="13"/>
        <v>6</v>
      </c>
      <c r="B45" s="567" t="str">
        <f t="shared" si="11"/>
        <v>Tháng 01/2018</v>
      </c>
      <c r="C45" s="567"/>
      <c r="D45" s="568" t="str">
        <f t="shared" si="12"/>
        <v>Lắp đặt ống HDPE D112/90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9"/>
        <v>43101</v>
      </c>
      <c r="P45" s="103">
        <f t="shared" si="10"/>
        <v>43131</v>
      </c>
    </row>
    <row r="46" spans="1:20" s="5" customFormat="1" ht="17.100000000000001" customHeight="1">
      <c r="A46" s="104">
        <f t="shared" si="13"/>
        <v>7</v>
      </c>
      <c r="B46" s="567" t="str">
        <f t="shared" si="11"/>
        <v>Tháng 02/2018</v>
      </c>
      <c r="C46" s="567"/>
      <c r="D46" s="568" t="str">
        <f t="shared" si="12"/>
        <v>Lắp đặt ống HDPE D112/90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9"/>
        <v>43132</v>
      </c>
      <c r="P46" s="103">
        <f t="shared" si="10"/>
        <v>43159</v>
      </c>
    </row>
    <row r="47" spans="1:20" s="5" customFormat="1" ht="17.100000000000001" customHeight="1">
      <c r="A47" s="104">
        <f t="shared" si="13"/>
        <v>8</v>
      </c>
      <c r="B47" s="567" t="str">
        <f t="shared" si="11"/>
        <v>Tháng 03/2018</v>
      </c>
      <c r="C47" s="567"/>
      <c r="D47" s="568" t="str">
        <f t="shared" si="12"/>
        <v>Lắp đặt ống HDPE D112/90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9"/>
        <v>43160</v>
      </c>
      <c r="P47" s="103">
        <f t="shared" si="10"/>
        <v>43190</v>
      </c>
    </row>
    <row r="48" spans="1:20" s="5" customFormat="1" ht="17.100000000000001" customHeight="1">
      <c r="A48" s="104">
        <f t="shared" si="13"/>
        <v>9</v>
      </c>
      <c r="B48" s="567" t="str">
        <f t="shared" si="11"/>
        <v>Tháng 04/2018</v>
      </c>
      <c r="C48" s="567"/>
      <c r="D48" s="568" t="str">
        <f t="shared" si="12"/>
        <v>Lắp đặt ống HDPE D112/90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9"/>
        <v>43191</v>
      </c>
      <c r="P48" s="103">
        <f t="shared" si="10"/>
        <v>43220</v>
      </c>
    </row>
    <row r="49" spans="1:16" s="5" customFormat="1" ht="17.100000000000001" customHeight="1">
      <c r="A49" s="104">
        <f t="shared" si="13"/>
        <v>10</v>
      </c>
      <c r="B49" s="567" t="str">
        <f t="shared" si="11"/>
        <v>Tháng 05/2018</v>
      </c>
      <c r="C49" s="567"/>
      <c r="D49" s="568" t="str">
        <f t="shared" si="12"/>
        <v>Lắp đặt ống HDPE D112/90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9"/>
        <v>43221</v>
      </c>
      <c r="P49" s="103">
        <f t="shared" si="10"/>
        <v>43251</v>
      </c>
    </row>
    <row r="50" spans="1:16" s="5" customFormat="1" ht="17.100000000000001" customHeight="1">
      <c r="A50" s="104">
        <f t="shared" si="13"/>
        <v>11</v>
      </c>
      <c r="B50" s="567" t="str">
        <f t="shared" si="11"/>
        <v>Tháng 06/2018</v>
      </c>
      <c r="C50" s="567"/>
      <c r="D50" s="568" t="str">
        <f t="shared" si="12"/>
        <v>Lắp đặt ống HDPE D112/90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9"/>
        <v>43252</v>
      </c>
      <c r="P50" s="103">
        <f t="shared" si="10"/>
        <v>43281</v>
      </c>
    </row>
    <row r="51" spans="1:16" s="5" customFormat="1" ht="17.100000000000001" customHeight="1">
      <c r="A51" s="104">
        <f t="shared" si="13"/>
        <v>12</v>
      </c>
      <c r="B51" s="567" t="str">
        <f t="shared" si="11"/>
        <v>Tháng 07/2018</v>
      </c>
      <c r="C51" s="567"/>
      <c r="D51" s="568" t="str">
        <f t="shared" si="12"/>
        <v>Lắp đặt ống HDPE D112/90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9"/>
        <v>43282</v>
      </c>
      <c r="P51" s="103">
        <f t="shared" si="10"/>
        <v>43312</v>
      </c>
    </row>
    <row r="52" spans="1:16" s="5" customFormat="1" ht="17.100000000000001" customHeight="1">
      <c r="A52" s="104">
        <f t="shared" si="13"/>
        <v>13</v>
      </c>
      <c r="B52" s="567" t="str">
        <f t="shared" si="11"/>
        <v>Tháng 08/2018</v>
      </c>
      <c r="C52" s="567"/>
      <c r="D52" s="568" t="str">
        <f t="shared" si="12"/>
        <v>Lắp đặt ống HDPE D112/90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9"/>
        <v>43313</v>
      </c>
      <c r="P52" s="103">
        <f t="shared" si="10"/>
        <v>43343</v>
      </c>
    </row>
    <row r="53" spans="1:16" s="5" customFormat="1" ht="17.100000000000001" customHeight="1">
      <c r="A53" s="104">
        <f t="shared" si="13"/>
        <v>14</v>
      </c>
      <c r="B53" s="567" t="str">
        <f t="shared" si="11"/>
        <v>Tháng 09/2018</v>
      </c>
      <c r="C53" s="567"/>
      <c r="D53" s="568" t="str">
        <f t="shared" si="12"/>
        <v>Lắp đặt ống HDPE D112/90</v>
      </c>
      <c r="E53" s="568"/>
      <c r="F53" s="568"/>
      <c r="G53" s="568"/>
      <c r="H53" s="569">
        <f t="shared" si="8"/>
        <v>21</v>
      </c>
      <c r="I53" s="569"/>
      <c r="J53" s="567"/>
      <c r="K53" s="570"/>
      <c r="L53">
        <v>9</v>
      </c>
      <c r="M53" s="101">
        <v>2018</v>
      </c>
      <c r="N53"/>
      <c r="O53" s="103">
        <f t="shared" si="9"/>
        <v>43344</v>
      </c>
      <c r="P53" s="103">
        <f t="shared" si="10"/>
        <v>43373</v>
      </c>
    </row>
    <row r="54" spans="1:16" s="5" customFormat="1" ht="17.100000000000001" customHeight="1">
      <c r="A54" s="104">
        <f t="shared" si="13"/>
        <v>15</v>
      </c>
      <c r="B54" s="567" t="str">
        <f t="shared" si="11"/>
        <v>Tháng 10/2018</v>
      </c>
      <c r="C54" s="567"/>
      <c r="D54" s="568" t="str">
        <f t="shared" si="12"/>
        <v>Lắp đặt ống HDPE D112/90</v>
      </c>
      <c r="E54" s="568"/>
      <c r="F54" s="568"/>
      <c r="G54" s="568"/>
      <c r="H54" s="569">
        <f t="shared" si="8"/>
        <v>7</v>
      </c>
      <c r="I54" s="569"/>
      <c r="J54" s="567"/>
      <c r="K54" s="570"/>
      <c r="L54">
        <v>10</v>
      </c>
      <c r="M54" s="101">
        <v>2018</v>
      </c>
      <c r="N54"/>
      <c r="O54" s="103">
        <f t="shared" si="9"/>
        <v>43374</v>
      </c>
      <c r="P54" s="103">
        <f t="shared" si="10"/>
        <v>43404</v>
      </c>
    </row>
    <row r="55" spans="1:16" s="5" customFormat="1" ht="17.100000000000001" customHeight="1">
      <c r="A55" s="104">
        <f t="shared" si="13"/>
        <v>16</v>
      </c>
      <c r="B55" s="567" t="str">
        <f t="shared" si="11"/>
        <v>Tháng 11/2018</v>
      </c>
      <c r="C55" s="567"/>
      <c r="D55" s="568" t="str">
        <f t="shared" si="12"/>
        <v>Lắp đặt ống HDPE D112/90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9"/>
        <v>43405</v>
      </c>
      <c r="P55" s="103">
        <f t="shared" si="10"/>
        <v>43434</v>
      </c>
    </row>
    <row r="56" spans="1:16" s="5" customFormat="1" ht="17.100000000000001" customHeight="1">
      <c r="A56" s="104">
        <f t="shared" si="13"/>
        <v>17</v>
      </c>
      <c r="B56" s="567" t="str">
        <f t="shared" si="11"/>
        <v>Tháng 12/2018</v>
      </c>
      <c r="C56" s="567"/>
      <c r="D56" s="568" t="str">
        <f t="shared" si="12"/>
        <v>Lắp đặt ống HDPE D112/90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9"/>
        <v>43435</v>
      </c>
      <c r="P56" s="103">
        <f t="shared" si="10"/>
        <v>43465</v>
      </c>
    </row>
    <row r="57" spans="1:16" s="5" customFormat="1" ht="17.100000000000001" customHeight="1">
      <c r="A57" s="104">
        <f t="shared" si="13"/>
        <v>18</v>
      </c>
      <c r="B57" s="567" t="str">
        <f t="shared" si="11"/>
        <v>Tháng 01/2019</v>
      </c>
      <c r="C57" s="567"/>
      <c r="D57" s="568" t="str">
        <f t="shared" si="12"/>
        <v>Lắp đặt ống HDPE D112/90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9"/>
        <v>43466</v>
      </c>
      <c r="P57" s="103">
        <f t="shared" si="10"/>
        <v>43496</v>
      </c>
    </row>
    <row r="58" spans="1:16" s="5" customFormat="1" ht="17.100000000000001" customHeight="1">
      <c r="A58" s="104">
        <f t="shared" si="13"/>
        <v>19</v>
      </c>
      <c r="B58" s="567" t="str">
        <f t="shared" si="11"/>
        <v>Tháng 02/2019</v>
      </c>
      <c r="C58" s="567"/>
      <c r="D58" s="568" t="str">
        <f t="shared" si="12"/>
        <v>Lắp đặt ống HDPE D112/90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9"/>
        <v>43497</v>
      </c>
      <c r="P58" s="103">
        <f t="shared" si="10"/>
        <v>43524</v>
      </c>
    </row>
    <row r="59" spans="1:16" s="5" customFormat="1" ht="17.100000000000001" customHeight="1">
      <c r="A59" s="104">
        <f t="shared" si="13"/>
        <v>20</v>
      </c>
      <c r="B59" s="567" t="str">
        <f t="shared" si="11"/>
        <v>Tháng 03/2019</v>
      </c>
      <c r="C59" s="567"/>
      <c r="D59" s="568" t="str">
        <f t="shared" si="12"/>
        <v>Lắp đặt ống HDPE D112/90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9"/>
        <v>43525</v>
      </c>
      <c r="P59" s="103">
        <f t="shared" si="10"/>
        <v>43555</v>
      </c>
    </row>
    <row r="60" spans="1:16" s="5" customFormat="1" ht="17.100000000000001" customHeight="1">
      <c r="A60" s="104">
        <f t="shared" si="13"/>
        <v>21</v>
      </c>
      <c r="B60" s="567" t="str">
        <f t="shared" si="11"/>
        <v>Tháng 04/2019</v>
      </c>
      <c r="C60" s="567"/>
      <c r="D60" s="568" t="str">
        <f t="shared" si="12"/>
        <v>Lắp đặt ống HDPE D112/90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9"/>
        <v>43556</v>
      </c>
      <c r="P60" s="103">
        <f t="shared" si="10"/>
        <v>43585</v>
      </c>
    </row>
    <row r="61" spans="1:16" s="5" customFormat="1" ht="17.100000000000001" customHeight="1">
      <c r="A61" s="104">
        <f t="shared" si="13"/>
        <v>22</v>
      </c>
      <c r="B61" s="567" t="str">
        <f t="shared" si="11"/>
        <v>Tháng 05/2019</v>
      </c>
      <c r="C61" s="567"/>
      <c r="D61" s="568" t="str">
        <f t="shared" si="12"/>
        <v>Lắp đặt ống HDPE D112/90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9"/>
        <v>43586</v>
      </c>
      <c r="P61" s="103">
        <f t="shared" si="10"/>
        <v>43616</v>
      </c>
    </row>
    <row r="62" spans="1:16" s="5" customFormat="1" ht="17.100000000000001" customHeight="1">
      <c r="A62" s="104">
        <f t="shared" si="13"/>
        <v>23</v>
      </c>
      <c r="B62" s="567" t="str">
        <f t="shared" si="11"/>
        <v>Tháng 06/2019</v>
      </c>
      <c r="C62" s="567"/>
      <c r="D62" s="568" t="str">
        <f t="shared" si="12"/>
        <v>Lắp đặt ống HDPE D112/90</v>
      </c>
      <c r="E62" s="568"/>
      <c r="F62" s="568"/>
      <c r="G62" s="568"/>
      <c r="H62" s="569">
        <f t="shared" si="8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9"/>
        <v>43617</v>
      </c>
      <c r="P62" s="103">
        <f t="shared" si="10"/>
        <v>43646</v>
      </c>
    </row>
    <row r="63" spans="1:16" s="5" customFormat="1" ht="17.100000000000001" customHeight="1">
      <c r="A63" s="104">
        <f t="shared" si="13"/>
        <v>24</v>
      </c>
      <c r="B63" s="567" t="str">
        <f t="shared" si="11"/>
        <v>Tháng 07/2019</v>
      </c>
      <c r="C63" s="567"/>
      <c r="D63" s="568" t="str">
        <f t="shared" si="12"/>
        <v>Lắp đặt ống HDPE D112/90</v>
      </c>
      <c r="E63" s="568"/>
      <c r="F63" s="568"/>
      <c r="G63" s="568"/>
      <c r="H63" s="569">
        <f t="shared" si="8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9"/>
        <v>43647</v>
      </c>
      <c r="P63" s="103">
        <f t="shared" si="10"/>
        <v>43677</v>
      </c>
    </row>
    <row r="64" spans="1:16" s="5" customFormat="1" ht="17.100000000000001" customHeight="1">
      <c r="A64" s="104">
        <f t="shared" si="13"/>
        <v>25</v>
      </c>
      <c r="B64" s="567" t="str">
        <f t="shared" si="11"/>
        <v>Tháng 08/2019</v>
      </c>
      <c r="C64" s="567"/>
      <c r="D64" s="568" t="str">
        <f t="shared" si="12"/>
        <v>Lắp đặt ống HDPE D112/90</v>
      </c>
      <c r="E64" s="568"/>
      <c r="F64" s="568"/>
      <c r="G64" s="568"/>
      <c r="H64" s="569">
        <f t="shared" ref="H64:H65" si="14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9"/>
        <v>43678</v>
      </c>
      <c r="P64" s="103">
        <f t="shared" si="10"/>
        <v>43708</v>
      </c>
    </row>
    <row r="65" spans="1:20" s="5" customFormat="1" ht="17.100000000000001" customHeight="1">
      <c r="A65" s="104">
        <f t="shared" si="13"/>
        <v>26</v>
      </c>
      <c r="B65" s="616" t="str">
        <f t="shared" si="11"/>
        <v>Tháng 09/2019</v>
      </c>
      <c r="C65" s="616"/>
      <c r="D65" s="652" t="str">
        <f>D63</f>
        <v>Lắp đặt ống HDPE D112/90</v>
      </c>
      <c r="E65" s="652"/>
      <c r="F65" s="652"/>
      <c r="G65" s="652"/>
      <c r="H65" s="615">
        <f t="shared" si="14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5">SUM(H40:I65)</f>
        <v>28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>
    <tabColor rgb="FFFFFF00"/>
  </sheetPr>
  <dimension ref="A1:T77"/>
  <sheetViews>
    <sheetView view="pageBreakPreview" topLeftCell="A5" zoomScaleSheetLayoutView="100" workbookViewId="0">
      <selection activeCell="F17" sqref="F17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C.II.1.1.14. Sản xuất, lắp đặt ống thép mạ kẽm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648</v>
      </c>
      <c r="N6" s="245" t="str">
        <f>THKLQT!C114</f>
        <v>Sản xuất, lắp đặt ống thép mạ kẽm</v>
      </c>
      <c r="Q6" s="17"/>
    </row>
    <row r="7" spans="1:20" s="178" customFormat="1" ht="18.75" customHeight="1">
      <c r="A7" s="634">
        <f>I17</f>
        <v>0.05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THKLQT!D114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83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43362</v>
      </c>
      <c r="C12" s="571" t="str">
        <f>T12</f>
        <v>Sản xuất, lắp đặt ống thép mạ kẽm ,đợt 4 thân A1L</v>
      </c>
      <c r="D12" s="572"/>
      <c r="E12" s="573"/>
      <c r="F12" s="377">
        <f>'[2]THKL MO M1'!$J$34/1000</f>
        <v>1.0102949999999999E-2</v>
      </c>
      <c r="G12" s="378">
        <v>1.0102949999999999E-2</v>
      </c>
      <c r="H12" s="380">
        <f>MIN(F12:G12)</f>
        <v>1.0102949999999999E-2</v>
      </c>
      <c r="I12" s="402">
        <f>H12</f>
        <v>1.0102949999999999E-2</v>
      </c>
      <c r="J12" s="107">
        <f>P12</f>
        <v>0</v>
      </c>
      <c r="K12" s="700" t="s">
        <v>687</v>
      </c>
      <c r="L12" s="4" t="s">
        <v>757</v>
      </c>
      <c r="N12" s="118"/>
      <c r="O12" s="118" t="s">
        <v>767</v>
      </c>
      <c r="P12" s="88"/>
      <c r="Q12" s="89">
        <v>43362</v>
      </c>
      <c r="R12" s="88"/>
      <c r="S12" s="88" t="e">
        <f>VLOOKUP($S$11,hamchuigoi3,M12,0)</f>
        <v>#VALUE!</v>
      </c>
      <c r="T12" s="3" t="str">
        <f t="shared" ref="T12:T14" si="0">$N$6&amp;" "&amp;O12</f>
        <v>Sản xuất, lắp đặt ống thép mạ kẽm ,đợt 4 thân A1L</v>
      </c>
    </row>
    <row r="13" spans="1:20" ht="14.25" outlineLevel="2">
      <c r="A13" s="81">
        <f>SUBTOTAL(103,$B$12:B13)</f>
        <v>2</v>
      </c>
      <c r="B13" s="78">
        <f t="shared" ref="B13:B15" si="1">Q13</f>
        <v>43376</v>
      </c>
      <c r="C13" s="571" t="str">
        <f t="shared" ref="C13:C15" si="2">T13</f>
        <v>Sản xuất, lắp đặt ống thép mạ kẽm ,đợt 4 thân A1R</v>
      </c>
      <c r="D13" s="572"/>
      <c r="E13" s="573"/>
      <c r="F13" s="377">
        <f>'[2]THKL MO M1'!$I$34/1000</f>
        <v>1.0102949999999999E-2</v>
      </c>
      <c r="G13" s="378">
        <v>1.0102949999999999E-2</v>
      </c>
      <c r="H13" s="380">
        <f t="shared" ref="H13:H15" si="3">MIN(F13:G13)</f>
        <v>1.0102949999999999E-2</v>
      </c>
      <c r="I13" s="402">
        <f t="shared" ref="I13:I15" si="4">H13</f>
        <v>1.0102949999999999E-2</v>
      </c>
      <c r="J13" s="107">
        <f t="shared" ref="J13:J15" si="5">P13</f>
        <v>0</v>
      </c>
      <c r="K13" s="701"/>
      <c r="N13" s="118"/>
      <c r="O13" s="118" t="s">
        <v>768</v>
      </c>
      <c r="P13" s="88"/>
      <c r="Q13" s="89">
        <v>43376</v>
      </c>
      <c r="R13" s="88"/>
      <c r="S13" s="88" t="e">
        <f>VLOOKUP($S$11,hamchuigoi3,M13,0)</f>
        <v>#VALUE!</v>
      </c>
      <c r="T13" s="3" t="str">
        <f t="shared" si="0"/>
        <v>Sản xuất, lắp đặt ống thép mạ kẽm ,đợt 4 thân A1R</v>
      </c>
    </row>
    <row r="14" spans="1:20" ht="14.25" outlineLevel="2">
      <c r="A14" s="81">
        <f>SUBTOTAL(103,$B$12:B14)</f>
        <v>3</v>
      </c>
      <c r="B14" s="78">
        <f t="shared" si="1"/>
        <v>43342</v>
      </c>
      <c r="C14" s="571" t="str">
        <f t="shared" si="2"/>
        <v>Sản xuất, lắp đặt ống thép mạ kẽm ,đợt 5 thân A2L</v>
      </c>
      <c r="D14" s="572"/>
      <c r="E14" s="573"/>
      <c r="F14" s="377">
        <f>'[2]THKL MO M2'!$J$34/1000</f>
        <v>1.6734629999999997E-2</v>
      </c>
      <c r="G14" s="378">
        <f t="shared" ref="G14:G15" si="6">11*0.3*2*3.14*0.032*0.0032*7850/1000</f>
        <v>1.6658780160000001E-2</v>
      </c>
      <c r="H14" s="380">
        <f t="shared" si="3"/>
        <v>1.6658780160000001E-2</v>
      </c>
      <c r="I14" s="402">
        <f t="shared" si="4"/>
        <v>1.6658780160000001E-2</v>
      </c>
      <c r="J14" s="107">
        <f t="shared" si="5"/>
        <v>0</v>
      </c>
      <c r="K14" s="701"/>
      <c r="N14" s="118"/>
      <c r="O14" s="118" t="s">
        <v>769</v>
      </c>
      <c r="P14" s="88"/>
      <c r="Q14" s="89">
        <v>43342</v>
      </c>
      <c r="R14" s="88"/>
      <c r="S14" s="88" t="e">
        <f>VLOOKUP($S$11,hamchuigoi3,M14,0)</f>
        <v>#VALUE!</v>
      </c>
      <c r="T14" s="3" t="str">
        <f t="shared" si="0"/>
        <v>Sản xuất, lắp đặt ống thép mạ kẽm ,đợt 5 thân A2L</v>
      </c>
    </row>
    <row r="15" spans="1:20" ht="14.25" outlineLevel="2">
      <c r="A15" s="81">
        <f>SUBTOTAL(103,$B$12:B15)</f>
        <v>4</v>
      </c>
      <c r="B15" s="78">
        <f t="shared" si="1"/>
        <v>43381</v>
      </c>
      <c r="C15" s="571" t="str">
        <f t="shared" si="2"/>
        <v>Sản xuất, lắp đặt ống thép mạ kẽm ,đợt 5 thân A2R</v>
      </c>
      <c r="D15" s="572"/>
      <c r="E15" s="573"/>
      <c r="F15" s="377">
        <f>'[2]THKL MO M2'!$I$34/1000</f>
        <v>1.6734629999999997E-2</v>
      </c>
      <c r="G15" s="378">
        <f t="shared" si="6"/>
        <v>1.6658780160000001E-2</v>
      </c>
      <c r="H15" s="380">
        <f t="shared" si="3"/>
        <v>1.6658780160000001E-2</v>
      </c>
      <c r="I15" s="402">
        <f t="shared" si="4"/>
        <v>1.6658780160000001E-2</v>
      </c>
      <c r="J15" s="107">
        <f t="shared" si="5"/>
        <v>0</v>
      </c>
      <c r="K15" s="702"/>
      <c r="N15" s="118"/>
      <c r="O15" s="118" t="s">
        <v>770</v>
      </c>
      <c r="P15" s="88"/>
      <c r="Q15" s="89">
        <v>43381</v>
      </c>
      <c r="R15" s="88"/>
      <c r="S15" s="88" t="e">
        <f>VLOOKUP($S$11,hamchuigoi3,M15,0)</f>
        <v>#VALUE!</v>
      </c>
      <c r="T15" s="3" t="str">
        <f>$N$6&amp;" "&amp;O15</f>
        <v>Sản xuất, lắp đặt ống thép mạ kẽm ,đợt 5 thân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0.05</v>
      </c>
      <c r="G17" s="79">
        <f t="shared" ref="G17:J17" si="7">ROUND(SUM(G12:G16),2)</f>
        <v>0.05</v>
      </c>
      <c r="H17" s="455">
        <f t="shared" si="7"/>
        <v>0.05</v>
      </c>
      <c r="I17" s="79">
        <f t="shared" si="7"/>
        <v>0.05</v>
      </c>
      <c r="J17" s="79">
        <f t="shared" si="7"/>
        <v>0</v>
      </c>
      <c r="K17" s="80"/>
      <c r="N17" s="118"/>
      <c r="O17" s="118"/>
      <c r="P17" s="90">
        <f>SUM(P12:P12)</f>
        <v>0</v>
      </c>
    </row>
    <row r="18" spans="1:20" s="175" customFormat="1" ht="18" customHeight="1" thickTop="1" thickBot="1">
      <c r="A18" s="284"/>
      <c r="B18" s="284"/>
      <c r="C18" s="284"/>
      <c r="D18" s="284"/>
      <c r="E18" s="284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84"/>
      <c r="B28" s="284"/>
      <c r="C28" s="284"/>
      <c r="D28" s="284"/>
      <c r="E28" s="284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85" t="str">
        <f>A5</f>
        <v>Hạng mục C.II. HỆ MẶT CẦU, LAN CAN, THẢM MẶT CẦU, THOÁT NƯỚC, KHE CO GIÃN</v>
      </c>
      <c r="B34" s="286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85" t="str">
        <f>A6</f>
        <v>Mục C.II.1.1.14. Sản xuất, lắp đặt ống thép mạ kẽm</v>
      </c>
      <c r="B35" s="286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0.05</v>
      </c>
      <c r="B36" s="640"/>
      <c r="C36" s="640"/>
      <c r="D36" s="640"/>
      <c r="E36" s="131" t="str">
        <f>E7</f>
        <v>(tấn)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Sản xuất, lắp đặt ống thép mạ kẽm</v>
      </c>
      <c r="E40" s="624"/>
      <c r="F40" s="624"/>
      <c r="G40" s="624"/>
      <c r="H40" s="625">
        <f t="shared" ref="H40:H63" si="8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9">DATE(M40,L40,1)</f>
        <v>42948</v>
      </c>
      <c r="P40" s="103">
        <f t="shared" ref="P40:P64" si="10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1">"Tháng "&amp;IF(L41&lt;10,0&amp;L41&amp;"/"&amp;M41,L41&amp;"/"&amp;M41)</f>
        <v>Tháng 09/2017</v>
      </c>
      <c r="C41" s="567"/>
      <c r="D41" s="568" t="str">
        <f>D40</f>
        <v>Sản xuất, lắp đặt ống thép mạ kẽm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9"/>
        <v>42979</v>
      </c>
      <c r="P41" s="103">
        <f t="shared" si="10"/>
        <v>43008</v>
      </c>
    </row>
    <row r="42" spans="1:20" s="5" customFormat="1" ht="17.100000000000001" customHeight="1">
      <c r="A42" s="104">
        <f>A41+1</f>
        <v>3</v>
      </c>
      <c r="B42" s="567" t="str">
        <f t="shared" si="11"/>
        <v>Tháng 10/2017</v>
      </c>
      <c r="C42" s="567"/>
      <c r="D42" s="568" t="str">
        <f t="shared" ref="D42:D64" si="12">D41</f>
        <v>Sản xuất, lắp đặt ống thép mạ kẽm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9"/>
        <v>43009</v>
      </c>
      <c r="P42" s="103">
        <f t="shared" si="10"/>
        <v>43039</v>
      </c>
    </row>
    <row r="43" spans="1:20" s="5" customFormat="1" ht="17.100000000000001" customHeight="1">
      <c r="A43" s="104">
        <f t="shared" ref="A43:A65" si="13">A42+1</f>
        <v>4</v>
      </c>
      <c r="B43" s="567" t="str">
        <f t="shared" si="11"/>
        <v>Tháng 11/2017</v>
      </c>
      <c r="C43" s="567"/>
      <c r="D43" s="568" t="str">
        <f t="shared" si="12"/>
        <v>Sản xuất, lắp đặt ống thép mạ kẽm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9"/>
        <v>43040</v>
      </c>
      <c r="P43" s="103">
        <f t="shared" si="10"/>
        <v>43069</v>
      </c>
    </row>
    <row r="44" spans="1:20" s="5" customFormat="1" ht="17.100000000000001" customHeight="1">
      <c r="A44" s="104">
        <f t="shared" si="13"/>
        <v>5</v>
      </c>
      <c r="B44" s="567" t="str">
        <f t="shared" si="11"/>
        <v>Tháng 12/2017</v>
      </c>
      <c r="C44" s="567"/>
      <c r="D44" s="568" t="str">
        <f t="shared" si="12"/>
        <v>Sản xuất, lắp đặt ống thép mạ kẽm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9"/>
        <v>43070</v>
      </c>
      <c r="P44" s="103">
        <f t="shared" si="10"/>
        <v>43100</v>
      </c>
    </row>
    <row r="45" spans="1:20" s="5" customFormat="1" ht="17.100000000000001" customHeight="1">
      <c r="A45" s="104">
        <f t="shared" si="13"/>
        <v>6</v>
      </c>
      <c r="B45" s="567" t="str">
        <f t="shared" si="11"/>
        <v>Tháng 01/2018</v>
      </c>
      <c r="C45" s="567"/>
      <c r="D45" s="568" t="str">
        <f t="shared" si="12"/>
        <v>Sản xuất, lắp đặt ống thép mạ kẽm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9"/>
        <v>43101</v>
      </c>
      <c r="P45" s="103">
        <f t="shared" si="10"/>
        <v>43131</v>
      </c>
    </row>
    <row r="46" spans="1:20" s="5" customFormat="1" ht="17.100000000000001" customHeight="1">
      <c r="A46" s="104">
        <f t="shared" si="13"/>
        <v>7</v>
      </c>
      <c r="B46" s="567" t="str">
        <f t="shared" si="11"/>
        <v>Tháng 02/2018</v>
      </c>
      <c r="C46" s="567"/>
      <c r="D46" s="568" t="str">
        <f t="shared" si="12"/>
        <v>Sản xuất, lắp đặt ống thép mạ kẽm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9"/>
        <v>43132</v>
      </c>
      <c r="P46" s="103">
        <f t="shared" si="10"/>
        <v>43159</v>
      </c>
    </row>
    <row r="47" spans="1:20" s="5" customFormat="1" ht="17.100000000000001" customHeight="1">
      <c r="A47" s="104">
        <f t="shared" si="13"/>
        <v>8</v>
      </c>
      <c r="B47" s="567" t="str">
        <f t="shared" si="11"/>
        <v>Tháng 03/2018</v>
      </c>
      <c r="C47" s="567"/>
      <c r="D47" s="568" t="str">
        <f t="shared" si="12"/>
        <v>Sản xuất, lắp đặt ống thép mạ kẽm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9"/>
        <v>43160</v>
      </c>
      <c r="P47" s="103">
        <f t="shared" si="10"/>
        <v>43190</v>
      </c>
    </row>
    <row r="48" spans="1:20" s="5" customFormat="1" ht="17.100000000000001" customHeight="1">
      <c r="A48" s="104">
        <f t="shared" si="13"/>
        <v>9</v>
      </c>
      <c r="B48" s="567" t="str">
        <f t="shared" si="11"/>
        <v>Tháng 04/2018</v>
      </c>
      <c r="C48" s="567"/>
      <c r="D48" s="568" t="str">
        <f t="shared" si="12"/>
        <v>Sản xuất, lắp đặt ống thép mạ kẽm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9"/>
        <v>43191</v>
      </c>
      <c r="P48" s="103">
        <f t="shared" si="10"/>
        <v>43220</v>
      </c>
    </row>
    <row r="49" spans="1:16" s="5" customFormat="1" ht="17.100000000000001" customHeight="1">
      <c r="A49" s="104">
        <f t="shared" si="13"/>
        <v>10</v>
      </c>
      <c r="B49" s="567" t="str">
        <f t="shared" si="11"/>
        <v>Tháng 05/2018</v>
      </c>
      <c r="C49" s="567"/>
      <c r="D49" s="568" t="str">
        <f t="shared" si="12"/>
        <v>Sản xuất, lắp đặt ống thép mạ kẽm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9"/>
        <v>43221</v>
      </c>
      <c r="P49" s="103">
        <f t="shared" si="10"/>
        <v>43251</v>
      </c>
    </row>
    <row r="50" spans="1:16" s="5" customFormat="1" ht="17.100000000000001" customHeight="1">
      <c r="A50" s="104">
        <f t="shared" si="13"/>
        <v>11</v>
      </c>
      <c r="B50" s="567" t="str">
        <f t="shared" si="11"/>
        <v>Tháng 06/2018</v>
      </c>
      <c r="C50" s="567"/>
      <c r="D50" s="568" t="str">
        <f t="shared" si="12"/>
        <v>Sản xuất, lắp đặt ống thép mạ kẽm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9"/>
        <v>43252</v>
      </c>
      <c r="P50" s="103">
        <f t="shared" si="10"/>
        <v>43281</v>
      </c>
    </row>
    <row r="51" spans="1:16" s="5" customFormat="1" ht="17.100000000000001" customHeight="1">
      <c r="A51" s="104">
        <f t="shared" si="13"/>
        <v>12</v>
      </c>
      <c r="B51" s="567" t="str">
        <f t="shared" si="11"/>
        <v>Tháng 07/2018</v>
      </c>
      <c r="C51" s="567"/>
      <c r="D51" s="568" t="str">
        <f t="shared" si="12"/>
        <v>Sản xuất, lắp đặt ống thép mạ kẽm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9"/>
        <v>43282</v>
      </c>
      <c r="P51" s="103">
        <f t="shared" si="10"/>
        <v>43312</v>
      </c>
    </row>
    <row r="52" spans="1:16" s="5" customFormat="1" ht="17.100000000000001" customHeight="1">
      <c r="A52" s="104">
        <f t="shared" si="13"/>
        <v>13</v>
      </c>
      <c r="B52" s="567" t="str">
        <f t="shared" si="11"/>
        <v>Tháng 08/2018</v>
      </c>
      <c r="C52" s="567"/>
      <c r="D52" s="568" t="str">
        <f t="shared" si="12"/>
        <v>Sản xuất, lắp đặt ống thép mạ kẽm</v>
      </c>
      <c r="E52" s="568"/>
      <c r="F52" s="568"/>
      <c r="G52" s="568"/>
      <c r="H52" s="569">
        <f t="shared" si="8"/>
        <v>1.6658780160000001E-2</v>
      </c>
      <c r="I52" s="569"/>
      <c r="J52" s="567"/>
      <c r="K52" s="570"/>
      <c r="L52">
        <v>8</v>
      </c>
      <c r="M52" s="101">
        <v>2018</v>
      </c>
      <c r="N52"/>
      <c r="O52" s="103">
        <f t="shared" si="9"/>
        <v>43313</v>
      </c>
      <c r="P52" s="103">
        <f t="shared" si="10"/>
        <v>43343</v>
      </c>
    </row>
    <row r="53" spans="1:16" s="5" customFormat="1" ht="17.100000000000001" customHeight="1">
      <c r="A53" s="104">
        <f t="shared" si="13"/>
        <v>14</v>
      </c>
      <c r="B53" s="567" t="str">
        <f t="shared" si="11"/>
        <v>Tháng 09/2018</v>
      </c>
      <c r="C53" s="567"/>
      <c r="D53" s="568" t="str">
        <f t="shared" si="12"/>
        <v>Sản xuất, lắp đặt ống thép mạ kẽm</v>
      </c>
      <c r="E53" s="568"/>
      <c r="F53" s="568"/>
      <c r="G53" s="568"/>
      <c r="H53" s="569">
        <f t="shared" si="8"/>
        <v>1.0102949999999999E-2</v>
      </c>
      <c r="I53" s="569"/>
      <c r="J53" s="567"/>
      <c r="K53" s="570"/>
      <c r="L53">
        <v>9</v>
      </c>
      <c r="M53" s="101">
        <v>2018</v>
      </c>
      <c r="N53"/>
      <c r="O53" s="103">
        <f t="shared" si="9"/>
        <v>43344</v>
      </c>
      <c r="P53" s="103">
        <f t="shared" si="10"/>
        <v>43373</v>
      </c>
    </row>
    <row r="54" spans="1:16" s="5" customFormat="1" ht="17.100000000000001" customHeight="1">
      <c r="A54" s="104">
        <f t="shared" si="13"/>
        <v>15</v>
      </c>
      <c r="B54" s="567" t="str">
        <f t="shared" si="11"/>
        <v>Tháng 10/2018</v>
      </c>
      <c r="C54" s="567"/>
      <c r="D54" s="568" t="str">
        <f t="shared" si="12"/>
        <v>Sản xuất, lắp đặt ống thép mạ kẽm</v>
      </c>
      <c r="E54" s="568"/>
      <c r="F54" s="568"/>
      <c r="G54" s="568"/>
      <c r="H54" s="569">
        <f t="shared" si="8"/>
        <v>2.676173016E-2</v>
      </c>
      <c r="I54" s="569"/>
      <c r="J54" s="567"/>
      <c r="K54" s="570"/>
      <c r="L54">
        <v>10</v>
      </c>
      <c r="M54" s="101">
        <v>2018</v>
      </c>
      <c r="N54"/>
      <c r="O54" s="103">
        <f t="shared" si="9"/>
        <v>43374</v>
      </c>
      <c r="P54" s="103">
        <f t="shared" si="10"/>
        <v>43404</v>
      </c>
    </row>
    <row r="55" spans="1:16" s="5" customFormat="1" ht="17.100000000000001" customHeight="1">
      <c r="A55" s="104">
        <f t="shared" si="13"/>
        <v>16</v>
      </c>
      <c r="B55" s="567" t="str">
        <f t="shared" si="11"/>
        <v>Tháng 11/2018</v>
      </c>
      <c r="C55" s="567"/>
      <c r="D55" s="568" t="str">
        <f t="shared" si="12"/>
        <v>Sản xuất, lắp đặt ống thép mạ kẽm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9"/>
        <v>43405</v>
      </c>
      <c r="P55" s="103">
        <f t="shared" si="10"/>
        <v>43434</v>
      </c>
    </row>
    <row r="56" spans="1:16" s="5" customFormat="1" ht="17.100000000000001" customHeight="1">
      <c r="A56" s="104">
        <f t="shared" si="13"/>
        <v>17</v>
      </c>
      <c r="B56" s="567" t="str">
        <f t="shared" si="11"/>
        <v>Tháng 12/2018</v>
      </c>
      <c r="C56" s="567"/>
      <c r="D56" s="568" t="str">
        <f t="shared" si="12"/>
        <v>Sản xuất, lắp đặt ống thép mạ kẽm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9"/>
        <v>43435</v>
      </c>
      <c r="P56" s="103">
        <f t="shared" si="10"/>
        <v>43465</v>
      </c>
    </row>
    <row r="57" spans="1:16" s="5" customFormat="1" ht="17.100000000000001" customHeight="1">
      <c r="A57" s="104">
        <f t="shared" si="13"/>
        <v>18</v>
      </c>
      <c r="B57" s="567" t="str">
        <f t="shared" si="11"/>
        <v>Tháng 01/2019</v>
      </c>
      <c r="C57" s="567"/>
      <c r="D57" s="568" t="str">
        <f t="shared" si="12"/>
        <v>Sản xuất, lắp đặt ống thép mạ kẽm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9"/>
        <v>43466</v>
      </c>
      <c r="P57" s="103">
        <f t="shared" si="10"/>
        <v>43496</v>
      </c>
    </row>
    <row r="58" spans="1:16" s="5" customFormat="1" ht="17.100000000000001" customHeight="1">
      <c r="A58" s="104">
        <f t="shared" si="13"/>
        <v>19</v>
      </c>
      <c r="B58" s="567" t="str">
        <f t="shared" si="11"/>
        <v>Tháng 02/2019</v>
      </c>
      <c r="C58" s="567"/>
      <c r="D58" s="568" t="str">
        <f t="shared" si="12"/>
        <v>Sản xuất, lắp đặt ống thép mạ kẽm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9"/>
        <v>43497</v>
      </c>
      <c r="P58" s="103">
        <f t="shared" si="10"/>
        <v>43524</v>
      </c>
    </row>
    <row r="59" spans="1:16" s="5" customFormat="1" ht="17.100000000000001" customHeight="1">
      <c r="A59" s="104">
        <f t="shared" si="13"/>
        <v>20</v>
      </c>
      <c r="B59" s="567" t="str">
        <f t="shared" si="11"/>
        <v>Tháng 03/2019</v>
      </c>
      <c r="C59" s="567"/>
      <c r="D59" s="568" t="str">
        <f t="shared" si="12"/>
        <v>Sản xuất, lắp đặt ống thép mạ kẽm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9"/>
        <v>43525</v>
      </c>
      <c r="P59" s="103">
        <f t="shared" si="10"/>
        <v>43555</v>
      </c>
    </row>
    <row r="60" spans="1:16" s="5" customFormat="1" ht="17.100000000000001" customHeight="1">
      <c r="A60" s="104">
        <f t="shared" si="13"/>
        <v>21</v>
      </c>
      <c r="B60" s="567" t="str">
        <f t="shared" si="11"/>
        <v>Tháng 04/2019</v>
      </c>
      <c r="C60" s="567"/>
      <c r="D60" s="568" t="str">
        <f t="shared" si="12"/>
        <v>Sản xuất, lắp đặt ống thép mạ kẽm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9"/>
        <v>43556</v>
      </c>
      <c r="P60" s="103">
        <f t="shared" si="10"/>
        <v>43585</v>
      </c>
    </row>
    <row r="61" spans="1:16" s="5" customFormat="1" ht="17.100000000000001" customHeight="1">
      <c r="A61" s="104">
        <f t="shared" si="13"/>
        <v>22</v>
      </c>
      <c r="B61" s="567" t="str">
        <f t="shared" si="11"/>
        <v>Tháng 05/2019</v>
      </c>
      <c r="C61" s="567"/>
      <c r="D61" s="568" t="str">
        <f t="shared" si="12"/>
        <v>Sản xuất, lắp đặt ống thép mạ kẽm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9"/>
        <v>43586</v>
      </c>
      <c r="P61" s="103">
        <f t="shared" si="10"/>
        <v>43616</v>
      </c>
    </row>
    <row r="62" spans="1:16" s="5" customFormat="1" ht="17.100000000000001" customHeight="1">
      <c r="A62" s="104">
        <f t="shared" si="13"/>
        <v>23</v>
      </c>
      <c r="B62" s="567" t="str">
        <f t="shared" si="11"/>
        <v>Tháng 06/2019</v>
      </c>
      <c r="C62" s="567"/>
      <c r="D62" s="568" t="str">
        <f t="shared" si="12"/>
        <v>Sản xuất, lắp đặt ống thép mạ kẽm</v>
      </c>
      <c r="E62" s="568"/>
      <c r="F62" s="568"/>
      <c r="G62" s="568"/>
      <c r="H62" s="569">
        <f t="shared" si="8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9"/>
        <v>43617</v>
      </c>
      <c r="P62" s="103">
        <f t="shared" si="10"/>
        <v>43646</v>
      </c>
    </row>
    <row r="63" spans="1:16" s="5" customFormat="1" ht="17.100000000000001" customHeight="1">
      <c r="A63" s="104">
        <f t="shared" si="13"/>
        <v>24</v>
      </c>
      <c r="B63" s="567" t="str">
        <f t="shared" si="11"/>
        <v>Tháng 07/2019</v>
      </c>
      <c r="C63" s="567"/>
      <c r="D63" s="568" t="str">
        <f t="shared" si="12"/>
        <v>Sản xuất, lắp đặt ống thép mạ kẽm</v>
      </c>
      <c r="E63" s="568"/>
      <c r="F63" s="568"/>
      <c r="G63" s="568"/>
      <c r="H63" s="569">
        <f t="shared" si="8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9"/>
        <v>43647</v>
      </c>
      <c r="P63" s="103">
        <f t="shared" si="10"/>
        <v>43677</v>
      </c>
    </row>
    <row r="64" spans="1:16" s="5" customFormat="1" ht="17.100000000000001" customHeight="1">
      <c r="A64" s="104">
        <f t="shared" si="13"/>
        <v>25</v>
      </c>
      <c r="B64" s="567" t="str">
        <f t="shared" si="11"/>
        <v>Tháng 08/2019</v>
      </c>
      <c r="C64" s="567"/>
      <c r="D64" s="568" t="str">
        <f t="shared" si="12"/>
        <v>Sản xuất, lắp đặt ống thép mạ kẽm</v>
      </c>
      <c r="E64" s="568"/>
      <c r="F64" s="568"/>
      <c r="G64" s="568"/>
      <c r="H64" s="569">
        <f t="shared" ref="H64:H65" si="14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9"/>
        <v>43678</v>
      </c>
      <c r="P64" s="103">
        <f t="shared" si="10"/>
        <v>43708</v>
      </c>
    </row>
    <row r="65" spans="1:20" s="5" customFormat="1" ht="17.100000000000001" customHeight="1">
      <c r="A65" s="104">
        <f t="shared" si="13"/>
        <v>26</v>
      </c>
      <c r="B65" s="616" t="str">
        <f t="shared" si="11"/>
        <v>Tháng 09/2019</v>
      </c>
      <c r="C65" s="616"/>
      <c r="D65" s="652" t="str">
        <f>D63</f>
        <v>Sản xuất, lắp đặt ống thép mạ kẽm</v>
      </c>
      <c r="E65" s="652"/>
      <c r="F65" s="652"/>
      <c r="G65" s="652"/>
      <c r="H65" s="615">
        <f t="shared" si="14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5">SUM(H40:I65)</f>
        <v>5.3523460320000001E-2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70:E76"/>
    <mergeCell ref="F70:K76"/>
    <mergeCell ref="A66:G66"/>
    <mergeCell ref="H66:I66"/>
    <mergeCell ref="J66:K66"/>
    <mergeCell ref="A68:E68"/>
    <mergeCell ref="F68:K68"/>
    <mergeCell ref="A69:E69"/>
    <mergeCell ref="F69:K69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5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>
    <tabColor rgb="FFFFFF00"/>
  </sheetPr>
  <dimension ref="A1:T77"/>
  <sheetViews>
    <sheetView view="pageBreakPreview" topLeftCell="A5" zoomScaleSheetLayoutView="100" workbookViewId="0">
      <selection activeCell="F13" sqref="F1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C.II.1.1.15. Tấm ngăn nước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359</v>
      </c>
      <c r="N6" s="245" t="str">
        <f>THKLQT!C115</f>
        <v>Tấm ngăn nước</v>
      </c>
      <c r="Q6" s="17"/>
    </row>
    <row r="7" spans="1:20" s="178" customFormat="1" ht="18.75" customHeight="1">
      <c r="A7" s="634">
        <f>I17</f>
        <v>18.61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THKLQT!D115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43399</v>
      </c>
      <c r="C12" s="571" t="str">
        <f>T12</f>
        <v>Tấm ngăn nước ,thân A1L</v>
      </c>
      <c r="D12" s="572"/>
      <c r="E12" s="573"/>
      <c r="F12" s="2">
        <f>P12</f>
        <v>0</v>
      </c>
      <c r="G12" s="1">
        <f>P12</f>
        <v>0</v>
      </c>
      <c r="H12" s="31">
        <f>P12</f>
        <v>0</v>
      </c>
      <c r="I12" s="107">
        <f>P12</f>
        <v>0</v>
      </c>
      <c r="J12" s="107">
        <f>P12</f>
        <v>0</v>
      </c>
      <c r="K12" s="82"/>
      <c r="N12" s="118"/>
      <c r="O12" s="118" t="s">
        <v>355</v>
      </c>
      <c r="P12" s="88">
        <v>0</v>
      </c>
      <c r="Q12" s="89">
        <v>43399</v>
      </c>
      <c r="R12" s="88"/>
      <c r="S12" s="88" t="e">
        <f>VLOOKUP($S$11,hamchuigoi3,M12,0)</f>
        <v>#VALUE!</v>
      </c>
      <c r="T12" s="3" t="str">
        <f t="shared" ref="T12:T14" si="0">$N$6&amp;" "&amp;O12</f>
        <v>Tấm ngăn nước ,thân A1L</v>
      </c>
    </row>
    <row r="13" spans="1:20" ht="14.25" outlineLevel="2">
      <c r="A13" s="81">
        <f>SUBTOTAL(103,$B$12:B13)</f>
        <v>2</v>
      </c>
      <c r="B13" s="78">
        <f t="shared" ref="B13:B15" si="1">Q13</f>
        <v>43413</v>
      </c>
      <c r="C13" s="571" t="str">
        <f t="shared" ref="C13:C15" si="2">T13</f>
        <v>Tấm ngăn nước ,thân A1R</v>
      </c>
      <c r="D13" s="572"/>
      <c r="E13" s="573"/>
      <c r="F13" s="2">
        <f>'[2]THKL MO M1'!$K$46</f>
        <v>8.5329999999999995</v>
      </c>
      <c r="G13" s="1">
        <f t="shared" ref="G13:G15" si="3">P13</f>
        <v>8.4559999999999995</v>
      </c>
      <c r="H13" s="295">
        <f t="shared" ref="H13:H15" si="4">P13</f>
        <v>8.4559999999999995</v>
      </c>
      <c r="I13" s="107">
        <f t="shared" ref="I13:I15" si="5">P13</f>
        <v>8.4559999999999995</v>
      </c>
      <c r="J13" s="107">
        <f t="shared" ref="J13:J15" si="6">P13</f>
        <v>8.4559999999999995</v>
      </c>
      <c r="K13" s="82"/>
      <c r="N13" s="118"/>
      <c r="O13" s="118" t="s">
        <v>356</v>
      </c>
      <c r="P13" s="88">
        <v>8.4559999999999995</v>
      </c>
      <c r="Q13" s="89">
        <v>43413</v>
      </c>
      <c r="R13" s="88"/>
      <c r="S13" s="88" t="e">
        <f>VLOOKUP($S$11,hamchuigoi3,M13,0)</f>
        <v>#VALUE!</v>
      </c>
      <c r="T13" s="3" t="str">
        <f t="shared" si="0"/>
        <v>Tấm ngăn nước ,thân A1R</v>
      </c>
    </row>
    <row r="14" spans="1:20" ht="14.25" outlineLevel="2">
      <c r="A14" s="81">
        <f>SUBTOTAL(103,$B$12:B14)</f>
        <v>3</v>
      </c>
      <c r="B14" s="78">
        <f t="shared" si="1"/>
        <v>43379</v>
      </c>
      <c r="C14" s="571" t="str">
        <f t="shared" si="2"/>
        <v>Tấm ngăn nước ,thân A2L</v>
      </c>
      <c r="D14" s="572"/>
      <c r="E14" s="573"/>
      <c r="F14" s="2">
        <f t="shared" ref="F14" si="7">P14</f>
        <v>0</v>
      </c>
      <c r="G14" s="1">
        <f t="shared" si="3"/>
        <v>0</v>
      </c>
      <c r="H14" s="31">
        <f t="shared" si="4"/>
        <v>0</v>
      </c>
      <c r="I14" s="107">
        <f t="shared" si="5"/>
        <v>0</v>
      </c>
      <c r="J14" s="107">
        <f t="shared" si="6"/>
        <v>0</v>
      </c>
      <c r="K14" s="82"/>
      <c r="N14" s="118"/>
      <c r="O14" s="118" t="s">
        <v>357</v>
      </c>
      <c r="P14" s="88">
        <v>0</v>
      </c>
      <c r="Q14" s="89">
        <v>43379</v>
      </c>
      <c r="R14" s="88"/>
      <c r="S14" s="88" t="e">
        <f>VLOOKUP($S$11,hamchuigoi3,M14,0)</f>
        <v>#VALUE!</v>
      </c>
      <c r="T14" s="3" t="str">
        <f t="shared" si="0"/>
        <v>Tấm ngăn nước ,thân A2L</v>
      </c>
    </row>
    <row r="15" spans="1:20" ht="14.25" outlineLevel="2">
      <c r="A15" s="81">
        <f>SUBTOTAL(103,$B$12:B15)</f>
        <v>4</v>
      </c>
      <c r="B15" s="78">
        <f t="shared" si="1"/>
        <v>43381</v>
      </c>
      <c r="C15" s="571" t="str">
        <f t="shared" si="2"/>
        <v>Tấm ngăn nước ,thân A2R</v>
      </c>
      <c r="D15" s="572"/>
      <c r="E15" s="573"/>
      <c r="F15" s="2">
        <f>'[2]THKL MO M2'!$K$46</f>
        <v>10.225</v>
      </c>
      <c r="G15" s="1">
        <f t="shared" si="3"/>
        <v>10.151999999999999</v>
      </c>
      <c r="H15" s="295">
        <f t="shared" si="4"/>
        <v>10.151999999999999</v>
      </c>
      <c r="I15" s="107">
        <f t="shared" si="5"/>
        <v>10.151999999999999</v>
      </c>
      <c r="J15" s="107">
        <f t="shared" si="6"/>
        <v>10.151999999999999</v>
      </c>
      <c r="K15" s="82"/>
      <c r="N15" s="118"/>
      <c r="O15" s="118" t="s">
        <v>358</v>
      </c>
      <c r="P15" s="88">
        <v>10.151999999999999</v>
      </c>
      <c r="Q15" s="89">
        <v>43381</v>
      </c>
      <c r="R15" s="88"/>
      <c r="S15" s="88" t="e">
        <f>VLOOKUP($S$11,hamchuigoi3,M15,0)</f>
        <v>#VALUE!</v>
      </c>
      <c r="T15" s="3" t="str">
        <f>$N$6&amp;" "&amp;O15</f>
        <v>Tấm ngăn nước ,thân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+F13+F15</f>
        <v>18.757999999999999</v>
      </c>
      <c r="G17" s="79">
        <f t="shared" ref="G17:J17" si="8">ROUND(SUM(G12:G16),2)</f>
        <v>18.61</v>
      </c>
      <c r="H17" s="79">
        <f t="shared" si="8"/>
        <v>18.61</v>
      </c>
      <c r="I17" s="79">
        <f t="shared" si="8"/>
        <v>18.61</v>
      </c>
      <c r="J17" s="79">
        <f t="shared" si="8"/>
        <v>18.61</v>
      </c>
      <c r="K17" s="80"/>
      <c r="N17" s="118"/>
      <c r="O17" s="118"/>
      <c r="P17" s="90">
        <f>SUM(P12:P12)</f>
        <v>0</v>
      </c>
    </row>
    <row r="18" spans="1:20" s="175" customFormat="1" ht="18" customHeight="1" thickTop="1" thickBot="1">
      <c r="A18" s="227"/>
      <c r="B18" s="227"/>
      <c r="C18" s="227"/>
      <c r="D18" s="227"/>
      <c r="E18" s="227"/>
      <c r="F18" s="116"/>
      <c r="G18" s="116"/>
      <c r="H18" s="116"/>
      <c r="I18" s="116"/>
      <c r="J18" s="116"/>
      <c r="K18" s="117"/>
      <c r="L18" s="4"/>
      <c r="M18" s="4" t="s">
        <v>353</v>
      </c>
      <c r="N18" s="118" t="s">
        <v>354</v>
      </c>
      <c r="O18" s="118" t="s">
        <v>351</v>
      </c>
      <c r="P18" s="119" t="s">
        <v>352</v>
      </c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>
        <v>149.16999999999999</v>
      </c>
      <c r="N19" s="4">
        <v>149.11699999999999</v>
      </c>
      <c r="O19" s="4">
        <v>0</v>
      </c>
      <c r="P19" s="4">
        <v>0</v>
      </c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>
        <v>0</v>
      </c>
      <c r="N20" s="4">
        <v>8.4559999999999995</v>
      </c>
      <c r="O20" s="4">
        <v>10.151999999999999</v>
      </c>
      <c r="P20" s="4">
        <v>0</v>
      </c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9.2609999999999992</v>
      </c>
      <c r="P21" s="4">
        <v>0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4</v>
      </c>
      <c r="N22" s="4">
        <v>4</v>
      </c>
      <c r="O22" s="4">
        <v>4</v>
      </c>
      <c r="P22" s="4">
        <v>4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0</v>
      </c>
      <c r="N23" s="4">
        <v>0</v>
      </c>
      <c r="O23" s="4">
        <v>309</v>
      </c>
      <c r="P23" s="4">
        <v>309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2300.7199999999998</v>
      </c>
      <c r="N24" s="4">
        <v>3002.72</v>
      </c>
      <c r="O24" s="4">
        <v>562.11</v>
      </c>
      <c r="P24" s="4">
        <v>562.11</v>
      </c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>
        <v>6369.45</v>
      </c>
      <c r="N25" s="4">
        <v>6905.47</v>
      </c>
      <c r="O25" s="4">
        <v>6119.16</v>
      </c>
      <c r="P25" s="4">
        <v>9046.5499999999993</v>
      </c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>
        <v>7896.36</v>
      </c>
      <c r="N26" s="4">
        <v>7805.84</v>
      </c>
      <c r="O26" s="4">
        <v>1921.33</v>
      </c>
      <c r="P26" s="4">
        <v>13505.69</v>
      </c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>
        <v>140</v>
      </c>
      <c r="N27" s="4">
        <v>139.6</v>
      </c>
      <c r="O27" s="4">
        <v>218.6</v>
      </c>
      <c r="P27" s="4">
        <v>209.5</v>
      </c>
    </row>
    <row r="28" spans="1:20" s="175" customFormat="1" ht="18" customHeight="1" thickTop="1">
      <c r="A28" s="227"/>
      <c r="B28" s="227"/>
      <c r="C28" s="227"/>
      <c r="D28" s="227"/>
      <c r="E28" s="227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28" t="str">
        <f>A5</f>
        <v>Hạng mục C.II. HỆ MẶT CẦU, LAN CAN, THẢM MẶT CẦU, THOÁT NƯỚC, KHE CO GIÃN</v>
      </c>
      <c r="B34" s="229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28" t="str">
        <f>A6</f>
        <v>Mục C.II.1.1.15. Tấm ngăn nước</v>
      </c>
      <c r="B35" s="229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18.61</v>
      </c>
      <c r="B36" s="640"/>
      <c r="C36" s="640"/>
      <c r="D36" s="640"/>
      <c r="E36" s="131" t="str">
        <f>E7</f>
        <v>(m)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Tấm ngăn nước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Tấm ngăn nước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Tấm ngăn nước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Tấm ngăn nước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Tấm ngăn nước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Tấm ngăn nước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Tấm ngăn nước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Tấm ngăn nước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Tấm ngăn nước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Tấm ngăn nước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Tấm ngăn nước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Tấm ngăn nước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Tấm ngăn nước</v>
      </c>
      <c r="E52" s="568"/>
      <c r="F52" s="568"/>
      <c r="G52" s="568"/>
      <c r="H52" s="569">
        <f t="shared" si="9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Tấm ngăn nước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Tấm ngăn nước</v>
      </c>
      <c r="E54" s="568"/>
      <c r="F54" s="568"/>
      <c r="G54" s="568"/>
      <c r="H54" s="569">
        <f t="shared" si="9"/>
        <v>10.151999999999999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Tấm ngăn nước</v>
      </c>
      <c r="E55" s="568"/>
      <c r="F55" s="568"/>
      <c r="G55" s="568"/>
      <c r="H55" s="569">
        <f t="shared" si="9"/>
        <v>8.4559999999999995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Tấm ngăn nước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Tấm ngăn nước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Tấm ngăn nước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Tấm ngăn nước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Tấm ngăn nước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Tấm ngăn nước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Tấm ngăn nước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Tấm ngăn nước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Tấm ngăn nước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Tấm ngăn nước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18.607999999999997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49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>
    <tabColor rgb="FFFFFF00"/>
  </sheetPr>
  <dimension ref="A1:T77"/>
  <sheetViews>
    <sheetView view="pageBreakPreview" topLeftCell="A61" zoomScaleSheetLayoutView="100" workbookViewId="0">
      <selection activeCell="A70" sqref="A70:K76"/>
    </sheetView>
  </sheetViews>
  <sheetFormatPr defaultRowHeight="15" outlineLevelRow="2"/>
  <cols>
    <col min="1" max="1" width="4.7109375" style="325" customWidth="1"/>
    <col min="2" max="2" width="10.7109375" style="372" customWidth="1"/>
    <col min="3" max="3" width="11.85546875" style="373" customWidth="1"/>
    <col min="4" max="4" width="8.7109375" style="373" customWidth="1"/>
    <col min="5" max="5" width="19.5703125" style="373" customWidth="1"/>
    <col min="6" max="9" width="9.7109375" style="374" customWidth="1"/>
    <col min="10" max="10" width="9.7109375" style="374" hidden="1" customWidth="1"/>
    <col min="11" max="11" width="11.85546875" style="325" customWidth="1"/>
    <col min="12" max="12" width="9.7109375" style="325" customWidth="1"/>
    <col min="13" max="13" width="12.85546875" style="325" customWidth="1"/>
    <col min="14" max="14" width="11.7109375" style="325" customWidth="1"/>
    <col min="15" max="15" width="10.5703125" style="325" bestFit="1" customWidth="1"/>
    <col min="16" max="16" width="10.28515625" style="325" customWidth="1"/>
    <col min="17" max="17" width="10.140625" style="326" customWidth="1"/>
    <col min="18" max="19" width="9.140625" style="325"/>
    <col min="20" max="20" width="18.42578125" style="325" customWidth="1"/>
    <col min="21" max="246" width="9.140625" style="325"/>
    <col min="247" max="247" width="6.7109375" style="325" customWidth="1"/>
    <col min="248" max="248" width="7.85546875" style="325" customWidth="1"/>
    <col min="249" max="249" width="12.140625" style="325" customWidth="1"/>
    <col min="250" max="250" width="10.28515625" style="325" customWidth="1"/>
    <col min="251" max="251" width="8.28515625" style="325" customWidth="1"/>
    <col min="252" max="252" width="8.7109375" style="325" customWidth="1"/>
    <col min="253" max="253" width="9.85546875" style="325" customWidth="1"/>
    <col min="254" max="254" width="8.85546875" style="325" customWidth="1"/>
    <col min="255" max="255" width="8.7109375" style="325" customWidth="1"/>
    <col min="256" max="256" width="9.28515625" style="325" customWidth="1"/>
    <col min="257" max="257" width="8.85546875" style="325" customWidth="1"/>
    <col min="258" max="258" width="8.7109375" style="325" customWidth="1"/>
    <col min="259" max="259" width="9.5703125" style="325" customWidth="1"/>
    <col min="260" max="260" width="8.85546875" style="325" customWidth="1"/>
    <col min="261" max="261" width="11.140625" style="325" customWidth="1"/>
    <col min="262" max="262" width="10.140625" style="325" customWidth="1"/>
    <col min="263" max="263" width="13.7109375" style="325" customWidth="1"/>
    <col min="264" max="264" width="10.140625" style="325" customWidth="1"/>
    <col min="265" max="265" width="11" style="325" customWidth="1"/>
    <col min="266" max="266" width="11.7109375" style="325" customWidth="1"/>
    <col min="267" max="267" width="12.28515625" style="325" customWidth="1"/>
    <col min="268" max="268" width="9.7109375" style="325" customWidth="1"/>
    <col min="269" max="269" width="12.85546875" style="325" customWidth="1"/>
    <col min="270" max="270" width="9.28515625" style="325" customWidth="1"/>
    <col min="271" max="502" width="9.140625" style="325"/>
    <col min="503" max="503" width="6.7109375" style="325" customWidth="1"/>
    <col min="504" max="504" width="7.85546875" style="325" customWidth="1"/>
    <col min="505" max="505" width="12.140625" style="325" customWidth="1"/>
    <col min="506" max="506" width="10.28515625" style="325" customWidth="1"/>
    <col min="507" max="507" width="8.28515625" style="325" customWidth="1"/>
    <col min="508" max="508" width="8.7109375" style="325" customWidth="1"/>
    <col min="509" max="509" width="9.85546875" style="325" customWidth="1"/>
    <col min="510" max="510" width="8.85546875" style="325" customWidth="1"/>
    <col min="511" max="511" width="8.7109375" style="325" customWidth="1"/>
    <col min="512" max="512" width="9.28515625" style="325" customWidth="1"/>
    <col min="513" max="513" width="8.85546875" style="325" customWidth="1"/>
    <col min="514" max="514" width="8.7109375" style="325" customWidth="1"/>
    <col min="515" max="515" width="9.5703125" style="325" customWidth="1"/>
    <col min="516" max="516" width="8.85546875" style="325" customWidth="1"/>
    <col min="517" max="517" width="11.140625" style="325" customWidth="1"/>
    <col min="518" max="518" width="10.140625" style="325" customWidth="1"/>
    <col min="519" max="519" width="13.7109375" style="325" customWidth="1"/>
    <col min="520" max="520" width="10.140625" style="325" customWidth="1"/>
    <col min="521" max="521" width="11" style="325" customWidth="1"/>
    <col min="522" max="522" width="11.7109375" style="325" customWidth="1"/>
    <col min="523" max="523" width="12.28515625" style="325" customWidth="1"/>
    <col min="524" max="524" width="9.7109375" style="325" customWidth="1"/>
    <col min="525" max="525" width="12.85546875" style="325" customWidth="1"/>
    <col min="526" max="526" width="9.28515625" style="325" customWidth="1"/>
    <col min="527" max="758" width="9.140625" style="325"/>
    <col min="759" max="759" width="6.7109375" style="325" customWidth="1"/>
    <col min="760" max="760" width="7.85546875" style="325" customWidth="1"/>
    <col min="761" max="761" width="12.140625" style="325" customWidth="1"/>
    <col min="762" max="762" width="10.28515625" style="325" customWidth="1"/>
    <col min="763" max="763" width="8.28515625" style="325" customWidth="1"/>
    <col min="764" max="764" width="8.7109375" style="325" customWidth="1"/>
    <col min="765" max="765" width="9.85546875" style="325" customWidth="1"/>
    <col min="766" max="766" width="8.85546875" style="325" customWidth="1"/>
    <col min="767" max="767" width="8.7109375" style="325" customWidth="1"/>
    <col min="768" max="768" width="9.28515625" style="325" customWidth="1"/>
    <col min="769" max="769" width="8.85546875" style="325" customWidth="1"/>
    <col min="770" max="770" width="8.7109375" style="325" customWidth="1"/>
    <col min="771" max="771" width="9.5703125" style="325" customWidth="1"/>
    <col min="772" max="772" width="8.85546875" style="325" customWidth="1"/>
    <col min="773" max="773" width="11.140625" style="325" customWidth="1"/>
    <col min="774" max="774" width="10.140625" style="325" customWidth="1"/>
    <col min="775" max="775" width="13.7109375" style="325" customWidth="1"/>
    <col min="776" max="776" width="10.140625" style="325" customWidth="1"/>
    <col min="777" max="777" width="11" style="325" customWidth="1"/>
    <col min="778" max="778" width="11.7109375" style="325" customWidth="1"/>
    <col min="779" max="779" width="12.28515625" style="325" customWidth="1"/>
    <col min="780" max="780" width="9.7109375" style="325" customWidth="1"/>
    <col min="781" max="781" width="12.85546875" style="325" customWidth="1"/>
    <col min="782" max="782" width="9.28515625" style="325" customWidth="1"/>
    <col min="783" max="1014" width="9.140625" style="325"/>
    <col min="1015" max="1015" width="6.7109375" style="325" customWidth="1"/>
    <col min="1016" max="1016" width="7.85546875" style="325" customWidth="1"/>
    <col min="1017" max="1017" width="12.140625" style="325" customWidth="1"/>
    <col min="1018" max="1018" width="10.28515625" style="325" customWidth="1"/>
    <col min="1019" max="1019" width="8.28515625" style="325" customWidth="1"/>
    <col min="1020" max="1020" width="8.7109375" style="325" customWidth="1"/>
    <col min="1021" max="1021" width="9.85546875" style="325" customWidth="1"/>
    <col min="1022" max="1022" width="8.85546875" style="325" customWidth="1"/>
    <col min="1023" max="1023" width="8.7109375" style="325" customWidth="1"/>
    <col min="1024" max="1024" width="9.28515625" style="325" customWidth="1"/>
    <col min="1025" max="1025" width="8.85546875" style="325" customWidth="1"/>
    <col min="1026" max="1026" width="8.7109375" style="325" customWidth="1"/>
    <col min="1027" max="1027" width="9.5703125" style="325" customWidth="1"/>
    <col min="1028" max="1028" width="8.85546875" style="325" customWidth="1"/>
    <col min="1029" max="1029" width="11.140625" style="325" customWidth="1"/>
    <col min="1030" max="1030" width="10.140625" style="325" customWidth="1"/>
    <col min="1031" max="1031" width="13.7109375" style="325" customWidth="1"/>
    <col min="1032" max="1032" width="10.140625" style="325" customWidth="1"/>
    <col min="1033" max="1033" width="11" style="325" customWidth="1"/>
    <col min="1034" max="1034" width="11.7109375" style="325" customWidth="1"/>
    <col min="1035" max="1035" width="12.28515625" style="325" customWidth="1"/>
    <col min="1036" max="1036" width="9.7109375" style="325" customWidth="1"/>
    <col min="1037" max="1037" width="12.85546875" style="325" customWidth="1"/>
    <col min="1038" max="1038" width="9.28515625" style="325" customWidth="1"/>
    <col min="1039" max="1270" width="9.140625" style="325"/>
    <col min="1271" max="1271" width="6.7109375" style="325" customWidth="1"/>
    <col min="1272" max="1272" width="7.85546875" style="325" customWidth="1"/>
    <col min="1273" max="1273" width="12.140625" style="325" customWidth="1"/>
    <col min="1274" max="1274" width="10.28515625" style="325" customWidth="1"/>
    <col min="1275" max="1275" width="8.28515625" style="325" customWidth="1"/>
    <col min="1276" max="1276" width="8.7109375" style="325" customWidth="1"/>
    <col min="1277" max="1277" width="9.85546875" style="325" customWidth="1"/>
    <col min="1278" max="1278" width="8.85546875" style="325" customWidth="1"/>
    <col min="1279" max="1279" width="8.7109375" style="325" customWidth="1"/>
    <col min="1280" max="1280" width="9.28515625" style="325" customWidth="1"/>
    <col min="1281" max="1281" width="8.85546875" style="325" customWidth="1"/>
    <col min="1282" max="1282" width="8.7109375" style="325" customWidth="1"/>
    <col min="1283" max="1283" width="9.5703125" style="325" customWidth="1"/>
    <col min="1284" max="1284" width="8.85546875" style="325" customWidth="1"/>
    <col min="1285" max="1285" width="11.140625" style="325" customWidth="1"/>
    <col min="1286" max="1286" width="10.140625" style="325" customWidth="1"/>
    <col min="1287" max="1287" width="13.7109375" style="325" customWidth="1"/>
    <col min="1288" max="1288" width="10.140625" style="325" customWidth="1"/>
    <col min="1289" max="1289" width="11" style="325" customWidth="1"/>
    <col min="1290" max="1290" width="11.7109375" style="325" customWidth="1"/>
    <col min="1291" max="1291" width="12.28515625" style="325" customWidth="1"/>
    <col min="1292" max="1292" width="9.7109375" style="325" customWidth="1"/>
    <col min="1293" max="1293" width="12.85546875" style="325" customWidth="1"/>
    <col min="1294" max="1294" width="9.28515625" style="325" customWidth="1"/>
    <col min="1295" max="1526" width="9.140625" style="325"/>
    <col min="1527" max="1527" width="6.7109375" style="325" customWidth="1"/>
    <col min="1528" max="1528" width="7.85546875" style="325" customWidth="1"/>
    <col min="1529" max="1529" width="12.140625" style="325" customWidth="1"/>
    <col min="1530" max="1530" width="10.28515625" style="325" customWidth="1"/>
    <col min="1531" max="1531" width="8.28515625" style="325" customWidth="1"/>
    <col min="1532" max="1532" width="8.7109375" style="325" customWidth="1"/>
    <col min="1533" max="1533" width="9.85546875" style="325" customWidth="1"/>
    <col min="1534" max="1534" width="8.85546875" style="325" customWidth="1"/>
    <col min="1535" max="1535" width="8.7109375" style="325" customWidth="1"/>
    <col min="1536" max="1536" width="9.28515625" style="325" customWidth="1"/>
    <col min="1537" max="1537" width="8.85546875" style="325" customWidth="1"/>
    <col min="1538" max="1538" width="8.7109375" style="325" customWidth="1"/>
    <col min="1539" max="1539" width="9.5703125" style="325" customWidth="1"/>
    <col min="1540" max="1540" width="8.85546875" style="325" customWidth="1"/>
    <col min="1541" max="1541" width="11.140625" style="325" customWidth="1"/>
    <col min="1542" max="1542" width="10.140625" style="325" customWidth="1"/>
    <col min="1543" max="1543" width="13.7109375" style="325" customWidth="1"/>
    <col min="1544" max="1544" width="10.140625" style="325" customWidth="1"/>
    <col min="1545" max="1545" width="11" style="325" customWidth="1"/>
    <col min="1546" max="1546" width="11.7109375" style="325" customWidth="1"/>
    <col min="1547" max="1547" width="12.28515625" style="325" customWidth="1"/>
    <col min="1548" max="1548" width="9.7109375" style="325" customWidth="1"/>
    <col min="1549" max="1549" width="12.85546875" style="325" customWidth="1"/>
    <col min="1550" max="1550" width="9.28515625" style="325" customWidth="1"/>
    <col min="1551" max="1782" width="9.140625" style="325"/>
    <col min="1783" max="1783" width="6.7109375" style="325" customWidth="1"/>
    <col min="1784" max="1784" width="7.85546875" style="325" customWidth="1"/>
    <col min="1785" max="1785" width="12.140625" style="325" customWidth="1"/>
    <col min="1786" max="1786" width="10.28515625" style="325" customWidth="1"/>
    <col min="1787" max="1787" width="8.28515625" style="325" customWidth="1"/>
    <col min="1788" max="1788" width="8.7109375" style="325" customWidth="1"/>
    <col min="1789" max="1789" width="9.85546875" style="325" customWidth="1"/>
    <col min="1790" max="1790" width="8.85546875" style="325" customWidth="1"/>
    <col min="1791" max="1791" width="8.7109375" style="325" customWidth="1"/>
    <col min="1792" max="1792" width="9.28515625" style="325" customWidth="1"/>
    <col min="1793" max="1793" width="8.85546875" style="325" customWidth="1"/>
    <col min="1794" max="1794" width="8.7109375" style="325" customWidth="1"/>
    <col min="1795" max="1795" width="9.5703125" style="325" customWidth="1"/>
    <col min="1796" max="1796" width="8.85546875" style="325" customWidth="1"/>
    <col min="1797" max="1797" width="11.140625" style="325" customWidth="1"/>
    <col min="1798" max="1798" width="10.140625" style="325" customWidth="1"/>
    <col min="1799" max="1799" width="13.7109375" style="325" customWidth="1"/>
    <col min="1800" max="1800" width="10.140625" style="325" customWidth="1"/>
    <col min="1801" max="1801" width="11" style="325" customWidth="1"/>
    <col min="1802" max="1802" width="11.7109375" style="325" customWidth="1"/>
    <col min="1803" max="1803" width="12.28515625" style="325" customWidth="1"/>
    <col min="1804" max="1804" width="9.7109375" style="325" customWidth="1"/>
    <col min="1805" max="1805" width="12.85546875" style="325" customWidth="1"/>
    <col min="1806" max="1806" width="9.28515625" style="325" customWidth="1"/>
    <col min="1807" max="2038" width="9.140625" style="325"/>
    <col min="2039" max="2039" width="6.7109375" style="325" customWidth="1"/>
    <col min="2040" max="2040" width="7.85546875" style="325" customWidth="1"/>
    <col min="2041" max="2041" width="12.140625" style="325" customWidth="1"/>
    <col min="2042" max="2042" width="10.28515625" style="325" customWidth="1"/>
    <col min="2043" max="2043" width="8.28515625" style="325" customWidth="1"/>
    <col min="2044" max="2044" width="8.7109375" style="325" customWidth="1"/>
    <col min="2045" max="2045" width="9.85546875" style="325" customWidth="1"/>
    <col min="2046" max="2046" width="8.85546875" style="325" customWidth="1"/>
    <col min="2047" max="2047" width="8.7109375" style="325" customWidth="1"/>
    <col min="2048" max="2048" width="9.28515625" style="325" customWidth="1"/>
    <col min="2049" max="2049" width="8.85546875" style="325" customWidth="1"/>
    <col min="2050" max="2050" width="8.7109375" style="325" customWidth="1"/>
    <col min="2051" max="2051" width="9.5703125" style="325" customWidth="1"/>
    <col min="2052" max="2052" width="8.85546875" style="325" customWidth="1"/>
    <col min="2053" max="2053" width="11.140625" style="325" customWidth="1"/>
    <col min="2054" max="2054" width="10.140625" style="325" customWidth="1"/>
    <col min="2055" max="2055" width="13.7109375" style="325" customWidth="1"/>
    <col min="2056" max="2056" width="10.140625" style="325" customWidth="1"/>
    <col min="2057" max="2057" width="11" style="325" customWidth="1"/>
    <col min="2058" max="2058" width="11.7109375" style="325" customWidth="1"/>
    <col min="2059" max="2059" width="12.28515625" style="325" customWidth="1"/>
    <col min="2060" max="2060" width="9.7109375" style="325" customWidth="1"/>
    <col min="2061" max="2061" width="12.85546875" style="325" customWidth="1"/>
    <col min="2062" max="2062" width="9.28515625" style="325" customWidth="1"/>
    <col min="2063" max="2294" width="9.140625" style="325"/>
    <col min="2295" max="2295" width="6.7109375" style="325" customWidth="1"/>
    <col min="2296" max="2296" width="7.85546875" style="325" customWidth="1"/>
    <col min="2297" max="2297" width="12.140625" style="325" customWidth="1"/>
    <col min="2298" max="2298" width="10.28515625" style="325" customWidth="1"/>
    <col min="2299" max="2299" width="8.28515625" style="325" customWidth="1"/>
    <col min="2300" max="2300" width="8.7109375" style="325" customWidth="1"/>
    <col min="2301" max="2301" width="9.85546875" style="325" customWidth="1"/>
    <col min="2302" max="2302" width="8.85546875" style="325" customWidth="1"/>
    <col min="2303" max="2303" width="8.7109375" style="325" customWidth="1"/>
    <col min="2304" max="2304" width="9.28515625" style="325" customWidth="1"/>
    <col min="2305" max="2305" width="8.85546875" style="325" customWidth="1"/>
    <col min="2306" max="2306" width="8.7109375" style="325" customWidth="1"/>
    <col min="2307" max="2307" width="9.5703125" style="325" customWidth="1"/>
    <col min="2308" max="2308" width="8.85546875" style="325" customWidth="1"/>
    <col min="2309" max="2309" width="11.140625" style="325" customWidth="1"/>
    <col min="2310" max="2310" width="10.140625" style="325" customWidth="1"/>
    <col min="2311" max="2311" width="13.7109375" style="325" customWidth="1"/>
    <col min="2312" max="2312" width="10.140625" style="325" customWidth="1"/>
    <col min="2313" max="2313" width="11" style="325" customWidth="1"/>
    <col min="2314" max="2314" width="11.7109375" style="325" customWidth="1"/>
    <col min="2315" max="2315" width="12.28515625" style="325" customWidth="1"/>
    <col min="2316" max="2316" width="9.7109375" style="325" customWidth="1"/>
    <col min="2317" max="2317" width="12.85546875" style="325" customWidth="1"/>
    <col min="2318" max="2318" width="9.28515625" style="325" customWidth="1"/>
    <col min="2319" max="2550" width="9.140625" style="325"/>
    <col min="2551" max="2551" width="6.7109375" style="325" customWidth="1"/>
    <col min="2552" max="2552" width="7.85546875" style="325" customWidth="1"/>
    <col min="2553" max="2553" width="12.140625" style="325" customWidth="1"/>
    <col min="2554" max="2554" width="10.28515625" style="325" customWidth="1"/>
    <col min="2555" max="2555" width="8.28515625" style="325" customWidth="1"/>
    <col min="2556" max="2556" width="8.7109375" style="325" customWidth="1"/>
    <col min="2557" max="2557" width="9.85546875" style="325" customWidth="1"/>
    <col min="2558" max="2558" width="8.85546875" style="325" customWidth="1"/>
    <col min="2559" max="2559" width="8.7109375" style="325" customWidth="1"/>
    <col min="2560" max="2560" width="9.28515625" style="325" customWidth="1"/>
    <col min="2561" max="2561" width="8.85546875" style="325" customWidth="1"/>
    <col min="2562" max="2562" width="8.7109375" style="325" customWidth="1"/>
    <col min="2563" max="2563" width="9.5703125" style="325" customWidth="1"/>
    <col min="2564" max="2564" width="8.85546875" style="325" customWidth="1"/>
    <col min="2565" max="2565" width="11.140625" style="325" customWidth="1"/>
    <col min="2566" max="2566" width="10.140625" style="325" customWidth="1"/>
    <col min="2567" max="2567" width="13.7109375" style="325" customWidth="1"/>
    <col min="2568" max="2568" width="10.140625" style="325" customWidth="1"/>
    <col min="2569" max="2569" width="11" style="325" customWidth="1"/>
    <col min="2570" max="2570" width="11.7109375" style="325" customWidth="1"/>
    <col min="2571" max="2571" width="12.28515625" style="325" customWidth="1"/>
    <col min="2572" max="2572" width="9.7109375" style="325" customWidth="1"/>
    <col min="2573" max="2573" width="12.85546875" style="325" customWidth="1"/>
    <col min="2574" max="2574" width="9.28515625" style="325" customWidth="1"/>
    <col min="2575" max="2806" width="9.140625" style="325"/>
    <col min="2807" max="2807" width="6.7109375" style="325" customWidth="1"/>
    <col min="2808" max="2808" width="7.85546875" style="325" customWidth="1"/>
    <col min="2809" max="2809" width="12.140625" style="325" customWidth="1"/>
    <col min="2810" max="2810" width="10.28515625" style="325" customWidth="1"/>
    <col min="2811" max="2811" width="8.28515625" style="325" customWidth="1"/>
    <col min="2812" max="2812" width="8.7109375" style="325" customWidth="1"/>
    <col min="2813" max="2813" width="9.85546875" style="325" customWidth="1"/>
    <col min="2814" max="2814" width="8.85546875" style="325" customWidth="1"/>
    <col min="2815" max="2815" width="8.7109375" style="325" customWidth="1"/>
    <col min="2816" max="2816" width="9.28515625" style="325" customWidth="1"/>
    <col min="2817" max="2817" width="8.85546875" style="325" customWidth="1"/>
    <col min="2818" max="2818" width="8.7109375" style="325" customWidth="1"/>
    <col min="2819" max="2819" width="9.5703125" style="325" customWidth="1"/>
    <col min="2820" max="2820" width="8.85546875" style="325" customWidth="1"/>
    <col min="2821" max="2821" width="11.140625" style="325" customWidth="1"/>
    <col min="2822" max="2822" width="10.140625" style="325" customWidth="1"/>
    <col min="2823" max="2823" width="13.7109375" style="325" customWidth="1"/>
    <col min="2824" max="2824" width="10.140625" style="325" customWidth="1"/>
    <col min="2825" max="2825" width="11" style="325" customWidth="1"/>
    <col min="2826" max="2826" width="11.7109375" style="325" customWidth="1"/>
    <col min="2827" max="2827" width="12.28515625" style="325" customWidth="1"/>
    <col min="2828" max="2828" width="9.7109375" style="325" customWidth="1"/>
    <col min="2829" max="2829" width="12.85546875" style="325" customWidth="1"/>
    <col min="2830" max="2830" width="9.28515625" style="325" customWidth="1"/>
    <col min="2831" max="3062" width="9.140625" style="325"/>
    <col min="3063" max="3063" width="6.7109375" style="325" customWidth="1"/>
    <col min="3064" max="3064" width="7.85546875" style="325" customWidth="1"/>
    <col min="3065" max="3065" width="12.140625" style="325" customWidth="1"/>
    <col min="3066" max="3066" width="10.28515625" style="325" customWidth="1"/>
    <col min="3067" max="3067" width="8.28515625" style="325" customWidth="1"/>
    <col min="3068" max="3068" width="8.7109375" style="325" customWidth="1"/>
    <col min="3069" max="3069" width="9.85546875" style="325" customWidth="1"/>
    <col min="3070" max="3070" width="8.85546875" style="325" customWidth="1"/>
    <col min="3071" max="3071" width="8.7109375" style="325" customWidth="1"/>
    <col min="3072" max="3072" width="9.28515625" style="325" customWidth="1"/>
    <col min="3073" max="3073" width="8.85546875" style="325" customWidth="1"/>
    <col min="3074" max="3074" width="8.7109375" style="325" customWidth="1"/>
    <col min="3075" max="3075" width="9.5703125" style="325" customWidth="1"/>
    <col min="3076" max="3076" width="8.85546875" style="325" customWidth="1"/>
    <col min="3077" max="3077" width="11.140625" style="325" customWidth="1"/>
    <col min="3078" max="3078" width="10.140625" style="325" customWidth="1"/>
    <col min="3079" max="3079" width="13.7109375" style="325" customWidth="1"/>
    <col min="3080" max="3080" width="10.140625" style="325" customWidth="1"/>
    <col min="3081" max="3081" width="11" style="325" customWidth="1"/>
    <col min="3082" max="3082" width="11.7109375" style="325" customWidth="1"/>
    <col min="3083" max="3083" width="12.28515625" style="325" customWidth="1"/>
    <col min="3084" max="3084" width="9.7109375" style="325" customWidth="1"/>
    <col min="3085" max="3085" width="12.85546875" style="325" customWidth="1"/>
    <col min="3086" max="3086" width="9.28515625" style="325" customWidth="1"/>
    <col min="3087" max="3318" width="9.140625" style="325"/>
    <col min="3319" max="3319" width="6.7109375" style="325" customWidth="1"/>
    <col min="3320" max="3320" width="7.85546875" style="325" customWidth="1"/>
    <col min="3321" max="3321" width="12.140625" style="325" customWidth="1"/>
    <col min="3322" max="3322" width="10.28515625" style="325" customWidth="1"/>
    <col min="3323" max="3323" width="8.28515625" style="325" customWidth="1"/>
    <col min="3324" max="3324" width="8.7109375" style="325" customWidth="1"/>
    <col min="3325" max="3325" width="9.85546875" style="325" customWidth="1"/>
    <col min="3326" max="3326" width="8.85546875" style="325" customWidth="1"/>
    <col min="3327" max="3327" width="8.7109375" style="325" customWidth="1"/>
    <col min="3328" max="3328" width="9.28515625" style="325" customWidth="1"/>
    <col min="3329" max="3329" width="8.85546875" style="325" customWidth="1"/>
    <col min="3330" max="3330" width="8.7109375" style="325" customWidth="1"/>
    <col min="3331" max="3331" width="9.5703125" style="325" customWidth="1"/>
    <col min="3332" max="3332" width="8.85546875" style="325" customWidth="1"/>
    <col min="3333" max="3333" width="11.140625" style="325" customWidth="1"/>
    <col min="3334" max="3334" width="10.140625" style="325" customWidth="1"/>
    <col min="3335" max="3335" width="13.7109375" style="325" customWidth="1"/>
    <col min="3336" max="3336" width="10.140625" style="325" customWidth="1"/>
    <col min="3337" max="3337" width="11" style="325" customWidth="1"/>
    <col min="3338" max="3338" width="11.7109375" style="325" customWidth="1"/>
    <col min="3339" max="3339" width="12.28515625" style="325" customWidth="1"/>
    <col min="3340" max="3340" width="9.7109375" style="325" customWidth="1"/>
    <col min="3341" max="3341" width="12.85546875" style="325" customWidth="1"/>
    <col min="3342" max="3342" width="9.28515625" style="325" customWidth="1"/>
    <col min="3343" max="3574" width="9.140625" style="325"/>
    <col min="3575" max="3575" width="6.7109375" style="325" customWidth="1"/>
    <col min="3576" max="3576" width="7.85546875" style="325" customWidth="1"/>
    <col min="3577" max="3577" width="12.140625" style="325" customWidth="1"/>
    <col min="3578" max="3578" width="10.28515625" style="325" customWidth="1"/>
    <col min="3579" max="3579" width="8.28515625" style="325" customWidth="1"/>
    <col min="3580" max="3580" width="8.7109375" style="325" customWidth="1"/>
    <col min="3581" max="3581" width="9.85546875" style="325" customWidth="1"/>
    <col min="3582" max="3582" width="8.85546875" style="325" customWidth="1"/>
    <col min="3583" max="3583" width="8.7109375" style="325" customWidth="1"/>
    <col min="3584" max="3584" width="9.28515625" style="325" customWidth="1"/>
    <col min="3585" max="3585" width="8.85546875" style="325" customWidth="1"/>
    <col min="3586" max="3586" width="8.7109375" style="325" customWidth="1"/>
    <col min="3587" max="3587" width="9.5703125" style="325" customWidth="1"/>
    <col min="3588" max="3588" width="8.85546875" style="325" customWidth="1"/>
    <col min="3589" max="3589" width="11.140625" style="325" customWidth="1"/>
    <col min="3590" max="3590" width="10.140625" style="325" customWidth="1"/>
    <col min="3591" max="3591" width="13.7109375" style="325" customWidth="1"/>
    <col min="3592" max="3592" width="10.140625" style="325" customWidth="1"/>
    <col min="3593" max="3593" width="11" style="325" customWidth="1"/>
    <col min="3594" max="3594" width="11.7109375" style="325" customWidth="1"/>
    <col min="3595" max="3595" width="12.28515625" style="325" customWidth="1"/>
    <col min="3596" max="3596" width="9.7109375" style="325" customWidth="1"/>
    <col min="3597" max="3597" width="12.85546875" style="325" customWidth="1"/>
    <col min="3598" max="3598" width="9.28515625" style="325" customWidth="1"/>
    <col min="3599" max="3830" width="9.140625" style="325"/>
    <col min="3831" max="3831" width="6.7109375" style="325" customWidth="1"/>
    <col min="3832" max="3832" width="7.85546875" style="325" customWidth="1"/>
    <col min="3833" max="3833" width="12.140625" style="325" customWidth="1"/>
    <col min="3834" max="3834" width="10.28515625" style="325" customWidth="1"/>
    <col min="3835" max="3835" width="8.28515625" style="325" customWidth="1"/>
    <col min="3836" max="3836" width="8.7109375" style="325" customWidth="1"/>
    <col min="3837" max="3837" width="9.85546875" style="325" customWidth="1"/>
    <col min="3838" max="3838" width="8.85546875" style="325" customWidth="1"/>
    <col min="3839" max="3839" width="8.7109375" style="325" customWidth="1"/>
    <col min="3840" max="3840" width="9.28515625" style="325" customWidth="1"/>
    <col min="3841" max="3841" width="8.85546875" style="325" customWidth="1"/>
    <col min="3842" max="3842" width="8.7109375" style="325" customWidth="1"/>
    <col min="3843" max="3843" width="9.5703125" style="325" customWidth="1"/>
    <col min="3844" max="3844" width="8.85546875" style="325" customWidth="1"/>
    <col min="3845" max="3845" width="11.140625" style="325" customWidth="1"/>
    <col min="3846" max="3846" width="10.140625" style="325" customWidth="1"/>
    <col min="3847" max="3847" width="13.7109375" style="325" customWidth="1"/>
    <col min="3848" max="3848" width="10.140625" style="325" customWidth="1"/>
    <col min="3849" max="3849" width="11" style="325" customWidth="1"/>
    <col min="3850" max="3850" width="11.7109375" style="325" customWidth="1"/>
    <col min="3851" max="3851" width="12.28515625" style="325" customWidth="1"/>
    <col min="3852" max="3852" width="9.7109375" style="325" customWidth="1"/>
    <col min="3853" max="3853" width="12.85546875" style="325" customWidth="1"/>
    <col min="3854" max="3854" width="9.28515625" style="325" customWidth="1"/>
    <col min="3855" max="4086" width="9.140625" style="325"/>
    <col min="4087" max="4087" width="6.7109375" style="325" customWidth="1"/>
    <col min="4088" max="4088" width="7.85546875" style="325" customWidth="1"/>
    <col min="4089" max="4089" width="12.140625" style="325" customWidth="1"/>
    <col min="4090" max="4090" width="10.28515625" style="325" customWidth="1"/>
    <col min="4091" max="4091" width="8.28515625" style="325" customWidth="1"/>
    <col min="4092" max="4092" width="8.7109375" style="325" customWidth="1"/>
    <col min="4093" max="4093" width="9.85546875" style="325" customWidth="1"/>
    <col min="4094" max="4094" width="8.85546875" style="325" customWidth="1"/>
    <col min="4095" max="4095" width="8.7109375" style="325" customWidth="1"/>
    <col min="4096" max="4096" width="9.28515625" style="325" customWidth="1"/>
    <col min="4097" max="4097" width="8.85546875" style="325" customWidth="1"/>
    <col min="4098" max="4098" width="8.7109375" style="325" customWidth="1"/>
    <col min="4099" max="4099" width="9.5703125" style="325" customWidth="1"/>
    <col min="4100" max="4100" width="8.85546875" style="325" customWidth="1"/>
    <col min="4101" max="4101" width="11.140625" style="325" customWidth="1"/>
    <col min="4102" max="4102" width="10.140625" style="325" customWidth="1"/>
    <col min="4103" max="4103" width="13.7109375" style="325" customWidth="1"/>
    <col min="4104" max="4104" width="10.140625" style="325" customWidth="1"/>
    <col min="4105" max="4105" width="11" style="325" customWidth="1"/>
    <col min="4106" max="4106" width="11.7109375" style="325" customWidth="1"/>
    <col min="4107" max="4107" width="12.28515625" style="325" customWidth="1"/>
    <col min="4108" max="4108" width="9.7109375" style="325" customWidth="1"/>
    <col min="4109" max="4109" width="12.85546875" style="325" customWidth="1"/>
    <col min="4110" max="4110" width="9.28515625" style="325" customWidth="1"/>
    <col min="4111" max="4342" width="9.140625" style="325"/>
    <col min="4343" max="4343" width="6.7109375" style="325" customWidth="1"/>
    <col min="4344" max="4344" width="7.85546875" style="325" customWidth="1"/>
    <col min="4345" max="4345" width="12.140625" style="325" customWidth="1"/>
    <col min="4346" max="4346" width="10.28515625" style="325" customWidth="1"/>
    <col min="4347" max="4347" width="8.28515625" style="325" customWidth="1"/>
    <col min="4348" max="4348" width="8.7109375" style="325" customWidth="1"/>
    <col min="4349" max="4349" width="9.85546875" style="325" customWidth="1"/>
    <col min="4350" max="4350" width="8.85546875" style="325" customWidth="1"/>
    <col min="4351" max="4351" width="8.7109375" style="325" customWidth="1"/>
    <col min="4352" max="4352" width="9.28515625" style="325" customWidth="1"/>
    <col min="4353" max="4353" width="8.85546875" style="325" customWidth="1"/>
    <col min="4354" max="4354" width="8.7109375" style="325" customWidth="1"/>
    <col min="4355" max="4355" width="9.5703125" style="325" customWidth="1"/>
    <col min="4356" max="4356" width="8.85546875" style="325" customWidth="1"/>
    <col min="4357" max="4357" width="11.140625" style="325" customWidth="1"/>
    <col min="4358" max="4358" width="10.140625" style="325" customWidth="1"/>
    <col min="4359" max="4359" width="13.7109375" style="325" customWidth="1"/>
    <col min="4360" max="4360" width="10.140625" style="325" customWidth="1"/>
    <col min="4361" max="4361" width="11" style="325" customWidth="1"/>
    <col min="4362" max="4362" width="11.7109375" style="325" customWidth="1"/>
    <col min="4363" max="4363" width="12.28515625" style="325" customWidth="1"/>
    <col min="4364" max="4364" width="9.7109375" style="325" customWidth="1"/>
    <col min="4365" max="4365" width="12.85546875" style="325" customWidth="1"/>
    <col min="4366" max="4366" width="9.28515625" style="325" customWidth="1"/>
    <col min="4367" max="4598" width="9.140625" style="325"/>
    <col min="4599" max="4599" width="6.7109375" style="325" customWidth="1"/>
    <col min="4600" max="4600" width="7.85546875" style="325" customWidth="1"/>
    <col min="4601" max="4601" width="12.140625" style="325" customWidth="1"/>
    <col min="4602" max="4602" width="10.28515625" style="325" customWidth="1"/>
    <col min="4603" max="4603" width="8.28515625" style="325" customWidth="1"/>
    <col min="4604" max="4604" width="8.7109375" style="325" customWidth="1"/>
    <col min="4605" max="4605" width="9.85546875" style="325" customWidth="1"/>
    <col min="4606" max="4606" width="8.85546875" style="325" customWidth="1"/>
    <col min="4607" max="4607" width="8.7109375" style="325" customWidth="1"/>
    <col min="4608" max="4608" width="9.28515625" style="325" customWidth="1"/>
    <col min="4609" max="4609" width="8.85546875" style="325" customWidth="1"/>
    <col min="4610" max="4610" width="8.7109375" style="325" customWidth="1"/>
    <col min="4611" max="4611" width="9.5703125" style="325" customWidth="1"/>
    <col min="4612" max="4612" width="8.85546875" style="325" customWidth="1"/>
    <col min="4613" max="4613" width="11.140625" style="325" customWidth="1"/>
    <col min="4614" max="4614" width="10.140625" style="325" customWidth="1"/>
    <col min="4615" max="4615" width="13.7109375" style="325" customWidth="1"/>
    <col min="4616" max="4616" width="10.140625" style="325" customWidth="1"/>
    <col min="4617" max="4617" width="11" style="325" customWidth="1"/>
    <col min="4618" max="4618" width="11.7109375" style="325" customWidth="1"/>
    <col min="4619" max="4619" width="12.28515625" style="325" customWidth="1"/>
    <col min="4620" max="4620" width="9.7109375" style="325" customWidth="1"/>
    <col min="4621" max="4621" width="12.85546875" style="325" customWidth="1"/>
    <col min="4622" max="4622" width="9.28515625" style="325" customWidth="1"/>
    <col min="4623" max="4854" width="9.140625" style="325"/>
    <col min="4855" max="4855" width="6.7109375" style="325" customWidth="1"/>
    <col min="4856" max="4856" width="7.85546875" style="325" customWidth="1"/>
    <col min="4857" max="4857" width="12.140625" style="325" customWidth="1"/>
    <col min="4858" max="4858" width="10.28515625" style="325" customWidth="1"/>
    <col min="4859" max="4859" width="8.28515625" style="325" customWidth="1"/>
    <col min="4860" max="4860" width="8.7109375" style="325" customWidth="1"/>
    <col min="4861" max="4861" width="9.85546875" style="325" customWidth="1"/>
    <col min="4862" max="4862" width="8.85546875" style="325" customWidth="1"/>
    <col min="4863" max="4863" width="8.7109375" style="325" customWidth="1"/>
    <col min="4864" max="4864" width="9.28515625" style="325" customWidth="1"/>
    <col min="4865" max="4865" width="8.85546875" style="325" customWidth="1"/>
    <col min="4866" max="4866" width="8.7109375" style="325" customWidth="1"/>
    <col min="4867" max="4867" width="9.5703125" style="325" customWidth="1"/>
    <col min="4868" max="4868" width="8.85546875" style="325" customWidth="1"/>
    <col min="4869" max="4869" width="11.140625" style="325" customWidth="1"/>
    <col min="4870" max="4870" width="10.140625" style="325" customWidth="1"/>
    <col min="4871" max="4871" width="13.7109375" style="325" customWidth="1"/>
    <col min="4872" max="4872" width="10.140625" style="325" customWidth="1"/>
    <col min="4873" max="4873" width="11" style="325" customWidth="1"/>
    <col min="4874" max="4874" width="11.7109375" style="325" customWidth="1"/>
    <col min="4875" max="4875" width="12.28515625" style="325" customWidth="1"/>
    <col min="4876" max="4876" width="9.7109375" style="325" customWidth="1"/>
    <col min="4877" max="4877" width="12.85546875" style="325" customWidth="1"/>
    <col min="4878" max="4878" width="9.28515625" style="325" customWidth="1"/>
    <col min="4879" max="5110" width="9.140625" style="325"/>
    <col min="5111" max="5111" width="6.7109375" style="325" customWidth="1"/>
    <col min="5112" max="5112" width="7.85546875" style="325" customWidth="1"/>
    <col min="5113" max="5113" width="12.140625" style="325" customWidth="1"/>
    <col min="5114" max="5114" width="10.28515625" style="325" customWidth="1"/>
    <col min="5115" max="5115" width="8.28515625" style="325" customWidth="1"/>
    <col min="5116" max="5116" width="8.7109375" style="325" customWidth="1"/>
    <col min="5117" max="5117" width="9.85546875" style="325" customWidth="1"/>
    <col min="5118" max="5118" width="8.85546875" style="325" customWidth="1"/>
    <col min="5119" max="5119" width="8.7109375" style="325" customWidth="1"/>
    <col min="5120" max="5120" width="9.28515625" style="325" customWidth="1"/>
    <col min="5121" max="5121" width="8.85546875" style="325" customWidth="1"/>
    <col min="5122" max="5122" width="8.7109375" style="325" customWidth="1"/>
    <col min="5123" max="5123" width="9.5703125" style="325" customWidth="1"/>
    <col min="5124" max="5124" width="8.85546875" style="325" customWidth="1"/>
    <col min="5125" max="5125" width="11.140625" style="325" customWidth="1"/>
    <col min="5126" max="5126" width="10.140625" style="325" customWidth="1"/>
    <col min="5127" max="5127" width="13.7109375" style="325" customWidth="1"/>
    <col min="5128" max="5128" width="10.140625" style="325" customWidth="1"/>
    <col min="5129" max="5129" width="11" style="325" customWidth="1"/>
    <col min="5130" max="5130" width="11.7109375" style="325" customWidth="1"/>
    <col min="5131" max="5131" width="12.28515625" style="325" customWidth="1"/>
    <col min="5132" max="5132" width="9.7109375" style="325" customWidth="1"/>
    <col min="5133" max="5133" width="12.85546875" style="325" customWidth="1"/>
    <col min="5134" max="5134" width="9.28515625" style="325" customWidth="1"/>
    <col min="5135" max="5366" width="9.140625" style="325"/>
    <col min="5367" max="5367" width="6.7109375" style="325" customWidth="1"/>
    <col min="5368" max="5368" width="7.85546875" style="325" customWidth="1"/>
    <col min="5369" max="5369" width="12.140625" style="325" customWidth="1"/>
    <col min="5370" max="5370" width="10.28515625" style="325" customWidth="1"/>
    <col min="5371" max="5371" width="8.28515625" style="325" customWidth="1"/>
    <col min="5372" max="5372" width="8.7109375" style="325" customWidth="1"/>
    <col min="5373" max="5373" width="9.85546875" style="325" customWidth="1"/>
    <col min="5374" max="5374" width="8.85546875" style="325" customWidth="1"/>
    <col min="5375" max="5375" width="8.7109375" style="325" customWidth="1"/>
    <col min="5376" max="5376" width="9.28515625" style="325" customWidth="1"/>
    <col min="5377" max="5377" width="8.85546875" style="325" customWidth="1"/>
    <col min="5378" max="5378" width="8.7109375" style="325" customWidth="1"/>
    <col min="5379" max="5379" width="9.5703125" style="325" customWidth="1"/>
    <col min="5380" max="5380" width="8.85546875" style="325" customWidth="1"/>
    <col min="5381" max="5381" width="11.140625" style="325" customWidth="1"/>
    <col min="5382" max="5382" width="10.140625" style="325" customWidth="1"/>
    <col min="5383" max="5383" width="13.7109375" style="325" customWidth="1"/>
    <col min="5384" max="5384" width="10.140625" style="325" customWidth="1"/>
    <col min="5385" max="5385" width="11" style="325" customWidth="1"/>
    <col min="5386" max="5386" width="11.7109375" style="325" customWidth="1"/>
    <col min="5387" max="5387" width="12.28515625" style="325" customWidth="1"/>
    <col min="5388" max="5388" width="9.7109375" style="325" customWidth="1"/>
    <col min="5389" max="5389" width="12.85546875" style="325" customWidth="1"/>
    <col min="5390" max="5390" width="9.28515625" style="325" customWidth="1"/>
    <col min="5391" max="5622" width="9.140625" style="325"/>
    <col min="5623" max="5623" width="6.7109375" style="325" customWidth="1"/>
    <col min="5624" max="5624" width="7.85546875" style="325" customWidth="1"/>
    <col min="5625" max="5625" width="12.140625" style="325" customWidth="1"/>
    <col min="5626" max="5626" width="10.28515625" style="325" customWidth="1"/>
    <col min="5627" max="5627" width="8.28515625" style="325" customWidth="1"/>
    <col min="5628" max="5628" width="8.7109375" style="325" customWidth="1"/>
    <col min="5629" max="5629" width="9.85546875" style="325" customWidth="1"/>
    <col min="5630" max="5630" width="8.85546875" style="325" customWidth="1"/>
    <col min="5631" max="5631" width="8.7109375" style="325" customWidth="1"/>
    <col min="5632" max="5632" width="9.28515625" style="325" customWidth="1"/>
    <col min="5633" max="5633" width="8.85546875" style="325" customWidth="1"/>
    <col min="5634" max="5634" width="8.7109375" style="325" customWidth="1"/>
    <col min="5635" max="5635" width="9.5703125" style="325" customWidth="1"/>
    <col min="5636" max="5636" width="8.85546875" style="325" customWidth="1"/>
    <col min="5637" max="5637" width="11.140625" style="325" customWidth="1"/>
    <col min="5638" max="5638" width="10.140625" style="325" customWidth="1"/>
    <col min="5639" max="5639" width="13.7109375" style="325" customWidth="1"/>
    <col min="5640" max="5640" width="10.140625" style="325" customWidth="1"/>
    <col min="5641" max="5641" width="11" style="325" customWidth="1"/>
    <col min="5642" max="5642" width="11.7109375" style="325" customWidth="1"/>
    <col min="5643" max="5643" width="12.28515625" style="325" customWidth="1"/>
    <col min="5644" max="5644" width="9.7109375" style="325" customWidth="1"/>
    <col min="5645" max="5645" width="12.85546875" style="325" customWidth="1"/>
    <col min="5646" max="5646" width="9.28515625" style="325" customWidth="1"/>
    <col min="5647" max="5878" width="9.140625" style="325"/>
    <col min="5879" max="5879" width="6.7109375" style="325" customWidth="1"/>
    <col min="5880" max="5880" width="7.85546875" style="325" customWidth="1"/>
    <col min="5881" max="5881" width="12.140625" style="325" customWidth="1"/>
    <col min="5882" max="5882" width="10.28515625" style="325" customWidth="1"/>
    <col min="5883" max="5883" width="8.28515625" style="325" customWidth="1"/>
    <col min="5884" max="5884" width="8.7109375" style="325" customWidth="1"/>
    <col min="5885" max="5885" width="9.85546875" style="325" customWidth="1"/>
    <col min="5886" max="5886" width="8.85546875" style="325" customWidth="1"/>
    <col min="5887" max="5887" width="8.7109375" style="325" customWidth="1"/>
    <col min="5888" max="5888" width="9.28515625" style="325" customWidth="1"/>
    <col min="5889" max="5889" width="8.85546875" style="325" customWidth="1"/>
    <col min="5890" max="5890" width="8.7109375" style="325" customWidth="1"/>
    <col min="5891" max="5891" width="9.5703125" style="325" customWidth="1"/>
    <col min="5892" max="5892" width="8.85546875" style="325" customWidth="1"/>
    <col min="5893" max="5893" width="11.140625" style="325" customWidth="1"/>
    <col min="5894" max="5894" width="10.140625" style="325" customWidth="1"/>
    <col min="5895" max="5895" width="13.7109375" style="325" customWidth="1"/>
    <col min="5896" max="5896" width="10.140625" style="325" customWidth="1"/>
    <col min="5897" max="5897" width="11" style="325" customWidth="1"/>
    <col min="5898" max="5898" width="11.7109375" style="325" customWidth="1"/>
    <col min="5899" max="5899" width="12.28515625" style="325" customWidth="1"/>
    <col min="5900" max="5900" width="9.7109375" style="325" customWidth="1"/>
    <col min="5901" max="5901" width="12.85546875" style="325" customWidth="1"/>
    <col min="5902" max="5902" width="9.28515625" style="325" customWidth="1"/>
    <col min="5903" max="6134" width="9.140625" style="325"/>
    <col min="6135" max="6135" width="6.7109375" style="325" customWidth="1"/>
    <col min="6136" max="6136" width="7.85546875" style="325" customWidth="1"/>
    <col min="6137" max="6137" width="12.140625" style="325" customWidth="1"/>
    <col min="6138" max="6138" width="10.28515625" style="325" customWidth="1"/>
    <col min="6139" max="6139" width="8.28515625" style="325" customWidth="1"/>
    <col min="6140" max="6140" width="8.7109375" style="325" customWidth="1"/>
    <col min="6141" max="6141" width="9.85546875" style="325" customWidth="1"/>
    <col min="6142" max="6142" width="8.85546875" style="325" customWidth="1"/>
    <col min="6143" max="6143" width="8.7109375" style="325" customWidth="1"/>
    <col min="6144" max="6144" width="9.28515625" style="325" customWidth="1"/>
    <col min="6145" max="6145" width="8.85546875" style="325" customWidth="1"/>
    <col min="6146" max="6146" width="8.7109375" style="325" customWidth="1"/>
    <col min="6147" max="6147" width="9.5703125" style="325" customWidth="1"/>
    <col min="6148" max="6148" width="8.85546875" style="325" customWidth="1"/>
    <col min="6149" max="6149" width="11.140625" style="325" customWidth="1"/>
    <col min="6150" max="6150" width="10.140625" style="325" customWidth="1"/>
    <col min="6151" max="6151" width="13.7109375" style="325" customWidth="1"/>
    <col min="6152" max="6152" width="10.140625" style="325" customWidth="1"/>
    <col min="6153" max="6153" width="11" style="325" customWidth="1"/>
    <col min="6154" max="6154" width="11.7109375" style="325" customWidth="1"/>
    <col min="6155" max="6155" width="12.28515625" style="325" customWidth="1"/>
    <col min="6156" max="6156" width="9.7109375" style="325" customWidth="1"/>
    <col min="6157" max="6157" width="12.85546875" style="325" customWidth="1"/>
    <col min="6158" max="6158" width="9.28515625" style="325" customWidth="1"/>
    <col min="6159" max="6390" width="9.140625" style="325"/>
    <col min="6391" max="6391" width="6.7109375" style="325" customWidth="1"/>
    <col min="6392" max="6392" width="7.85546875" style="325" customWidth="1"/>
    <col min="6393" max="6393" width="12.140625" style="325" customWidth="1"/>
    <col min="6394" max="6394" width="10.28515625" style="325" customWidth="1"/>
    <col min="6395" max="6395" width="8.28515625" style="325" customWidth="1"/>
    <col min="6396" max="6396" width="8.7109375" style="325" customWidth="1"/>
    <col min="6397" max="6397" width="9.85546875" style="325" customWidth="1"/>
    <col min="6398" max="6398" width="8.85546875" style="325" customWidth="1"/>
    <col min="6399" max="6399" width="8.7109375" style="325" customWidth="1"/>
    <col min="6400" max="6400" width="9.28515625" style="325" customWidth="1"/>
    <col min="6401" max="6401" width="8.85546875" style="325" customWidth="1"/>
    <col min="6402" max="6402" width="8.7109375" style="325" customWidth="1"/>
    <col min="6403" max="6403" width="9.5703125" style="325" customWidth="1"/>
    <col min="6404" max="6404" width="8.85546875" style="325" customWidth="1"/>
    <col min="6405" max="6405" width="11.140625" style="325" customWidth="1"/>
    <col min="6406" max="6406" width="10.140625" style="325" customWidth="1"/>
    <col min="6407" max="6407" width="13.7109375" style="325" customWidth="1"/>
    <col min="6408" max="6408" width="10.140625" style="325" customWidth="1"/>
    <col min="6409" max="6409" width="11" style="325" customWidth="1"/>
    <col min="6410" max="6410" width="11.7109375" style="325" customWidth="1"/>
    <col min="6411" max="6411" width="12.28515625" style="325" customWidth="1"/>
    <col min="6412" max="6412" width="9.7109375" style="325" customWidth="1"/>
    <col min="6413" max="6413" width="12.85546875" style="325" customWidth="1"/>
    <col min="6414" max="6414" width="9.28515625" style="325" customWidth="1"/>
    <col min="6415" max="6646" width="9.140625" style="325"/>
    <col min="6647" max="6647" width="6.7109375" style="325" customWidth="1"/>
    <col min="6648" max="6648" width="7.85546875" style="325" customWidth="1"/>
    <col min="6649" max="6649" width="12.140625" style="325" customWidth="1"/>
    <col min="6650" max="6650" width="10.28515625" style="325" customWidth="1"/>
    <col min="6651" max="6651" width="8.28515625" style="325" customWidth="1"/>
    <col min="6652" max="6652" width="8.7109375" style="325" customWidth="1"/>
    <col min="6653" max="6653" width="9.85546875" style="325" customWidth="1"/>
    <col min="6654" max="6654" width="8.85546875" style="325" customWidth="1"/>
    <col min="6655" max="6655" width="8.7109375" style="325" customWidth="1"/>
    <col min="6656" max="6656" width="9.28515625" style="325" customWidth="1"/>
    <col min="6657" max="6657" width="8.85546875" style="325" customWidth="1"/>
    <col min="6658" max="6658" width="8.7109375" style="325" customWidth="1"/>
    <col min="6659" max="6659" width="9.5703125" style="325" customWidth="1"/>
    <col min="6660" max="6660" width="8.85546875" style="325" customWidth="1"/>
    <col min="6661" max="6661" width="11.140625" style="325" customWidth="1"/>
    <col min="6662" max="6662" width="10.140625" style="325" customWidth="1"/>
    <col min="6663" max="6663" width="13.7109375" style="325" customWidth="1"/>
    <col min="6664" max="6664" width="10.140625" style="325" customWidth="1"/>
    <col min="6665" max="6665" width="11" style="325" customWidth="1"/>
    <col min="6666" max="6666" width="11.7109375" style="325" customWidth="1"/>
    <col min="6667" max="6667" width="12.28515625" style="325" customWidth="1"/>
    <col min="6668" max="6668" width="9.7109375" style="325" customWidth="1"/>
    <col min="6669" max="6669" width="12.85546875" style="325" customWidth="1"/>
    <col min="6670" max="6670" width="9.28515625" style="325" customWidth="1"/>
    <col min="6671" max="6902" width="9.140625" style="325"/>
    <col min="6903" max="6903" width="6.7109375" style="325" customWidth="1"/>
    <col min="6904" max="6904" width="7.85546875" style="325" customWidth="1"/>
    <col min="6905" max="6905" width="12.140625" style="325" customWidth="1"/>
    <col min="6906" max="6906" width="10.28515625" style="325" customWidth="1"/>
    <col min="6907" max="6907" width="8.28515625" style="325" customWidth="1"/>
    <col min="6908" max="6908" width="8.7109375" style="325" customWidth="1"/>
    <col min="6909" max="6909" width="9.85546875" style="325" customWidth="1"/>
    <col min="6910" max="6910" width="8.85546875" style="325" customWidth="1"/>
    <col min="6911" max="6911" width="8.7109375" style="325" customWidth="1"/>
    <col min="6912" max="6912" width="9.28515625" style="325" customWidth="1"/>
    <col min="6913" max="6913" width="8.85546875" style="325" customWidth="1"/>
    <col min="6914" max="6914" width="8.7109375" style="325" customWidth="1"/>
    <col min="6915" max="6915" width="9.5703125" style="325" customWidth="1"/>
    <col min="6916" max="6916" width="8.85546875" style="325" customWidth="1"/>
    <col min="6917" max="6917" width="11.140625" style="325" customWidth="1"/>
    <col min="6918" max="6918" width="10.140625" style="325" customWidth="1"/>
    <col min="6919" max="6919" width="13.7109375" style="325" customWidth="1"/>
    <col min="6920" max="6920" width="10.140625" style="325" customWidth="1"/>
    <col min="6921" max="6921" width="11" style="325" customWidth="1"/>
    <col min="6922" max="6922" width="11.7109375" style="325" customWidth="1"/>
    <col min="6923" max="6923" width="12.28515625" style="325" customWidth="1"/>
    <col min="6924" max="6924" width="9.7109375" style="325" customWidth="1"/>
    <col min="6925" max="6925" width="12.85546875" style="325" customWidth="1"/>
    <col min="6926" max="6926" width="9.28515625" style="325" customWidth="1"/>
    <col min="6927" max="7158" width="9.140625" style="325"/>
    <col min="7159" max="7159" width="6.7109375" style="325" customWidth="1"/>
    <col min="7160" max="7160" width="7.85546875" style="325" customWidth="1"/>
    <col min="7161" max="7161" width="12.140625" style="325" customWidth="1"/>
    <col min="7162" max="7162" width="10.28515625" style="325" customWidth="1"/>
    <col min="7163" max="7163" width="8.28515625" style="325" customWidth="1"/>
    <col min="7164" max="7164" width="8.7109375" style="325" customWidth="1"/>
    <col min="7165" max="7165" width="9.85546875" style="325" customWidth="1"/>
    <col min="7166" max="7166" width="8.85546875" style="325" customWidth="1"/>
    <col min="7167" max="7167" width="8.7109375" style="325" customWidth="1"/>
    <col min="7168" max="7168" width="9.28515625" style="325" customWidth="1"/>
    <col min="7169" max="7169" width="8.85546875" style="325" customWidth="1"/>
    <col min="7170" max="7170" width="8.7109375" style="325" customWidth="1"/>
    <col min="7171" max="7171" width="9.5703125" style="325" customWidth="1"/>
    <col min="7172" max="7172" width="8.85546875" style="325" customWidth="1"/>
    <col min="7173" max="7173" width="11.140625" style="325" customWidth="1"/>
    <col min="7174" max="7174" width="10.140625" style="325" customWidth="1"/>
    <col min="7175" max="7175" width="13.7109375" style="325" customWidth="1"/>
    <col min="7176" max="7176" width="10.140625" style="325" customWidth="1"/>
    <col min="7177" max="7177" width="11" style="325" customWidth="1"/>
    <col min="7178" max="7178" width="11.7109375" style="325" customWidth="1"/>
    <col min="7179" max="7179" width="12.28515625" style="325" customWidth="1"/>
    <col min="7180" max="7180" width="9.7109375" style="325" customWidth="1"/>
    <col min="7181" max="7181" width="12.85546875" style="325" customWidth="1"/>
    <col min="7182" max="7182" width="9.28515625" style="325" customWidth="1"/>
    <col min="7183" max="7414" width="9.140625" style="325"/>
    <col min="7415" max="7415" width="6.7109375" style="325" customWidth="1"/>
    <col min="7416" max="7416" width="7.85546875" style="325" customWidth="1"/>
    <col min="7417" max="7417" width="12.140625" style="325" customWidth="1"/>
    <col min="7418" max="7418" width="10.28515625" style="325" customWidth="1"/>
    <col min="7419" max="7419" width="8.28515625" style="325" customWidth="1"/>
    <col min="7420" max="7420" width="8.7109375" style="325" customWidth="1"/>
    <col min="7421" max="7421" width="9.85546875" style="325" customWidth="1"/>
    <col min="7422" max="7422" width="8.85546875" style="325" customWidth="1"/>
    <col min="7423" max="7423" width="8.7109375" style="325" customWidth="1"/>
    <col min="7424" max="7424" width="9.28515625" style="325" customWidth="1"/>
    <col min="7425" max="7425" width="8.85546875" style="325" customWidth="1"/>
    <col min="7426" max="7426" width="8.7109375" style="325" customWidth="1"/>
    <col min="7427" max="7427" width="9.5703125" style="325" customWidth="1"/>
    <col min="7428" max="7428" width="8.85546875" style="325" customWidth="1"/>
    <col min="7429" max="7429" width="11.140625" style="325" customWidth="1"/>
    <col min="7430" max="7430" width="10.140625" style="325" customWidth="1"/>
    <col min="7431" max="7431" width="13.7109375" style="325" customWidth="1"/>
    <col min="7432" max="7432" width="10.140625" style="325" customWidth="1"/>
    <col min="7433" max="7433" width="11" style="325" customWidth="1"/>
    <col min="7434" max="7434" width="11.7109375" style="325" customWidth="1"/>
    <col min="7435" max="7435" width="12.28515625" style="325" customWidth="1"/>
    <col min="7436" max="7436" width="9.7109375" style="325" customWidth="1"/>
    <col min="7437" max="7437" width="12.85546875" style="325" customWidth="1"/>
    <col min="7438" max="7438" width="9.28515625" style="325" customWidth="1"/>
    <col min="7439" max="7670" width="9.140625" style="325"/>
    <col min="7671" max="7671" width="6.7109375" style="325" customWidth="1"/>
    <col min="7672" max="7672" width="7.85546875" style="325" customWidth="1"/>
    <col min="7673" max="7673" width="12.140625" style="325" customWidth="1"/>
    <col min="7674" max="7674" width="10.28515625" style="325" customWidth="1"/>
    <col min="7675" max="7675" width="8.28515625" style="325" customWidth="1"/>
    <col min="7676" max="7676" width="8.7109375" style="325" customWidth="1"/>
    <col min="7677" max="7677" width="9.85546875" style="325" customWidth="1"/>
    <col min="7678" max="7678" width="8.85546875" style="325" customWidth="1"/>
    <col min="7679" max="7679" width="8.7109375" style="325" customWidth="1"/>
    <col min="7680" max="7680" width="9.28515625" style="325" customWidth="1"/>
    <col min="7681" max="7681" width="8.85546875" style="325" customWidth="1"/>
    <col min="7682" max="7682" width="8.7109375" style="325" customWidth="1"/>
    <col min="7683" max="7683" width="9.5703125" style="325" customWidth="1"/>
    <col min="7684" max="7684" width="8.85546875" style="325" customWidth="1"/>
    <col min="7685" max="7685" width="11.140625" style="325" customWidth="1"/>
    <col min="7686" max="7686" width="10.140625" style="325" customWidth="1"/>
    <col min="7687" max="7687" width="13.7109375" style="325" customWidth="1"/>
    <col min="7688" max="7688" width="10.140625" style="325" customWidth="1"/>
    <col min="7689" max="7689" width="11" style="325" customWidth="1"/>
    <col min="7690" max="7690" width="11.7109375" style="325" customWidth="1"/>
    <col min="7691" max="7691" width="12.28515625" style="325" customWidth="1"/>
    <col min="7692" max="7692" width="9.7109375" style="325" customWidth="1"/>
    <col min="7693" max="7693" width="12.85546875" style="325" customWidth="1"/>
    <col min="7694" max="7694" width="9.28515625" style="325" customWidth="1"/>
    <col min="7695" max="7926" width="9.140625" style="325"/>
    <col min="7927" max="7927" width="6.7109375" style="325" customWidth="1"/>
    <col min="7928" max="7928" width="7.85546875" style="325" customWidth="1"/>
    <col min="7929" max="7929" width="12.140625" style="325" customWidth="1"/>
    <col min="7930" max="7930" width="10.28515625" style="325" customWidth="1"/>
    <col min="7931" max="7931" width="8.28515625" style="325" customWidth="1"/>
    <col min="7932" max="7932" width="8.7109375" style="325" customWidth="1"/>
    <col min="7933" max="7933" width="9.85546875" style="325" customWidth="1"/>
    <col min="7934" max="7934" width="8.85546875" style="325" customWidth="1"/>
    <col min="7935" max="7935" width="8.7109375" style="325" customWidth="1"/>
    <col min="7936" max="7936" width="9.28515625" style="325" customWidth="1"/>
    <col min="7937" max="7937" width="8.85546875" style="325" customWidth="1"/>
    <col min="7938" max="7938" width="8.7109375" style="325" customWidth="1"/>
    <col min="7939" max="7939" width="9.5703125" style="325" customWidth="1"/>
    <col min="7940" max="7940" width="8.85546875" style="325" customWidth="1"/>
    <col min="7941" max="7941" width="11.140625" style="325" customWidth="1"/>
    <col min="7942" max="7942" width="10.140625" style="325" customWidth="1"/>
    <col min="7943" max="7943" width="13.7109375" style="325" customWidth="1"/>
    <col min="7944" max="7944" width="10.140625" style="325" customWidth="1"/>
    <col min="7945" max="7945" width="11" style="325" customWidth="1"/>
    <col min="7946" max="7946" width="11.7109375" style="325" customWidth="1"/>
    <col min="7947" max="7947" width="12.28515625" style="325" customWidth="1"/>
    <col min="7948" max="7948" width="9.7109375" style="325" customWidth="1"/>
    <col min="7949" max="7949" width="12.85546875" style="325" customWidth="1"/>
    <col min="7950" max="7950" width="9.28515625" style="325" customWidth="1"/>
    <col min="7951" max="8182" width="9.140625" style="325"/>
    <col min="8183" max="8183" width="6.7109375" style="325" customWidth="1"/>
    <col min="8184" max="8184" width="7.85546875" style="325" customWidth="1"/>
    <col min="8185" max="8185" width="12.140625" style="325" customWidth="1"/>
    <col min="8186" max="8186" width="10.28515625" style="325" customWidth="1"/>
    <col min="8187" max="8187" width="8.28515625" style="325" customWidth="1"/>
    <col min="8188" max="8188" width="8.7109375" style="325" customWidth="1"/>
    <col min="8189" max="8189" width="9.85546875" style="325" customWidth="1"/>
    <col min="8190" max="8190" width="8.85546875" style="325" customWidth="1"/>
    <col min="8191" max="8191" width="8.7109375" style="325" customWidth="1"/>
    <col min="8192" max="8192" width="9.28515625" style="325" customWidth="1"/>
    <col min="8193" max="8193" width="8.85546875" style="325" customWidth="1"/>
    <col min="8194" max="8194" width="8.7109375" style="325" customWidth="1"/>
    <col min="8195" max="8195" width="9.5703125" style="325" customWidth="1"/>
    <col min="8196" max="8196" width="8.85546875" style="325" customWidth="1"/>
    <col min="8197" max="8197" width="11.140625" style="325" customWidth="1"/>
    <col min="8198" max="8198" width="10.140625" style="325" customWidth="1"/>
    <col min="8199" max="8199" width="13.7109375" style="325" customWidth="1"/>
    <col min="8200" max="8200" width="10.140625" style="325" customWidth="1"/>
    <col min="8201" max="8201" width="11" style="325" customWidth="1"/>
    <col min="8202" max="8202" width="11.7109375" style="325" customWidth="1"/>
    <col min="8203" max="8203" width="12.28515625" style="325" customWidth="1"/>
    <col min="8204" max="8204" width="9.7109375" style="325" customWidth="1"/>
    <col min="8205" max="8205" width="12.85546875" style="325" customWidth="1"/>
    <col min="8206" max="8206" width="9.28515625" style="325" customWidth="1"/>
    <col min="8207" max="8438" width="9.140625" style="325"/>
    <col min="8439" max="8439" width="6.7109375" style="325" customWidth="1"/>
    <col min="8440" max="8440" width="7.85546875" style="325" customWidth="1"/>
    <col min="8441" max="8441" width="12.140625" style="325" customWidth="1"/>
    <col min="8442" max="8442" width="10.28515625" style="325" customWidth="1"/>
    <col min="8443" max="8443" width="8.28515625" style="325" customWidth="1"/>
    <col min="8444" max="8444" width="8.7109375" style="325" customWidth="1"/>
    <col min="8445" max="8445" width="9.85546875" style="325" customWidth="1"/>
    <col min="8446" max="8446" width="8.85546875" style="325" customWidth="1"/>
    <col min="8447" max="8447" width="8.7109375" style="325" customWidth="1"/>
    <col min="8448" max="8448" width="9.28515625" style="325" customWidth="1"/>
    <col min="8449" max="8449" width="8.85546875" style="325" customWidth="1"/>
    <col min="8450" max="8450" width="8.7109375" style="325" customWidth="1"/>
    <col min="8451" max="8451" width="9.5703125" style="325" customWidth="1"/>
    <col min="8452" max="8452" width="8.85546875" style="325" customWidth="1"/>
    <col min="8453" max="8453" width="11.140625" style="325" customWidth="1"/>
    <col min="8454" max="8454" width="10.140625" style="325" customWidth="1"/>
    <col min="8455" max="8455" width="13.7109375" style="325" customWidth="1"/>
    <col min="8456" max="8456" width="10.140625" style="325" customWidth="1"/>
    <col min="8457" max="8457" width="11" style="325" customWidth="1"/>
    <col min="8458" max="8458" width="11.7109375" style="325" customWidth="1"/>
    <col min="8459" max="8459" width="12.28515625" style="325" customWidth="1"/>
    <col min="8460" max="8460" width="9.7109375" style="325" customWidth="1"/>
    <col min="8461" max="8461" width="12.85546875" style="325" customWidth="1"/>
    <col min="8462" max="8462" width="9.28515625" style="325" customWidth="1"/>
    <col min="8463" max="8694" width="9.140625" style="325"/>
    <col min="8695" max="8695" width="6.7109375" style="325" customWidth="1"/>
    <col min="8696" max="8696" width="7.85546875" style="325" customWidth="1"/>
    <col min="8697" max="8697" width="12.140625" style="325" customWidth="1"/>
    <col min="8698" max="8698" width="10.28515625" style="325" customWidth="1"/>
    <col min="8699" max="8699" width="8.28515625" style="325" customWidth="1"/>
    <col min="8700" max="8700" width="8.7109375" style="325" customWidth="1"/>
    <col min="8701" max="8701" width="9.85546875" style="325" customWidth="1"/>
    <col min="8702" max="8702" width="8.85546875" style="325" customWidth="1"/>
    <col min="8703" max="8703" width="8.7109375" style="325" customWidth="1"/>
    <col min="8704" max="8704" width="9.28515625" style="325" customWidth="1"/>
    <col min="8705" max="8705" width="8.85546875" style="325" customWidth="1"/>
    <col min="8706" max="8706" width="8.7109375" style="325" customWidth="1"/>
    <col min="8707" max="8707" width="9.5703125" style="325" customWidth="1"/>
    <col min="8708" max="8708" width="8.85546875" style="325" customWidth="1"/>
    <col min="8709" max="8709" width="11.140625" style="325" customWidth="1"/>
    <col min="8710" max="8710" width="10.140625" style="325" customWidth="1"/>
    <col min="8711" max="8711" width="13.7109375" style="325" customWidth="1"/>
    <col min="8712" max="8712" width="10.140625" style="325" customWidth="1"/>
    <col min="8713" max="8713" width="11" style="325" customWidth="1"/>
    <col min="8714" max="8714" width="11.7109375" style="325" customWidth="1"/>
    <col min="8715" max="8715" width="12.28515625" style="325" customWidth="1"/>
    <col min="8716" max="8716" width="9.7109375" style="325" customWidth="1"/>
    <col min="8717" max="8717" width="12.85546875" style="325" customWidth="1"/>
    <col min="8718" max="8718" width="9.28515625" style="325" customWidth="1"/>
    <col min="8719" max="8950" width="9.140625" style="325"/>
    <col min="8951" max="8951" width="6.7109375" style="325" customWidth="1"/>
    <col min="8952" max="8952" width="7.85546875" style="325" customWidth="1"/>
    <col min="8953" max="8953" width="12.140625" style="325" customWidth="1"/>
    <col min="8954" max="8954" width="10.28515625" style="325" customWidth="1"/>
    <col min="8955" max="8955" width="8.28515625" style="325" customWidth="1"/>
    <col min="8956" max="8956" width="8.7109375" style="325" customWidth="1"/>
    <col min="8957" max="8957" width="9.85546875" style="325" customWidth="1"/>
    <col min="8958" max="8958" width="8.85546875" style="325" customWidth="1"/>
    <col min="8959" max="8959" width="8.7109375" style="325" customWidth="1"/>
    <col min="8960" max="8960" width="9.28515625" style="325" customWidth="1"/>
    <col min="8961" max="8961" width="8.85546875" style="325" customWidth="1"/>
    <col min="8962" max="8962" width="8.7109375" style="325" customWidth="1"/>
    <col min="8963" max="8963" width="9.5703125" style="325" customWidth="1"/>
    <col min="8964" max="8964" width="8.85546875" style="325" customWidth="1"/>
    <col min="8965" max="8965" width="11.140625" style="325" customWidth="1"/>
    <col min="8966" max="8966" width="10.140625" style="325" customWidth="1"/>
    <col min="8967" max="8967" width="13.7109375" style="325" customWidth="1"/>
    <col min="8968" max="8968" width="10.140625" style="325" customWidth="1"/>
    <col min="8969" max="8969" width="11" style="325" customWidth="1"/>
    <col min="8970" max="8970" width="11.7109375" style="325" customWidth="1"/>
    <col min="8971" max="8971" width="12.28515625" style="325" customWidth="1"/>
    <col min="8972" max="8972" width="9.7109375" style="325" customWidth="1"/>
    <col min="8973" max="8973" width="12.85546875" style="325" customWidth="1"/>
    <col min="8974" max="8974" width="9.28515625" style="325" customWidth="1"/>
    <col min="8975" max="9206" width="9.140625" style="325"/>
    <col min="9207" max="9207" width="6.7109375" style="325" customWidth="1"/>
    <col min="9208" max="9208" width="7.85546875" style="325" customWidth="1"/>
    <col min="9209" max="9209" width="12.140625" style="325" customWidth="1"/>
    <col min="9210" max="9210" width="10.28515625" style="325" customWidth="1"/>
    <col min="9211" max="9211" width="8.28515625" style="325" customWidth="1"/>
    <col min="9212" max="9212" width="8.7109375" style="325" customWidth="1"/>
    <col min="9213" max="9213" width="9.85546875" style="325" customWidth="1"/>
    <col min="9214" max="9214" width="8.85546875" style="325" customWidth="1"/>
    <col min="9215" max="9215" width="8.7109375" style="325" customWidth="1"/>
    <col min="9216" max="9216" width="9.28515625" style="325" customWidth="1"/>
    <col min="9217" max="9217" width="8.85546875" style="325" customWidth="1"/>
    <col min="9218" max="9218" width="8.7109375" style="325" customWidth="1"/>
    <col min="9219" max="9219" width="9.5703125" style="325" customWidth="1"/>
    <col min="9220" max="9220" width="8.85546875" style="325" customWidth="1"/>
    <col min="9221" max="9221" width="11.140625" style="325" customWidth="1"/>
    <col min="9222" max="9222" width="10.140625" style="325" customWidth="1"/>
    <col min="9223" max="9223" width="13.7109375" style="325" customWidth="1"/>
    <col min="9224" max="9224" width="10.140625" style="325" customWidth="1"/>
    <col min="9225" max="9225" width="11" style="325" customWidth="1"/>
    <col min="9226" max="9226" width="11.7109375" style="325" customWidth="1"/>
    <col min="9227" max="9227" width="12.28515625" style="325" customWidth="1"/>
    <col min="9228" max="9228" width="9.7109375" style="325" customWidth="1"/>
    <col min="9229" max="9229" width="12.85546875" style="325" customWidth="1"/>
    <col min="9230" max="9230" width="9.28515625" style="325" customWidth="1"/>
    <col min="9231" max="9462" width="9.140625" style="325"/>
    <col min="9463" max="9463" width="6.7109375" style="325" customWidth="1"/>
    <col min="9464" max="9464" width="7.85546875" style="325" customWidth="1"/>
    <col min="9465" max="9465" width="12.140625" style="325" customWidth="1"/>
    <col min="9466" max="9466" width="10.28515625" style="325" customWidth="1"/>
    <col min="9467" max="9467" width="8.28515625" style="325" customWidth="1"/>
    <col min="9468" max="9468" width="8.7109375" style="325" customWidth="1"/>
    <col min="9469" max="9469" width="9.85546875" style="325" customWidth="1"/>
    <col min="9470" max="9470" width="8.85546875" style="325" customWidth="1"/>
    <col min="9471" max="9471" width="8.7109375" style="325" customWidth="1"/>
    <col min="9472" max="9472" width="9.28515625" style="325" customWidth="1"/>
    <col min="9473" max="9473" width="8.85546875" style="325" customWidth="1"/>
    <col min="9474" max="9474" width="8.7109375" style="325" customWidth="1"/>
    <col min="9475" max="9475" width="9.5703125" style="325" customWidth="1"/>
    <col min="9476" max="9476" width="8.85546875" style="325" customWidth="1"/>
    <col min="9477" max="9477" width="11.140625" style="325" customWidth="1"/>
    <col min="9478" max="9478" width="10.140625" style="325" customWidth="1"/>
    <col min="9479" max="9479" width="13.7109375" style="325" customWidth="1"/>
    <col min="9480" max="9480" width="10.140625" style="325" customWidth="1"/>
    <col min="9481" max="9481" width="11" style="325" customWidth="1"/>
    <col min="9482" max="9482" width="11.7109375" style="325" customWidth="1"/>
    <col min="9483" max="9483" width="12.28515625" style="325" customWidth="1"/>
    <col min="9484" max="9484" width="9.7109375" style="325" customWidth="1"/>
    <col min="9485" max="9485" width="12.85546875" style="325" customWidth="1"/>
    <col min="9486" max="9486" width="9.28515625" style="325" customWidth="1"/>
    <col min="9487" max="9718" width="9.140625" style="325"/>
    <col min="9719" max="9719" width="6.7109375" style="325" customWidth="1"/>
    <col min="9720" max="9720" width="7.85546875" style="325" customWidth="1"/>
    <col min="9721" max="9721" width="12.140625" style="325" customWidth="1"/>
    <col min="9722" max="9722" width="10.28515625" style="325" customWidth="1"/>
    <col min="9723" max="9723" width="8.28515625" style="325" customWidth="1"/>
    <col min="9724" max="9724" width="8.7109375" style="325" customWidth="1"/>
    <col min="9725" max="9725" width="9.85546875" style="325" customWidth="1"/>
    <col min="9726" max="9726" width="8.85546875" style="325" customWidth="1"/>
    <col min="9727" max="9727" width="8.7109375" style="325" customWidth="1"/>
    <col min="9728" max="9728" width="9.28515625" style="325" customWidth="1"/>
    <col min="9729" max="9729" width="8.85546875" style="325" customWidth="1"/>
    <col min="9730" max="9730" width="8.7109375" style="325" customWidth="1"/>
    <col min="9731" max="9731" width="9.5703125" style="325" customWidth="1"/>
    <col min="9732" max="9732" width="8.85546875" style="325" customWidth="1"/>
    <col min="9733" max="9733" width="11.140625" style="325" customWidth="1"/>
    <col min="9734" max="9734" width="10.140625" style="325" customWidth="1"/>
    <col min="9735" max="9735" width="13.7109375" style="325" customWidth="1"/>
    <col min="9736" max="9736" width="10.140625" style="325" customWidth="1"/>
    <col min="9737" max="9737" width="11" style="325" customWidth="1"/>
    <col min="9738" max="9738" width="11.7109375" style="325" customWidth="1"/>
    <col min="9739" max="9739" width="12.28515625" style="325" customWidth="1"/>
    <col min="9740" max="9740" width="9.7109375" style="325" customWidth="1"/>
    <col min="9741" max="9741" width="12.85546875" style="325" customWidth="1"/>
    <col min="9742" max="9742" width="9.28515625" style="325" customWidth="1"/>
    <col min="9743" max="9974" width="9.140625" style="325"/>
    <col min="9975" max="9975" width="6.7109375" style="325" customWidth="1"/>
    <col min="9976" max="9976" width="7.85546875" style="325" customWidth="1"/>
    <col min="9977" max="9977" width="12.140625" style="325" customWidth="1"/>
    <col min="9978" max="9978" width="10.28515625" style="325" customWidth="1"/>
    <col min="9979" max="9979" width="8.28515625" style="325" customWidth="1"/>
    <col min="9980" max="9980" width="8.7109375" style="325" customWidth="1"/>
    <col min="9981" max="9981" width="9.85546875" style="325" customWidth="1"/>
    <col min="9982" max="9982" width="8.85546875" style="325" customWidth="1"/>
    <col min="9983" max="9983" width="8.7109375" style="325" customWidth="1"/>
    <col min="9984" max="9984" width="9.28515625" style="325" customWidth="1"/>
    <col min="9985" max="9985" width="8.85546875" style="325" customWidth="1"/>
    <col min="9986" max="9986" width="8.7109375" style="325" customWidth="1"/>
    <col min="9987" max="9987" width="9.5703125" style="325" customWidth="1"/>
    <col min="9988" max="9988" width="8.85546875" style="325" customWidth="1"/>
    <col min="9989" max="9989" width="11.140625" style="325" customWidth="1"/>
    <col min="9990" max="9990" width="10.140625" style="325" customWidth="1"/>
    <col min="9991" max="9991" width="13.7109375" style="325" customWidth="1"/>
    <col min="9992" max="9992" width="10.140625" style="325" customWidth="1"/>
    <col min="9993" max="9993" width="11" style="325" customWidth="1"/>
    <col min="9994" max="9994" width="11.7109375" style="325" customWidth="1"/>
    <col min="9995" max="9995" width="12.28515625" style="325" customWidth="1"/>
    <col min="9996" max="9996" width="9.7109375" style="325" customWidth="1"/>
    <col min="9997" max="9997" width="12.85546875" style="325" customWidth="1"/>
    <col min="9998" max="9998" width="9.28515625" style="325" customWidth="1"/>
    <col min="9999" max="10230" width="9.140625" style="325"/>
    <col min="10231" max="10231" width="6.7109375" style="325" customWidth="1"/>
    <col min="10232" max="10232" width="7.85546875" style="325" customWidth="1"/>
    <col min="10233" max="10233" width="12.140625" style="325" customWidth="1"/>
    <col min="10234" max="10234" width="10.28515625" style="325" customWidth="1"/>
    <col min="10235" max="10235" width="8.28515625" style="325" customWidth="1"/>
    <col min="10236" max="10236" width="8.7109375" style="325" customWidth="1"/>
    <col min="10237" max="10237" width="9.85546875" style="325" customWidth="1"/>
    <col min="10238" max="10238" width="8.85546875" style="325" customWidth="1"/>
    <col min="10239" max="10239" width="8.7109375" style="325" customWidth="1"/>
    <col min="10240" max="10240" width="9.28515625" style="325" customWidth="1"/>
    <col min="10241" max="10241" width="8.85546875" style="325" customWidth="1"/>
    <col min="10242" max="10242" width="8.7109375" style="325" customWidth="1"/>
    <col min="10243" max="10243" width="9.5703125" style="325" customWidth="1"/>
    <col min="10244" max="10244" width="8.85546875" style="325" customWidth="1"/>
    <col min="10245" max="10245" width="11.140625" style="325" customWidth="1"/>
    <col min="10246" max="10246" width="10.140625" style="325" customWidth="1"/>
    <col min="10247" max="10247" width="13.7109375" style="325" customWidth="1"/>
    <col min="10248" max="10248" width="10.140625" style="325" customWidth="1"/>
    <col min="10249" max="10249" width="11" style="325" customWidth="1"/>
    <col min="10250" max="10250" width="11.7109375" style="325" customWidth="1"/>
    <col min="10251" max="10251" width="12.28515625" style="325" customWidth="1"/>
    <col min="10252" max="10252" width="9.7109375" style="325" customWidth="1"/>
    <col min="10253" max="10253" width="12.85546875" style="325" customWidth="1"/>
    <col min="10254" max="10254" width="9.28515625" style="325" customWidth="1"/>
    <col min="10255" max="10486" width="9.140625" style="325"/>
    <col min="10487" max="10487" width="6.7109375" style="325" customWidth="1"/>
    <col min="10488" max="10488" width="7.85546875" style="325" customWidth="1"/>
    <col min="10489" max="10489" width="12.140625" style="325" customWidth="1"/>
    <col min="10490" max="10490" width="10.28515625" style="325" customWidth="1"/>
    <col min="10491" max="10491" width="8.28515625" style="325" customWidth="1"/>
    <col min="10492" max="10492" width="8.7109375" style="325" customWidth="1"/>
    <col min="10493" max="10493" width="9.85546875" style="325" customWidth="1"/>
    <col min="10494" max="10494" width="8.85546875" style="325" customWidth="1"/>
    <col min="10495" max="10495" width="8.7109375" style="325" customWidth="1"/>
    <col min="10496" max="10496" width="9.28515625" style="325" customWidth="1"/>
    <col min="10497" max="10497" width="8.85546875" style="325" customWidth="1"/>
    <col min="10498" max="10498" width="8.7109375" style="325" customWidth="1"/>
    <col min="10499" max="10499" width="9.5703125" style="325" customWidth="1"/>
    <col min="10500" max="10500" width="8.85546875" style="325" customWidth="1"/>
    <col min="10501" max="10501" width="11.140625" style="325" customWidth="1"/>
    <col min="10502" max="10502" width="10.140625" style="325" customWidth="1"/>
    <col min="10503" max="10503" width="13.7109375" style="325" customWidth="1"/>
    <col min="10504" max="10504" width="10.140625" style="325" customWidth="1"/>
    <col min="10505" max="10505" width="11" style="325" customWidth="1"/>
    <col min="10506" max="10506" width="11.7109375" style="325" customWidth="1"/>
    <col min="10507" max="10507" width="12.28515625" style="325" customWidth="1"/>
    <col min="10508" max="10508" width="9.7109375" style="325" customWidth="1"/>
    <col min="10509" max="10509" width="12.85546875" style="325" customWidth="1"/>
    <col min="10510" max="10510" width="9.28515625" style="325" customWidth="1"/>
    <col min="10511" max="10742" width="9.140625" style="325"/>
    <col min="10743" max="10743" width="6.7109375" style="325" customWidth="1"/>
    <col min="10744" max="10744" width="7.85546875" style="325" customWidth="1"/>
    <col min="10745" max="10745" width="12.140625" style="325" customWidth="1"/>
    <col min="10746" max="10746" width="10.28515625" style="325" customWidth="1"/>
    <col min="10747" max="10747" width="8.28515625" style="325" customWidth="1"/>
    <col min="10748" max="10748" width="8.7109375" style="325" customWidth="1"/>
    <col min="10749" max="10749" width="9.85546875" style="325" customWidth="1"/>
    <col min="10750" max="10750" width="8.85546875" style="325" customWidth="1"/>
    <col min="10751" max="10751" width="8.7109375" style="325" customWidth="1"/>
    <col min="10752" max="10752" width="9.28515625" style="325" customWidth="1"/>
    <col min="10753" max="10753" width="8.85546875" style="325" customWidth="1"/>
    <col min="10754" max="10754" width="8.7109375" style="325" customWidth="1"/>
    <col min="10755" max="10755" width="9.5703125" style="325" customWidth="1"/>
    <col min="10756" max="10756" width="8.85546875" style="325" customWidth="1"/>
    <col min="10757" max="10757" width="11.140625" style="325" customWidth="1"/>
    <col min="10758" max="10758" width="10.140625" style="325" customWidth="1"/>
    <col min="10759" max="10759" width="13.7109375" style="325" customWidth="1"/>
    <col min="10760" max="10760" width="10.140625" style="325" customWidth="1"/>
    <col min="10761" max="10761" width="11" style="325" customWidth="1"/>
    <col min="10762" max="10762" width="11.7109375" style="325" customWidth="1"/>
    <col min="10763" max="10763" width="12.28515625" style="325" customWidth="1"/>
    <col min="10764" max="10764" width="9.7109375" style="325" customWidth="1"/>
    <col min="10765" max="10765" width="12.85546875" style="325" customWidth="1"/>
    <col min="10766" max="10766" width="9.28515625" style="325" customWidth="1"/>
    <col min="10767" max="10998" width="9.140625" style="325"/>
    <col min="10999" max="10999" width="6.7109375" style="325" customWidth="1"/>
    <col min="11000" max="11000" width="7.85546875" style="325" customWidth="1"/>
    <col min="11001" max="11001" width="12.140625" style="325" customWidth="1"/>
    <col min="11002" max="11002" width="10.28515625" style="325" customWidth="1"/>
    <col min="11003" max="11003" width="8.28515625" style="325" customWidth="1"/>
    <col min="11004" max="11004" width="8.7109375" style="325" customWidth="1"/>
    <col min="11005" max="11005" width="9.85546875" style="325" customWidth="1"/>
    <col min="11006" max="11006" width="8.85546875" style="325" customWidth="1"/>
    <col min="11007" max="11007" width="8.7109375" style="325" customWidth="1"/>
    <col min="11008" max="11008" width="9.28515625" style="325" customWidth="1"/>
    <col min="11009" max="11009" width="8.85546875" style="325" customWidth="1"/>
    <col min="11010" max="11010" width="8.7109375" style="325" customWidth="1"/>
    <col min="11011" max="11011" width="9.5703125" style="325" customWidth="1"/>
    <col min="11012" max="11012" width="8.85546875" style="325" customWidth="1"/>
    <col min="11013" max="11013" width="11.140625" style="325" customWidth="1"/>
    <col min="11014" max="11014" width="10.140625" style="325" customWidth="1"/>
    <col min="11015" max="11015" width="13.7109375" style="325" customWidth="1"/>
    <col min="11016" max="11016" width="10.140625" style="325" customWidth="1"/>
    <col min="11017" max="11017" width="11" style="325" customWidth="1"/>
    <col min="11018" max="11018" width="11.7109375" style="325" customWidth="1"/>
    <col min="11019" max="11019" width="12.28515625" style="325" customWidth="1"/>
    <col min="11020" max="11020" width="9.7109375" style="325" customWidth="1"/>
    <col min="11021" max="11021" width="12.85546875" style="325" customWidth="1"/>
    <col min="11022" max="11022" width="9.28515625" style="325" customWidth="1"/>
    <col min="11023" max="11254" width="9.140625" style="325"/>
    <col min="11255" max="11255" width="6.7109375" style="325" customWidth="1"/>
    <col min="11256" max="11256" width="7.85546875" style="325" customWidth="1"/>
    <col min="11257" max="11257" width="12.140625" style="325" customWidth="1"/>
    <col min="11258" max="11258" width="10.28515625" style="325" customWidth="1"/>
    <col min="11259" max="11259" width="8.28515625" style="325" customWidth="1"/>
    <col min="11260" max="11260" width="8.7109375" style="325" customWidth="1"/>
    <col min="11261" max="11261" width="9.85546875" style="325" customWidth="1"/>
    <col min="11262" max="11262" width="8.85546875" style="325" customWidth="1"/>
    <col min="11263" max="11263" width="8.7109375" style="325" customWidth="1"/>
    <col min="11264" max="11264" width="9.28515625" style="325" customWidth="1"/>
    <col min="11265" max="11265" width="8.85546875" style="325" customWidth="1"/>
    <col min="11266" max="11266" width="8.7109375" style="325" customWidth="1"/>
    <col min="11267" max="11267" width="9.5703125" style="325" customWidth="1"/>
    <col min="11268" max="11268" width="8.85546875" style="325" customWidth="1"/>
    <col min="11269" max="11269" width="11.140625" style="325" customWidth="1"/>
    <col min="11270" max="11270" width="10.140625" style="325" customWidth="1"/>
    <col min="11271" max="11271" width="13.7109375" style="325" customWidth="1"/>
    <col min="11272" max="11272" width="10.140625" style="325" customWidth="1"/>
    <col min="11273" max="11273" width="11" style="325" customWidth="1"/>
    <col min="11274" max="11274" width="11.7109375" style="325" customWidth="1"/>
    <col min="11275" max="11275" width="12.28515625" style="325" customWidth="1"/>
    <col min="11276" max="11276" width="9.7109375" style="325" customWidth="1"/>
    <col min="11277" max="11277" width="12.85546875" style="325" customWidth="1"/>
    <col min="11278" max="11278" width="9.28515625" style="325" customWidth="1"/>
    <col min="11279" max="11510" width="9.140625" style="325"/>
    <col min="11511" max="11511" width="6.7109375" style="325" customWidth="1"/>
    <col min="11512" max="11512" width="7.85546875" style="325" customWidth="1"/>
    <col min="11513" max="11513" width="12.140625" style="325" customWidth="1"/>
    <col min="11514" max="11514" width="10.28515625" style="325" customWidth="1"/>
    <col min="11515" max="11515" width="8.28515625" style="325" customWidth="1"/>
    <col min="11516" max="11516" width="8.7109375" style="325" customWidth="1"/>
    <col min="11517" max="11517" width="9.85546875" style="325" customWidth="1"/>
    <col min="11518" max="11518" width="8.85546875" style="325" customWidth="1"/>
    <col min="11519" max="11519" width="8.7109375" style="325" customWidth="1"/>
    <col min="11520" max="11520" width="9.28515625" style="325" customWidth="1"/>
    <col min="11521" max="11521" width="8.85546875" style="325" customWidth="1"/>
    <col min="11522" max="11522" width="8.7109375" style="325" customWidth="1"/>
    <col min="11523" max="11523" width="9.5703125" style="325" customWidth="1"/>
    <col min="11524" max="11524" width="8.85546875" style="325" customWidth="1"/>
    <col min="11525" max="11525" width="11.140625" style="325" customWidth="1"/>
    <col min="11526" max="11526" width="10.140625" style="325" customWidth="1"/>
    <col min="11527" max="11527" width="13.7109375" style="325" customWidth="1"/>
    <col min="11528" max="11528" width="10.140625" style="325" customWidth="1"/>
    <col min="11529" max="11529" width="11" style="325" customWidth="1"/>
    <col min="11530" max="11530" width="11.7109375" style="325" customWidth="1"/>
    <col min="11531" max="11531" width="12.28515625" style="325" customWidth="1"/>
    <col min="11532" max="11532" width="9.7109375" style="325" customWidth="1"/>
    <col min="11533" max="11533" width="12.85546875" style="325" customWidth="1"/>
    <col min="11534" max="11534" width="9.28515625" style="325" customWidth="1"/>
    <col min="11535" max="11766" width="9.140625" style="325"/>
    <col min="11767" max="11767" width="6.7109375" style="325" customWidth="1"/>
    <col min="11768" max="11768" width="7.85546875" style="325" customWidth="1"/>
    <col min="11769" max="11769" width="12.140625" style="325" customWidth="1"/>
    <col min="11770" max="11770" width="10.28515625" style="325" customWidth="1"/>
    <col min="11771" max="11771" width="8.28515625" style="325" customWidth="1"/>
    <col min="11772" max="11772" width="8.7109375" style="325" customWidth="1"/>
    <col min="11773" max="11773" width="9.85546875" style="325" customWidth="1"/>
    <col min="11774" max="11774" width="8.85546875" style="325" customWidth="1"/>
    <col min="11775" max="11775" width="8.7109375" style="325" customWidth="1"/>
    <col min="11776" max="11776" width="9.28515625" style="325" customWidth="1"/>
    <col min="11777" max="11777" width="8.85546875" style="325" customWidth="1"/>
    <col min="11778" max="11778" width="8.7109375" style="325" customWidth="1"/>
    <col min="11779" max="11779" width="9.5703125" style="325" customWidth="1"/>
    <col min="11780" max="11780" width="8.85546875" style="325" customWidth="1"/>
    <col min="11781" max="11781" width="11.140625" style="325" customWidth="1"/>
    <col min="11782" max="11782" width="10.140625" style="325" customWidth="1"/>
    <col min="11783" max="11783" width="13.7109375" style="325" customWidth="1"/>
    <col min="11784" max="11784" width="10.140625" style="325" customWidth="1"/>
    <col min="11785" max="11785" width="11" style="325" customWidth="1"/>
    <col min="11786" max="11786" width="11.7109375" style="325" customWidth="1"/>
    <col min="11787" max="11787" width="12.28515625" style="325" customWidth="1"/>
    <col min="11788" max="11788" width="9.7109375" style="325" customWidth="1"/>
    <col min="11789" max="11789" width="12.85546875" style="325" customWidth="1"/>
    <col min="11790" max="11790" width="9.28515625" style="325" customWidth="1"/>
    <col min="11791" max="12022" width="9.140625" style="325"/>
    <col min="12023" max="12023" width="6.7109375" style="325" customWidth="1"/>
    <col min="12024" max="12024" width="7.85546875" style="325" customWidth="1"/>
    <col min="12025" max="12025" width="12.140625" style="325" customWidth="1"/>
    <col min="12026" max="12026" width="10.28515625" style="325" customWidth="1"/>
    <col min="12027" max="12027" width="8.28515625" style="325" customWidth="1"/>
    <col min="12028" max="12028" width="8.7109375" style="325" customWidth="1"/>
    <col min="12029" max="12029" width="9.85546875" style="325" customWidth="1"/>
    <col min="12030" max="12030" width="8.85546875" style="325" customWidth="1"/>
    <col min="12031" max="12031" width="8.7109375" style="325" customWidth="1"/>
    <col min="12032" max="12032" width="9.28515625" style="325" customWidth="1"/>
    <col min="12033" max="12033" width="8.85546875" style="325" customWidth="1"/>
    <col min="12034" max="12034" width="8.7109375" style="325" customWidth="1"/>
    <col min="12035" max="12035" width="9.5703125" style="325" customWidth="1"/>
    <col min="12036" max="12036" width="8.85546875" style="325" customWidth="1"/>
    <col min="12037" max="12037" width="11.140625" style="325" customWidth="1"/>
    <col min="12038" max="12038" width="10.140625" style="325" customWidth="1"/>
    <col min="12039" max="12039" width="13.7109375" style="325" customWidth="1"/>
    <col min="12040" max="12040" width="10.140625" style="325" customWidth="1"/>
    <col min="12041" max="12041" width="11" style="325" customWidth="1"/>
    <col min="12042" max="12042" width="11.7109375" style="325" customWidth="1"/>
    <col min="12043" max="12043" width="12.28515625" style="325" customWidth="1"/>
    <col min="12044" max="12044" width="9.7109375" style="325" customWidth="1"/>
    <col min="12045" max="12045" width="12.85546875" style="325" customWidth="1"/>
    <col min="12046" max="12046" width="9.28515625" style="325" customWidth="1"/>
    <col min="12047" max="12278" width="9.140625" style="325"/>
    <col min="12279" max="12279" width="6.7109375" style="325" customWidth="1"/>
    <col min="12280" max="12280" width="7.85546875" style="325" customWidth="1"/>
    <col min="12281" max="12281" width="12.140625" style="325" customWidth="1"/>
    <col min="12282" max="12282" width="10.28515625" style="325" customWidth="1"/>
    <col min="12283" max="12283" width="8.28515625" style="325" customWidth="1"/>
    <col min="12284" max="12284" width="8.7109375" style="325" customWidth="1"/>
    <col min="12285" max="12285" width="9.85546875" style="325" customWidth="1"/>
    <col min="12286" max="12286" width="8.85546875" style="325" customWidth="1"/>
    <col min="12287" max="12287" width="8.7109375" style="325" customWidth="1"/>
    <col min="12288" max="12288" width="9.28515625" style="325" customWidth="1"/>
    <col min="12289" max="12289" width="8.85546875" style="325" customWidth="1"/>
    <col min="12290" max="12290" width="8.7109375" style="325" customWidth="1"/>
    <col min="12291" max="12291" width="9.5703125" style="325" customWidth="1"/>
    <col min="12292" max="12292" width="8.85546875" style="325" customWidth="1"/>
    <col min="12293" max="12293" width="11.140625" style="325" customWidth="1"/>
    <col min="12294" max="12294" width="10.140625" style="325" customWidth="1"/>
    <col min="12295" max="12295" width="13.7109375" style="325" customWidth="1"/>
    <col min="12296" max="12296" width="10.140625" style="325" customWidth="1"/>
    <col min="12297" max="12297" width="11" style="325" customWidth="1"/>
    <col min="12298" max="12298" width="11.7109375" style="325" customWidth="1"/>
    <col min="12299" max="12299" width="12.28515625" style="325" customWidth="1"/>
    <col min="12300" max="12300" width="9.7109375" style="325" customWidth="1"/>
    <col min="12301" max="12301" width="12.85546875" style="325" customWidth="1"/>
    <col min="12302" max="12302" width="9.28515625" style="325" customWidth="1"/>
    <col min="12303" max="12534" width="9.140625" style="325"/>
    <col min="12535" max="12535" width="6.7109375" style="325" customWidth="1"/>
    <col min="12536" max="12536" width="7.85546875" style="325" customWidth="1"/>
    <col min="12537" max="12537" width="12.140625" style="325" customWidth="1"/>
    <col min="12538" max="12538" width="10.28515625" style="325" customWidth="1"/>
    <col min="12539" max="12539" width="8.28515625" style="325" customWidth="1"/>
    <col min="12540" max="12540" width="8.7109375" style="325" customWidth="1"/>
    <col min="12541" max="12541" width="9.85546875" style="325" customWidth="1"/>
    <col min="12542" max="12542" width="8.85546875" style="325" customWidth="1"/>
    <col min="12543" max="12543" width="8.7109375" style="325" customWidth="1"/>
    <col min="12544" max="12544" width="9.28515625" style="325" customWidth="1"/>
    <col min="12545" max="12545" width="8.85546875" style="325" customWidth="1"/>
    <col min="12546" max="12546" width="8.7109375" style="325" customWidth="1"/>
    <col min="12547" max="12547" width="9.5703125" style="325" customWidth="1"/>
    <col min="12548" max="12548" width="8.85546875" style="325" customWidth="1"/>
    <col min="12549" max="12549" width="11.140625" style="325" customWidth="1"/>
    <col min="12550" max="12550" width="10.140625" style="325" customWidth="1"/>
    <col min="12551" max="12551" width="13.7109375" style="325" customWidth="1"/>
    <col min="12552" max="12552" width="10.140625" style="325" customWidth="1"/>
    <col min="12553" max="12553" width="11" style="325" customWidth="1"/>
    <col min="12554" max="12554" width="11.7109375" style="325" customWidth="1"/>
    <col min="12555" max="12555" width="12.28515625" style="325" customWidth="1"/>
    <col min="12556" max="12556" width="9.7109375" style="325" customWidth="1"/>
    <col min="12557" max="12557" width="12.85546875" style="325" customWidth="1"/>
    <col min="12558" max="12558" width="9.28515625" style="325" customWidth="1"/>
    <col min="12559" max="12790" width="9.140625" style="325"/>
    <col min="12791" max="12791" width="6.7109375" style="325" customWidth="1"/>
    <col min="12792" max="12792" width="7.85546875" style="325" customWidth="1"/>
    <col min="12793" max="12793" width="12.140625" style="325" customWidth="1"/>
    <col min="12794" max="12794" width="10.28515625" style="325" customWidth="1"/>
    <col min="12795" max="12795" width="8.28515625" style="325" customWidth="1"/>
    <col min="12796" max="12796" width="8.7109375" style="325" customWidth="1"/>
    <col min="12797" max="12797" width="9.85546875" style="325" customWidth="1"/>
    <col min="12798" max="12798" width="8.85546875" style="325" customWidth="1"/>
    <col min="12799" max="12799" width="8.7109375" style="325" customWidth="1"/>
    <col min="12800" max="12800" width="9.28515625" style="325" customWidth="1"/>
    <col min="12801" max="12801" width="8.85546875" style="325" customWidth="1"/>
    <col min="12802" max="12802" width="8.7109375" style="325" customWidth="1"/>
    <col min="12803" max="12803" width="9.5703125" style="325" customWidth="1"/>
    <col min="12804" max="12804" width="8.85546875" style="325" customWidth="1"/>
    <col min="12805" max="12805" width="11.140625" style="325" customWidth="1"/>
    <col min="12806" max="12806" width="10.140625" style="325" customWidth="1"/>
    <col min="12807" max="12807" width="13.7109375" style="325" customWidth="1"/>
    <col min="12808" max="12808" width="10.140625" style="325" customWidth="1"/>
    <col min="12809" max="12809" width="11" style="325" customWidth="1"/>
    <col min="12810" max="12810" width="11.7109375" style="325" customWidth="1"/>
    <col min="12811" max="12811" width="12.28515625" style="325" customWidth="1"/>
    <col min="12812" max="12812" width="9.7109375" style="325" customWidth="1"/>
    <col min="12813" max="12813" width="12.85546875" style="325" customWidth="1"/>
    <col min="12814" max="12814" width="9.28515625" style="325" customWidth="1"/>
    <col min="12815" max="13046" width="9.140625" style="325"/>
    <col min="13047" max="13047" width="6.7109375" style="325" customWidth="1"/>
    <col min="13048" max="13048" width="7.85546875" style="325" customWidth="1"/>
    <col min="13049" max="13049" width="12.140625" style="325" customWidth="1"/>
    <col min="13050" max="13050" width="10.28515625" style="325" customWidth="1"/>
    <col min="13051" max="13051" width="8.28515625" style="325" customWidth="1"/>
    <col min="13052" max="13052" width="8.7109375" style="325" customWidth="1"/>
    <col min="13053" max="13053" width="9.85546875" style="325" customWidth="1"/>
    <col min="13054" max="13054" width="8.85546875" style="325" customWidth="1"/>
    <col min="13055" max="13055" width="8.7109375" style="325" customWidth="1"/>
    <col min="13056" max="13056" width="9.28515625" style="325" customWidth="1"/>
    <col min="13057" max="13057" width="8.85546875" style="325" customWidth="1"/>
    <col min="13058" max="13058" width="8.7109375" style="325" customWidth="1"/>
    <col min="13059" max="13059" width="9.5703125" style="325" customWidth="1"/>
    <col min="13060" max="13060" width="8.85546875" style="325" customWidth="1"/>
    <col min="13061" max="13061" width="11.140625" style="325" customWidth="1"/>
    <col min="13062" max="13062" width="10.140625" style="325" customWidth="1"/>
    <col min="13063" max="13063" width="13.7109375" style="325" customWidth="1"/>
    <col min="13064" max="13064" width="10.140625" style="325" customWidth="1"/>
    <col min="13065" max="13065" width="11" style="325" customWidth="1"/>
    <col min="13066" max="13066" width="11.7109375" style="325" customWidth="1"/>
    <col min="13067" max="13067" width="12.28515625" style="325" customWidth="1"/>
    <col min="13068" max="13068" width="9.7109375" style="325" customWidth="1"/>
    <col min="13069" max="13069" width="12.85546875" style="325" customWidth="1"/>
    <col min="13070" max="13070" width="9.28515625" style="325" customWidth="1"/>
    <col min="13071" max="13302" width="9.140625" style="325"/>
    <col min="13303" max="13303" width="6.7109375" style="325" customWidth="1"/>
    <col min="13304" max="13304" width="7.85546875" style="325" customWidth="1"/>
    <col min="13305" max="13305" width="12.140625" style="325" customWidth="1"/>
    <col min="13306" max="13306" width="10.28515625" style="325" customWidth="1"/>
    <col min="13307" max="13307" width="8.28515625" style="325" customWidth="1"/>
    <col min="13308" max="13308" width="8.7109375" style="325" customWidth="1"/>
    <col min="13309" max="13309" width="9.85546875" style="325" customWidth="1"/>
    <col min="13310" max="13310" width="8.85546875" style="325" customWidth="1"/>
    <col min="13311" max="13311" width="8.7109375" style="325" customWidth="1"/>
    <col min="13312" max="13312" width="9.28515625" style="325" customWidth="1"/>
    <col min="13313" max="13313" width="8.85546875" style="325" customWidth="1"/>
    <col min="13314" max="13314" width="8.7109375" style="325" customWidth="1"/>
    <col min="13315" max="13315" width="9.5703125" style="325" customWidth="1"/>
    <col min="13316" max="13316" width="8.85546875" style="325" customWidth="1"/>
    <col min="13317" max="13317" width="11.140625" style="325" customWidth="1"/>
    <col min="13318" max="13318" width="10.140625" style="325" customWidth="1"/>
    <col min="13319" max="13319" width="13.7109375" style="325" customWidth="1"/>
    <col min="13320" max="13320" width="10.140625" style="325" customWidth="1"/>
    <col min="13321" max="13321" width="11" style="325" customWidth="1"/>
    <col min="13322" max="13322" width="11.7109375" style="325" customWidth="1"/>
    <col min="13323" max="13323" width="12.28515625" style="325" customWidth="1"/>
    <col min="13324" max="13324" width="9.7109375" style="325" customWidth="1"/>
    <col min="13325" max="13325" width="12.85546875" style="325" customWidth="1"/>
    <col min="13326" max="13326" width="9.28515625" style="325" customWidth="1"/>
    <col min="13327" max="13558" width="9.140625" style="325"/>
    <col min="13559" max="13559" width="6.7109375" style="325" customWidth="1"/>
    <col min="13560" max="13560" width="7.85546875" style="325" customWidth="1"/>
    <col min="13561" max="13561" width="12.140625" style="325" customWidth="1"/>
    <col min="13562" max="13562" width="10.28515625" style="325" customWidth="1"/>
    <col min="13563" max="13563" width="8.28515625" style="325" customWidth="1"/>
    <col min="13564" max="13564" width="8.7109375" style="325" customWidth="1"/>
    <col min="13565" max="13565" width="9.85546875" style="325" customWidth="1"/>
    <col min="13566" max="13566" width="8.85546875" style="325" customWidth="1"/>
    <col min="13567" max="13567" width="8.7109375" style="325" customWidth="1"/>
    <col min="13568" max="13568" width="9.28515625" style="325" customWidth="1"/>
    <col min="13569" max="13569" width="8.85546875" style="325" customWidth="1"/>
    <col min="13570" max="13570" width="8.7109375" style="325" customWidth="1"/>
    <col min="13571" max="13571" width="9.5703125" style="325" customWidth="1"/>
    <col min="13572" max="13572" width="8.85546875" style="325" customWidth="1"/>
    <col min="13573" max="13573" width="11.140625" style="325" customWidth="1"/>
    <col min="13574" max="13574" width="10.140625" style="325" customWidth="1"/>
    <col min="13575" max="13575" width="13.7109375" style="325" customWidth="1"/>
    <col min="13576" max="13576" width="10.140625" style="325" customWidth="1"/>
    <col min="13577" max="13577" width="11" style="325" customWidth="1"/>
    <col min="13578" max="13578" width="11.7109375" style="325" customWidth="1"/>
    <col min="13579" max="13579" width="12.28515625" style="325" customWidth="1"/>
    <col min="13580" max="13580" width="9.7109375" style="325" customWidth="1"/>
    <col min="13581" max="13581" width="12.85546875" style="325" customWidth="1"/>
    <col min="13582" max="13582" width="9.28515625" style="325" customWidth="1"/>
    <col min="13583" max="13814" width="9.140625" style="325"/>
    <col min="13815" max="13815" width="6.7109375" style="325" customWidth="1"/>
    <col min="13816" max="13816" width="7.85546875" style="325" customWidth="1"/>
    <col min="13817" max="13817" width="12.140625" style="325" customWidth="1"/>
    <col min="13818" max="13818" width="10.28515625" style="325" customWidth="1"/>
    <col min="13819" max="13819" width="8.28515625" style="325" customWidth="1"/>
    <col min="13820" max="13820" width="8.7109375" style="325" customWidth="1"/>
    <col min="13821" max="13821" width="9.85546875" style="325" customWidth="1"/>
    <col min="13822" max="13822" width="8.85546875" style="325" customWidth="1"/>
    <col min="13823" max="13823" width="8.7109375" style="325" customWidth="1"/>
    <col min="13824" max="13824" width="9.28515625" style="325" customWidth="1"/>
    <col min="13825" max="13825" width="8.85546875" style="325" customWidth="1"/>
    <col min="13826" max="13826" width="8.7109375" style="325" customWidth="1"/>
    <col min="13827" max="13827" width="9.5703125" style="325" customWidth="1"/>
    <col min="13828" max="13828" width="8.85546875" style="325" customWidth="1"/>
    <col min="13829" max="13829" width="11.140625" style="325" customWidth="1"/>
    <col min="13830" max="13830" width="10.140625" style="325" customWidth="1"/>
    <col min="13831" max="13831" width="13.7109375" style="325" customWidth="1"/>
    <col min="13832" max="13832" width="10.140625" style="325" customWidth="1"/>
    <col min="13833" max="13833" width="11" style="325" customWidth="1"/>
    <col min="13834" max="13834" width="11.7109375" style="325" customWidth="1"/>
    <col min="13835" max="13835" width="12.28515625" style="325" customWidth="1"/>
    <col min="13836" max="13836" width="9.7109375" style="325" customWidth="1"/>
    <col min="13837" max="13837" width="12.85546875" style="325" customWidth="1"/>
    <col min="13838" max="13838" width="9.28515625" style="325" customWidth="1"/>
    <col min="13839" max="14070" width="9.140625" style="325"/>
    <col min="14071" max="14071" width="6.7109375" style="325" customWidth="1"/>
    <col min="14072" max="14072" width="7.85546875" style="325" customWidth="1"/>
    <col min="14073" max="14073" width="12.140625" style="325" customWidth="1"/>
    <col min="14074" max="14074" width="10.28515625" style="325" customWidth="1"/>
    <col min="14075" max="14075" width="8.28515625" style="325" customWidth="1"/>
    <col min="14076" max="14076" width="8.7109375" style="325" customWidth="1"/>
    <col min="14077" max="14077" width="9.85546875" style="325" customWidth="1"/>
    <col min="14078" max="14078" width="8.85546875" style="325" customWidth="1"/>
    <col min="14079" max="14079" width="8.7109375" style="325" customWidth="1"/>
    <col min="14080" max="14080" width="9.28515625" style="325" customWidth="1"/>
    <col min="14081" max="14081" width="8.85546875" style="325" customWidth="1"/>
    <col min="14082" max="14082" width="8.7109375" style="325" customWidth="1"/>
    <col min="14083" max="14083" width="9.5703125" style="325" customWidth="1"/>
    <col min="14084" max="14084" width="8.85546875" style="325" customWidth="1"/>
    <col min="14085" max="14085" width="11.140625" style="325" customWidth="1"/>
    <col min="14086" max="14086" width="10.140625" style="325" customWidth="1"/>
    <col min="14087" max="14087" width="13.7109375" style="325" customWidth="1"/>
    <col min="14088" max="14088" width="10.140625" style="325" customWidth="1"/>
    <col min="14089" max="14089" width="11" style="325" customWidth="1"/>
    <col min="14090" max="14090" width="11.7109375" style="325" customWidth="1"/>
    <col min="14091" max="14091" width="12.28515625" style="325" customWidth="1"/>
    <col min="14092" max="14092" width="9.7109375" style="325" customWidth="1"/>
    <col min="14093" max="14093" width="12.85546875" style="325" customWidth="1"/>
    <col min="14094" max="14094" width="9.28515625" style="325" customWidth="1"/>
    <col min="14095" max="14326" width="9.140625" style="325"/>
    <col min="14327" max="14327" width="6.7109375" style="325" customWidth="1"/>
    <col min="14328" max="14328" width="7.85546875" style="325" customWidth="1"/>
    <col min="14329" max="14329" width="12.140625" style="325" customWidth="1"/>
    <col min="14330" max="14330" width="10.28515625" style="325" customWidth="1"/>
    <col min="14331" max="14331" width="8.28515625" style="325" customWidth="1"/>
    <col min="14332" max="14332" width="8.7109375" style="325" customWidth="1"/>
    <col min="14333" max="14333" width="9.85546875" style="325" customWidth="1"/>
    <col min="14334" max="14334" width="8.85546875" style="325" customWidth="1"/>
    <col min="14335" max="14335" width="8.7109375" style="325" customWidth="1"/>
    <col min="14336" max="14336" width="9.28515625" style="325" customWidth="1"/>
    <col min="14337" max="14337" width="8.85546875" style="325" customWidth="1"/>
    <col min="14338" max="14338" width="8.7109375" style="325" customWidth="1"/>
    <col min="14339" max="14339" width="9.5703125" style="325" customWidth="1"/>
    <col min="14340" max="14340" width="8.85546875" style="325" customWidth="1"/>
    <col min="14341" max="14341" width="11.140625" style="325" customWidth="1"/>
    <col min="14342" max="14342" width="10.140625" style="325" customWidth="1"/>
    <col min="14343" max="14343" width="13.7109375" style="325" customWidth="1"/>
    <col min="14344" max="14344" width="10.140625" style="325" customWidth="1"/>
    <col min="14345" max="14345" width="11" style="325" customWidth="1"/>
    <col min="14346" max="14346" width="11.7109375" style="325" customWidth="1"/>
    <col min="14347" max="14347" width="12.28515625" style="325" customWidth="1"/>
    <col min="14348" max="14348" width="9.7109375" style="325" customWidth="1"/>
    <col min="14349" max="14349" width="12.85546875" style="325" customWidth="1"/>
    <col min="14350" max="14350" width="9.28515625" style="325" customWidth="1"/>
    <col min="14351" max="14582" width="9.140625" style="325"/>
    <col min="14583" max="14583" width="6.7109375" style="325" customWidth="1"/>
    <col min="14584" max="14584" width="7.85546875" style="325" customWidth="1"/>
    <col min="14585" max="14585" width="12.140625" style="325" customWidth="1"/>
    <col min="14586" max="14586" width="10.28515625" style="325" customWidth="1"/>
    <col min="14587" max="14587" width="8.28515625" style="325" customWidth="1"/>
    <col min="14588" max="14588" width="8.7109375" style="325" customWidth="1"/>
    <col min="14589" max="14589" width="9.85546875" style="325" customWidth="1"/>
    <col min="14590" max="14590" width="8.85546875" style="325" customWidth="1"/>
    <col min="14591" max="14591" width="8.7109375" style="325" customWidth="1"/>
    <col min="14592" max="14592" width="9.28515625" style="325" customWidth="1"/>
    <col min="14593" max="14593" width="8.85546875" style="325" customWidth="1"/>
    <col min="14594" max="14594" width="8.7109375" style="325" customWidth="1"/>
    <col min="14595" max="14595" width="9.5703125" style="325" customWidth="1"/>
    <col min="14596" max="14596" width="8.85546875" style="325" customWidth="1"/>
    <col min="14597" max="14597" width="11.140625" style="325" customWidth="1"/>
    <col min="14598" max="14598" width="10.140625" style="325" customWidth="1"/>
    <col min="14599" max="14599" width="13.7109375" style="325" customWidth="1"/>
    <col min="14600" max="14600" width="10.140625" style="325" customWidth="1"/>
    <col min="14601" max="14601" width="11" style="325" customWidth="1"/>
    <col min="14602" max="14602" width="11.7109375" style="325" customWidth="1"/>
    <col min="14603" max="14603" width="12.28515625" style="325" customWidth="1"/>
    <col min="14604" max="14604" width="9.7109375" style="325" customWidth="1"/>
    <col min="14605" max="14605" width="12.85546875" style="325" customWidth="1"/>
    <col min="14606" max="14606" width="9.28515625" style="325" customWidth="1"/>
    <col min="14607" max="14838" width="9.140625" style="325"/>
    <col min="14839" max="14839" width="6.7109375" style="325" customWidth="1"/>
    <col min="14840" max="14840" width="7.85546875" style="325" customWidth="1"/>
    <col min="14841" max="14841" width="12.140625" style="325" customWidth="1"/>
    <col min="14842" max="14842" width="10.28515625" style="325" customWidth="1"/>
    <col min="14843" max="14843" width="8.28515625" style="325" customWidth="1"/>
    <col min="14844" max="14844" width="8.7109375" style="325" customWidth="1"/>
    <col min="14845" max="14845" width="9.85546875" style="325" customWidth="1"/>
    <col min="14846" max="14846" width="8.85546875" style="325" customWidth="1"/>
    <col min="14847" max="14847" width="8.7109375" style="325" customWidth="1"/>
    <col min="14848" max="14848" width="9.28515625" style="325" customWidth="1"/>
    <col min="14849" max="14849" width="8.85546875" style="325" customWidth="1"/>
    <col min="14850" max="14850" width="8.7109375" style="325" customWidth="1"/>
    <col min="14851" max="14851" width="9.5703125" style="325" customWidth="1"/>
    <col min="14852" max="14852" width="8.85546875" style="325" customWidth="1"/>
    <col min="14853" max="14853" width="11.140625" style="325" customWidth="1"/>
    <col min="14854" max="14854" width="10.140625" style="325" customWidth="1"/>
    <col min="14855" max="14855" width="13.7109375" style="325" customWidth="1"/>
    <col min="14856" max="14856" width="10.140625" style="325" customWidth="1"/>
    <col min="14857" max="14857" width="11" style="325" customWidth="1"/>
    <col min="14858" max="14858" width="11.7109375" style="325" customWidth="1"/>
    <col min="14859" max="14859" width="12.28515625" style="325" customWidth="1"/>
    <col min="14860" max="14860" width="9.7109375" style="325" customWidth="1"/>
    <col min="14861" max="14861" width="12.85546875" style="325" customWidth="1"/>
    <col min="14862" max="14862" width="9.28515625" style="325" customWidth="1"/>
    <col min="14863" max="15094" width="9.140625" style="325"/>
    <col min="15095" max="15095" width="6.7109375" style="325" customWidth="1"/>
    <col min="15096" max="15096" width="7.85546875" style="325" customWidth="1"/>
    <col min="15097" max="15097" width="12.140625" style="325" customWidth="1"/>
    <col min="15098" max="15098" width="10.28515625" style="325" customWidth="1"/>
    <col min="15099" max="15099" width="8.28515625" style="325" customWidth="1"/>
    <col min="15100" max="15100" width="8.7109375" style="325" customWidth="1"/>
    <col min="15101" max="15101" width="9.85546875" style="325" customWidth="1"/>
    <col min="15102" max="15102" width="8.85546875" style="325" customWidth="1"/>
    <col min="15103" max="15103" width="8.7109375" style="325" customWidth="1"/>
    <col min="15104" max="15104" width="9.28515625" style="325" customWidth="1"/>
    <col min="15105" max="15105" width="8.85546875" style="325" customWidth="1"/>
    <col min="15106" max="15106" width="8.7109375" style="325" customWidth="1"/>
    <col min="15107" max="15107" width="9.5703125" style="325" customWidth="1"/>
    <col min="15108" max="15108" width="8.85546875" style="325" customWidth="1"/>
    <col min="15109" max="15109" width="11.140625" style="325" customWidth="1"/>
    <col min="15110" max="15110" width="10.140625" style="325" customWidth="1"/>
    <col min="15111" max="15111" width="13.7109375" style="325" customWidth="1"/>
    <col min="15112" max="15112" width="10.140625" style="325" customWidth="1"/>
    <col min="15113" max="15113" width="11" style="325" customWidth="1"/>
    <col min="15114" max="15114" width="11.7109375" style="325" customWidth="1"/>
    <col min="15115" max="15115" width="12.28515625" style="325" customWidth="1"/>
    <col min="15116" max="15116" width="9.7109375" style="325" customWidth="1"/>
    <col min="15117" max="15117" width="12.85546875" style="325" customWidth="1"/>
    <col min="15118" max="15118" width="9.28515625" style="325" customWidth="1"/>
    <col min="15119" max="15350" width="9.140625" style="325"/>
    <col min="15351" max="15351" width="6.7109375" style="325" customWidth="1"/>
    <col min="15352" max="15352" width="7.85546875" style="325" customWidth="1"/>
    <col min="15353" max="15353" width="12.140625" style="325" customWidth="1"/>
    <col min="15354" max="15354" width="10.28515625" style="325" customWidth="1"/>
    <col min="15355" max="15355" width="8.28515625" style="325" customWidth="1"/>
    <col min="15356" max="15356" width="8.7109375" style="325" customWidth="1"/>
    <col min="15357" max="15357" width="9.85546875" style="325" customWidth="1"/>
    <col min="15358" max="15358" width="8.85546875" style="325" customWidth="1"/>
    <col min="15359" max="15359" width="8.7109375" style="325" customWidth="1"/>
    <col min="15360" max="15360" width="9.28515625" style="325" customWidth="1"/>
    <col min="15361" max="15361" width="8.85546875" style="325" customWidth="1"/>
    <col min="15362" max="15362" width="8.7109375" style="325" customWidth="1"/>
    <col min="15363" max="15363" width="9.5703125" style="325" customWidth="1"/>
    <col min="15364" max="15364" width="8.85546875" style="325" customWidth="1"/>
    <col min="15365" max="15365" width="11.140625" style="325" customWidth="1"/>
    <col min="15366" max="15366" width="10.140625" style="325" customWidth="1"/>
    <col min="15367" max="15367" width="13.7109375" style="325" customWidth="1"/>
    <col min="15368" max="15368" width="10.140625" style="325" customWidth="1"/>
    <col min="15369" max="15369" width="11" style="325" customWidth="1"/>
    <col min="15370" max="15370" width="11.7109375" style="325" customWidth="1"/>
    <col min="15371" max="15371" width="12.28515625" style="325" customWidth="1"/>
    <col min="15372" max="15372" width="9.7109375" style="325" customWidth="1"/>
    <col min="15373" max="15373" width="12.85546875" style="325" customWidth="1"/>
    <col min="15374" max="15374" width="9.28515625" style="325" customWidth="1"/>
    <col min="15375" max="15606" width="9.140625" style="325"/>
    <col min="15607" max="15607" width="6.7109375" style="325" customWidth="1"/>
    <col min="15608" max="15608" width="7.85546875" style="325" customWidth="1"/>
    <col min="15609" max="15609" width="12.140625" style="325" customWidth="1"/>
    <col min="15610" max="15610" width="10.28515625" style="325" customWidth="1"/>
    <col min="15611" max="15611" width="8.28515625" style="325" customWidth="1"/>
    <col min="15612" max="15612" width="8.7109375" style="325" customWidth="1"/>
    <col min="15613" max="15613" width="9.85546875" style="325" customWidth="1"/>
    <col min="15614" max="15614" width="8.85546875" style="325" customWidth="1"/>
    <col min="15615" max="15615" width="8.7109375" style="325" customWidth="1"/>
    <col min="15616" max="15616" width="9.28515625" style="325" customWidth="1"/>
    <col min="15617" max="15617" width="8.85546875" style="325" customWidth="1"/>
    <col min="15618" max="15618" width="8.7109375" style="325" customWidth="1"/>
    <col min="15619" max="15619" width="9.5703125" style="325" customWidth="1"/>
    <col min="15620" max="15620" width="8.85546875" style="325" customWidth="1"/>
    <col min="15621" max="15621" width="11.140625" style="325" customWidth="1"/>
    <col min="15622" max="15622" width="10.140625" style="325" customWidth="1"/>
    <col min="15623" max="15623" width="13.7109375" style="325" customWidth="1"/>
    <col min="15624" max="15624" width="10.140625" style="325" customWidth="1"/>
    <col min="15625" max="15625" width="11" style="325" customWidth="1"/>
    <col min="15626" max="15626" width="11.7109375" style="325" customWidth="1"/>
    <col min="15627" max="15627" width="12.28515625" style="325" customWidth="1"/>
    <col min="15628" max="15628" width="9.7109375" style="325" customWidth="1"/>
    <col min="15629" max="15629" width="12.85546875" style="325" customWidth="1"/>
    <col min="15630" max="15630" width="9.28515625" style="325" customWidth="1"/>
    <col min="15631" max="15862" width="9.140625" style="325"/>
    <col min="15863" max="15863" width="6.7109375" style="325" customWidth="1"/>
    <col min="15864" max="15864" width="7.85546875" style="325" customWidth="1"/>
    <col min="15865" max="15865" width="12.140625" style="325" customWidth="1"/>
    <col min="15866" max="15866" width="10.28515625" style="325" customWidth="1"/>
    <col min="15867" max="15867" width="8.28515625" style="325" customWidth="1"/>
    <col min="15868" max="15868" width="8.7109375" style="325" customWidth="1"/>
    <col min="15869" max="15869" width="9.85546875" style="325" customWidth="1"/>
    <col min="15870" max="15870" width="8.85546875" style="325" customWidth="1"/>
    <col min="15871" max="15871" width="8.7109375" style="325" customWidth="1"/>
    <col min="15872" max="15872" width="9.28515625" style="325" customWidth="1"/>
    <col min="15873" max="15873" width="8.85546875" style="325" customWidth="1"/>
    <col min="15874" max="15874" width="8.7109375" style="325" customWidth="1"/>
    <col min="15875" max="15875" width="9.5703125" style="325" customWidth="1"/>
    <col min="15876" max="15876" width="8.85546875" style="325" customWidth="1"/>
    <col min="15877" max="15877" width="11.140625" style="325" customWidth="1"/>
    <col min="15878" max="15878" width="10.140625" style="325" customWidth="1"/>
    <col min="15879" max="15879" width="13.7109375" style="325" customWidth="1"/>
    <col min="15880" max="15880" width="10.140625" style="325" customWidth="1"/>
    <col min="15881" max="15881" width="11" style="325" customWidth="1"/>
    <col min="15882" max="15882" width="11.7109375" style="325" customWidth="1"/>
    <col min="15883" max="15883" width="12.28515625" style="325" customWidth="1"/>
    <col min="15884" max="15884" width="9.7109375" style="325" customWidth="1"/>
    <col min="15885" max="15885" width="12.85546875" style="325" customWidth="1"/>
    <col min="15886" max="15886" width="9.28515625" style="325" customWidth="1"/>
    <col min="15887" max="16118" width="9.140625" style="325"/>
    <col min="16119" max="16119" width="6.7109375" style="325" customWidth="1"/>
    <col min="16120" max="16120" width="7.85546875" style="325" customWidth="1"/>
    <col min="16121" max="16121" width="12.140625" style="325" customWidth="1"/>
    <col min="16122" max="16122" width="10.28515625" style="325" customWidth="1"/>
    <col min="16123" max="16123" width="8.28515625" style="325" customWidth="1"/>
    <col min="16124" max="16124" width="8.7109375" style="325" customWidth="1"/>
    <col min="16125" max="16125" width="9.85546875" style="325" customWidth="1"/>
    <col min="16126" max="16126" width="8.85546875" style="325" customWidth="1"/>
    <col min="16127" max="16127" width="8.7109375" style="325" customWidth="1"/>
    <col min="16128" max="16128" width="9.28515625" style="325" customWidth="1"/>
    <col min="16129" max="16129" width="8.85546875" style="325" customWidth="1"/>
    <col min="16130" max="16130" width="8.7109375" style="325" customWidth="1"/>
    <col min="16131" max="16131" width="9.5703125" style="325" customWidth="1"/>
    <col min="16132" max="16132" width="8.85546875" style="325" customWidth="1"/>
    <col min="16133" max="16133" width="11.140625" style="325" customWidth="1"/>
    <col min="16134" max="16134" width="10.140625" style="325" customWidth="1"/>
    <col min="16135" max="16135" width="13.7109375" style="325" customWidth="1"/>
    <col min="16136" max="16136" width="10.140625" style="325" customWidth="1"/>
    <col min="16137" max="16137" width="11" style="325" customWidth="1"/>
    <col min="16138" max="16138" width="11.7109375" style="325" customWidth="1"/>
    <col min="16139" max="16139" width="12.28515625" style="325" customWidth="1"/>
    <col min="16140" max="16140" width="9.7109375" style="325" customWidth="1"/>
    <col min="16141" max="16141" width="12.85546875" style="325" customWidth="1"/>
    <col min="16142" max="16142" width="9.28515625" style="325" customWidth="1"/>
    <col min="16143" max="16371" width="9.140625" style="325"/>
    <col min="16372" max="16384" width="10.140625" style="325" customWidth="1"/>
  </cols>
  <sheetData>
    <row r="1" spans="1:20" s="303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300"/>
      <c r="M1" s="301"/>
      <c r="N1" s="302"/>
    </row>
    <row r="2" spans="1:20" s="304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304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310" customFormat="1" ht="15.75" customHeight="1">
      <c r="A4" s="305" t="s">
        <v>327</v>
      </c>
      <c r="B4" s="306"/>
      <c r="C4" s="307"/>
      <c r="D4" s="307"/>
      <c r="E4" s="307"/>
      <c r="F4" s="308"/>
      <c r="G4" s="308"/>
      <c r="H4" s="308"/>
      <c r="I4" s="308"/>
      <c r="J4" s="308"/>
      <c r="K4" s="309"/>
      <c r="L4" s="310">
        <f>THKL!A8</f>
        <v>6</v>
      </c>
      <c r="Q4" s="311"/>
    </row>
    <row r="5" spans="1:20" s="310" customFormat="1" ht="15.75" customHeight="1">
      <c r="A5" s="312" t="str">
        <f>L5&amp;M5&amp;". "&amp;N5</f>
        <v>Hạng mục C.II. HỆ MẶT CẦU, LAN CAN, THẢM MẶT CẦU, THOÁT NƯỚC, KHE CO GIÃN</v>
      </c>
      <c r="B5" s="306"/>
      <c r="C5" s="307"/>
      <c r="D5" s="307"/>
      <c r="E5" s="307"/>
      <c r="F5" s="308"/>
      <c r="G5" s="308"/>
      <c r="H5" s="308"/>
      <c r="I5" s="308"/>
      <c r="J5" s="308"/>
      <c r="K5" s="309"/>
      <c r="L5" s="313" t="s">
        <v>328</v>
      </c>
      <c r="M5" s="310" t="s">
        <v>117</v>
      </c>
      <c r="N5" s="313" t="s">
        <v>176</v>
      </c>
      <c r="Q5" s="311"/>
    </row>
    <row r="6" spans="1:20" s="310" customFormat="1" ht="15.75" customHeight="1">
      <c r="A6" s="312" t="str">
        <f>L6&amp;M6&amp;". "&amp;N6</f>
        <v>Mục C.II.1.1.16. Tấm cao su đàn hồi</v>
      </c>
      <c r="B6" s="306"/>
      <c r="C6" s="307"/>
      <c r="D6" s="307"/>
      <c r="E6" s="307"/>
      <c r="F6" s="308"/>
      <c r="G6" s="308"/>
      <c r="H6" s="308"/>
      <c r="I6" s="308"/>
      <c r="J6" s="308"/>
      <c r="K6" s="309"/>
      <c r="L6" s="313" t="str">
        <f>"Mục C."&amp;M5&amp;"."</f>
        <v>Mục C.II.</v>
      </c>
      <c r="M6" s="310" t="s">
        <v>360</v>
      </c>
      <c r="N6" s="314" t="str">
        <f>THKLQT!C116</f>
        <v>Tấm cao su đàn hồi</v>
      </c>
      <c r="Q6" s="311"/>
    </row>
    <row r="7" spans="1:20" s="319" customFormat="1" ht="18.75" customHeight="1">
      <c r="A7" s="698">
        <f>I17</f>
        <v>16.809999999999999</v>
      </c>
      <c r="B7" s="699"/>
      <c r="C7" s="699"/>
      <c r="D7" s="699"/>
      <c r="E7" s="315" t="str">
        <f>"("&amp;L7&amp;")"</f>
        <v>(m)</v>
      </c>
      <c r="F7" s="316"/>
      <c r="G7" s="316"/>
      <c r="H7" s="316"/>
      <c r="I7" s="316"/>
      <c r="J7" s="316"/>
      <c r="K7" s="317"/>
      <c r="L7" s="318" t="str">
        <f>THKLQT!D116</f>
        <v>m</v>
      </c>
    </row>
    <row r="8" spans="1:20" s="323" customFormat="1" ht="15" customHeight="1" thickBot="1">
      <c r="A8" s="320"/>
      <c r="B8" s="321"/>
      <c r="C8" s="321"/>
      <c r="D8" s="321"/>
      <c r="E8" s="321"/>
      <c r="F8" s="321"/>
      <c r="G8" s="321"/>
      <c r="H8" s="321"/>
      <c r="I8" s="321"/>
      <c r="J8" s="321"/>
      <c r="K8" s="321"/>
      <c r="L8" s="322"/>
      <c r="M8" s="322"/>
      <c r="N8" s="322"/>
      <c r="O8" s="322"/>
      <c r="P8" s="322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324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327"/>
      <c r="O10" s="327"/>
      <c r="P10" s="328" t="s">
        <v>72</v>
      </c>
      <c r="Q10" s="293" t="s">
        <v>71</v>
      </c>
      <c r="R10" s="328" t="s">
        <v>2</v>
      </c>
      <c r="S10" s="328" t="s">
        <v>73</v>
      </c>
      <c r="T10" s="32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327"/>
      <c r="O11" s="327"/>
      <c r="P11" s="329">
        <f>THKL!A10</f>
        <v>7</v>
      </c>
      <c r="Q11" s="330">
        <f>P11</f>
        <v>7</v>
      </c>
      <c r="R11" s="330"/>
      <c r="S11" s="330">
        <f>THKL!A6</f>
        <v>4</v>
      </c>
      <c r="T11" s="331">
        <f>THKL!A10</f>
        <v>7</v>
      </c>
    </row>
    <row r="12" spans="1:20" ht="14.25" outlineLevel="2">
      <c r="A12" s="81">
        <f>SUBTOTAL(103,$B$12:B12)</f>
        <v>1</v>
      </c>
      <c r="B12" s="78">
        <f>Q12</f>
        <v>43399</v>
      </c>
      <c r="C12" s="571" t="str">
        <f>T12</f>
        <v>Tấm cao su đàn hồi ,thân A1L</v>
      </c>
      <c r="D12" s="572"/>
      <c r="E12" s="573"/>
      <c r="F12" s="2">
        <f>P12</f>
        <v>0</v>
      </c>
      <c r="G12" s="1">
        <f>P12</f>
        <v>0</v>
      </c>
      <c r="H12" s="31">
        <f>P12</f>
        <v>0</v>
      </c>
      <c r="I12" s="107">
        <f>P12</f>
        <v>0</v>
      </c>
      <c r="J12" s="107">
        <f>P12</f>
        <v>0</v>
      </c>
      <c r="K12" s="82"/>
      <c r="N12" s="327"/>
      <c r="O12" s="327" t="s">
        <v>355</v>
      </c>
      <c r="P12" s="328">
        <v>0</v>
      </c>
      <c r="Q12" s="332">
        <v>43399</v>
      </c>
      <c r="R12" s="328"/>
      <c r="S12" s="328" t="e">
        <f>VLOOKUP($S$11,hamchuigoi3,M12,0)</f>
        <v>#VALUE!</v>
      </c>
      <c r="T12" s="333" t="str">
        <f t="shared" ref="T12:T14" si="0">$N$6&amp;" "&amp;O12</f>
        <v>Tấm cao su đàn hồi ,thân A1L</v>
      </c>
    </row>
    <row r="13" spans="1:20" ht="14.25" outlineLevel="2">
      <c r="A13" s="81">
        <f>SUBTOTAL(103,$B$12:B13)</f>
        <v>2</v>
      </c>
      <c r="B13" s="78">
        <f t="shared" ref="B13:B15" si="1">Q13</f>
        <v>43413</v>
      </c>
      <c r="C13" s="571" t="str">
        <f t="shared" ref="C13:C15" si="2">T13</f>
        <v>Tấm cao su đàn hồi ,thân A1R</v>
      </c>
      <c r="D13" s="572"/>
      <c r="E13" s="573"/>
      <c r="F13" s="2">
        <f>'[2]THKL MO M1'!$K$47</f>
        <v>7.5529999999999999</v>
      </c>
      <c r="G13" s="1">
        <f>H13</f>
        <v>7.5529999999999999</v>
      </c>
      <c r="H13" s="295">
        <v>7.5529999999999999</v>
      </c>
      <c r="I13" s="107">
        <f>G13</f>
        <v>7.5529999999999999</v>
      </c>
      <c r="J13" s="107">
        <f t="shared" ref="J13:J15" si="3">P13</f>
        <v>0</v>
      </c>
      <c r="K13" s="82"/>
      <c r="N13" s="327"/>
      <c r="O13" s="327" t="s">
        <v>356</v>
      </c>
      <c r="P13" s="328">
        <v>0</v>
      </c>
      <c r="Q13" s="332">
        <v>43413</v>
      </c>
      <c r="R13" s="328"/>
      <c r="S13" s="328" t="e">
        <f>VLOOKUP($S$11,hamchuigoi3,M13,0)</f>
        <v>#VALUE!</v>
      </c>
      <c r="T13" s="333" t="str">
        <f t="shared" si="0"/>
        <v>Tấm cao su đàn hồi ,thân A1R</v>
      </c>
    </row>
    <row r="14" spans="1:20" ht="14.25" outlineLevel="2">
      <c r="A14" s="81">
        <f>SUBTOTAL(103,$B$12:B14)</f>
        <v>3</v>
      </c>
      <c r="B14" s="78">
        <f t="shared" si="1"/>
        <v>43379</v>
      </c>
      <c r="C14" s="571" t="str">
        <f t="shared" si="2"/>
        <v>Tấm cao su đàn hồi ,thân A2L</v>
      </c>
      <c r="D14" s="572"/>
      <c r="E14" s="573"/>
      <c r="F14" s="2">
        <f t="shared" ref="F14" si="4">P14</f>
        <v>0</v>
      </c>
      <c r="G14" s="1">
        <f t="shared" ref="G14:G15" si="5">P14</f>
        <v>0</v>
      </c>
      <c r="H14" s="31">
        <f t="shared" ref="H14:H15" si="6">P14</f>
        <v>0</v>
      </c>
      <c r="I14" s="107">
        <f t="shared" ref="I14:I15" si="7">P14</f>
        <v>0</v>
      </c>
      <c r="J14" s="107">
        <f t="shared" si="3"/>
        <v>0</v>
      </c>
      <c r="K14" s="82"/>
      <c r="N14" s="327"/>
      <c r="O14" s="327" t="s">
        <v>357</v>
      </c>
      <c r="P14" s="328">
        <v>0</v>
      </c>
      <c r="Q14" s="332">
        <v>43379</v>
      </c>
      <c r="R14" s="328"/>
      <c r="S14" s="328" t="e">
        <f>VLOOKUP($S$11,hamchuigoi3,M14,0)</f>
        <v>#VALUE!</v>
      </c>
      <c r="T14" s="333" t="str">
        <f t="shared" si="0"/>
        <v>Tấm cao su đàn hồi ,thân A2L</v>
      </c>
    </row>
    <row r="15" spans="1:20" ht="14.25" outlineLevel="2">
      <c r="A15" s="81">
        <f>SUBTOTAL(103,$B$12:B15)</f>
        <v>4</v>
      </c>
      <c r="B15" s="78">
        <f t="shared" si="1"/>
        <v>43381</v>
      </c>
      <c r="C15" s="571" t="str">
        <f t="shared" si="2"/>
        <v>Tấm cao su đàn hồi ,thân A2R</v>
      </c>
      <c r="D15" s="572"/>
      <c r="E15" s="573"/>
      <c r="F15" s="2">
        <f>'[2]THKL MO M2'!$K$47</f>
        <v>9.2609999999999992</v>
      </c>
      <c r="G15" s="1">
        <f t="shared" si="5"/>
        <v>9.2609999999999992</v>
      </c>
      <c r="H15" s="295">
        <f t="shared" si="6"/>
        <v>9.2609999999999992</v>
      </c>
      <c r="I15" s="107">
        <f t="shared" si="7"/>
        <v>9.2609999999999992</v>
      </c>
      <c r="J15" s="107">
        <f t="shared" si="3"/>
        <v>9.2609999999999992</v>
      </c>
      <c r="K15" s="82"/>
      <c r="N15" s="327"/>
      <c r="O15" s="327" t="s">
        <v>358</v>
      </c>
      <c r="P15" s="328">
        <v>9.2609999999999992</v>
      </c>
      <c r="Q15" s="332">
        <v>43381</v>
      </c>
      <c r="R15" s="328"/>
      <c r="S15" s="328" t="e">
        <f>VLOOKUP($S$11,hamchuigoi3,M15,0)</f>
        <v>#VALUE!</v>
      </c>
      <c r="T15" s="333" t="str">
        <f>$N$6&amp;" "&amp;O15</f>
        <v>Tấm cao su đàn hồi ,thân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327"/>
      <c r="O16" s="327"/>
      <c r="P16" s="328"/>
      <c r="Q16" s="332"/>
      <c r="R16" s="328"/>
      <c r="S16" s="328"/>
      <c r="T16" s="333"/>
    </row>
    <row r="17" spans="1:20" thickBot="1">
      <c r="A17" s="574" t="s">
        <v>4</v>
      </c>
      <c r="B17" s="575"/>
      <c r="C17" s="575"/>
      <c r="D17" s="575"/>
      <c r="E17" s="575"/>
      <c r="F17" s="79">
        <f t="shared" ref="F17:I17" si="8">ROUND(SUM(F12:F16),2)</f>
        <v>16.809999999999999</v>
      </c>
      <c r="G17" s="79">
        <f t="shared" si="8"/>
        <v>16.809999999999999</v>
      </c>
      <c r="H17" s="79">
        <f t="shared" si="8"/>
        <v>16.809999999999999</v>
      </c>
      <c r="I17" s="79">
        <f t="shared" si="8"/>
        <v>16.809999999999999</v>
      </c>
      <c r="J17" s="79">
        <f>'[5]Book 5-1a'!$K$343</f>
        <v>13.4</v>
      </c>
      <c r="K17" s="80"/>
      <c r="N17" s="327"/>
      <c r="O17" s="327"/>
      <c r="P17" s="334">
        <f>SUM(P12:P12)</f>
        <v>0</v>
      </c>
    </row>
    <row r="18" spans="1:20" s="339" customFormat="1" ht="18" customHeight="1" thickTop="1" thickBot="1">
      <c r="A18" s="294"/>
      <c r="B18" s="294"/>
      <c r="C18" s="294"/>
      <c r="D18" s="294"/>
      <c r="E18" s="294"/>
      <c r="F18" s="116"/>
      <c r="G18" s="116"/>
      <c r="H18" s="116"/>
      <c r="I18" s="116"/>
      <c r="J18" s="116"/>
      <c r="K18" s="335"/>
      <c r="L18" s="325"/>
      <c r="M18" s="325"/>
      <c r="N18" s="327"/>
      <c r="O18" s="327"/>
      <c r="P18" s="336"/>
      <c r="Q18" s="337"/>
      <c r="R18" s="337"/>
      <c r="S18" s="337"/>
      <c r="T18" s="338"/>
    </row>
    <row r="19" spans="1:20" s="326" customFormat="1" ht="13.9" customHeight="1" thickTop="1">
      <c r="A19" s="693" t="s">
        <v>68</v>
      </c>
      <c r="B19" s="694"/>
      <c r="C19" s="694"/>
      <c r="D19" s="694"/>
      <c r="E19" s="694"/>
      <c r="F19" s="695" t="s">
        <v>69</v>
      </c>
      <c r="G19" s="695"/>
      <c r="H19" s="695"/>
      <c r="I19" s="696"/>
      <c r="J19" s="696"/>
      <c r="K19" s="697"/>
      <c r="L19" s="325"/>
      <c r="M19" s="325"/>
      <c r="N19" s="325"/>
      <c r="O19" s="325"/>
      <c r="P19" s="325"/>
    </row>
    <row r="20" spans="1:20" s="326" customFormat="1" ht="13.9" customHeight="1">
      <c r="A20" s="663" t="s">
        <v>5</v>
      </c>
      <c r="B20" s="664"/>
      <c r="C20" s="664"/>
      <c r="D20" s="664"/>
      <c r="E20" s="664"/>
      <c r="F20" s="665" t="s">
        <v>6</v>
      </c>
      <c r="G20" s="665"/>
      <c r="H20" s="665"/>
      <c r="I20" s="666"/>
      <c r="J20" s="666"/>
      <c r="K20" s="667"/>
      <c r="L20" s="325"/>
      <c r="M20" s="325"/>
      <c r="N20" s="325"/>
      <c r="O20" s="325"/>
      <c r="P20" s="325"/>
    </row>
    <row r="21" spans="1:20" s="326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325"/>
      <c r="M21" s="325"/>
      <c r="N21" s="325"/>
      <c r="O21" s="325"/>
      <c r="P21" s="325"/>
    </row>
    <row r="22" spans="1:20" s="326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325"/>
      <c r="M22" s="325"/>
      <c r="N22" s="325"/>
      <c r="O22" s="325"/>
      <c r="P22" s="325"/>
    </row>
    <row r="23" spans="1:20" s="326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325"/>
      <c r="M23" s="325"/>
      <c r="N23" s="325"/>
      <c r="O23" s="325"/>
      <c r="P23" s="325"/>
    </row>
    <row r="24" spans="1:20" s="326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325"/>
      <c r="M24" s="325"/>
      <c r="N24" s="325"/>
      <c r="O24" s="325"/>
      <c r="P24" s="325"/>
    </row>
    <row r="25" spans="1:20" s="326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325"/>
      <c r="M25" s="325"/>
      <c r="N25" s="325"/>
      <c r="O25" s="325"/>
      <c r="P25" s="325"/>
    </row>
    <row r="26" spans="1:20" s="326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325"/>
      <c r="M26" s="325"/>
      <c r="N26" s="325"/>
      <c r="O26" s="325"/>
      <c r="P26" s="325"/>
    </row>
    <row r="27" spans="1:20" s="326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325"/>
      <c r="M27" s="325"/>
      <c r="N27" s="325"/>
      <c r="O27" s="325"/>
      <c r="P27" s="325"/>
    </row>
    <row r="28" spans="1:20" s="339" customFormat="1" ht="18" customHeight="1" thickTop="1">
      <c r="A28" s="294"/>
      <c r="B28" s="294"/>
      <c r="C28" s="294"/>
      <c r="D28" s="294"/>
      <c r="E28" s="294"/>
      <c r="F28" s="116"/>
      <c r="G28" s="116"/>
      <c r="H28" s="116"/>
      <c r="I28" s="116"/>
      <c r="J28" s="116"/>
      <c r="K28" s="335"/>
      <c r="L28" s="327"/>
      <c r="M28" s="327"/>
      <c r="N28" s="327"/>
      <c r="O28" s="327"/>
      <c r="P28" s="336"/>
      <c r="Q28" s="337"/>
      <c r="R28" s="337"/>
      <c r="S28" s="337"/>
      <c r="T28" s="338"/>
    </row>
    <row r="29" spans="1:20" s="303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300"/>
      <c r="M29" s="301"/>
      <c r="N29" s="302"/>
    </row>
    <row r="30" spans="1:20" s="304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339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340"/>
      <c r="M31" s="341"/>
      <c r="N31" s="340"/>
      <c r="O31" s="340"/>
      <c r="P31" s="340"/>
      <c r="Q31" s="340"/>
      <c r="R31" s="340"/>
      <c r="S31" s="340"/>
      <c r="T31" s="340"/>
    </row>
    <row r="32" spans="1:20" s="339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340"/>
      <c r="M32" s="341"/>
      <c r="N32" s="340"/>
      <c r="O32" s="340"/>
      <c r="P32" s="340"/>
      <c r="Q32" s="340"/>
      <c r="R32" s="340"/>
      <c r="S32" s="340"/>
      <c r="T32" s="340"/>
    </row>
    <row r="33" spans="1:20" s="339" customFormat="1" ht="15.95" customHeight="1">
      <c r="A33" s="680" t="str">
        <f>A4</f>
        <v>PHẦN C.: CẦU VƯỢT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2"/>
      <c r="L33" s="340"/>
      <c r="M33" s="341"/>
      <c r="N33" s="340"/>
      <c r="O33" s="340"/>
      <c r="P33" s="340"/>
      <c r="Q33" s="340"/>
      <c r="R33" s="340"/>
      <c r="S33" s="340"/>
      <c r="T33" s="340"/>
    </row>
    <row r="34" spans="1:20" s="339" customFormat="1" ht="15.95" customHeight="1">
      <c r="A34" s="342" t="str">
        <f>A5</f>
        <v>Hạng mục C.II. HỆ MẶT CẦU, LAN CAN, THẢM MẶT CẦU, THOÁT NƯỚC, KHE CO GIÃN</v>
      </c>
      <c r="B34" s="343"/>
      <c r="C34" s="344"/>
      <c r="D34" s="344"/>
      <c r="E34" s="345"/>
      <c r="F34" s="346"/>
      <c r="G34" s="346"/>
      <c r="H34" s="346"/>
      <c r="I34" s="346"/>
      <c r="J34" s="346"/>
      <c r="K34" s="347"/>
      <c r="L34" s="340"/>
      <c r="M34" s="341"/>
      <c r="N34" s="340"/>
      <c r="O34" s="340"/>
      <c r="P34" s="340"/>
      <c r="Q34" s="340"/>
      <c r="R34" s="340"/>
      <c r="S34" s="340"/>
      <c r="T34" s="340"/>
    </row>
    <row r="35" spans="1:20" s="339" customFormat="1" ht="15.95" customHeight="1">
      <c r="A35" s="342" t="str">
        <f>A6</f>
        <v>Mục C.II.1.1.16. Tấm cao su đàn hồi</v>
      </c>
      <c r="B35" s="343"/>
      <c r="C35" s="344"/>
      <c r="D35" s="344"/>
      <c r="E35" s="345"/>
      <c r="F35" s="346"/>
      <c r="G35" s="346"/>
      <c r="H35" s="346"/>
      <c r="I35" s="346"/>
      <c r="J35" s="346"/>
      <c r="K35" s="347"/>
      <c r="L35" s="340"/>
      <c r="M35" s="341"/>
      <c r="N35" s="340"/>
      <c r="O35" s="340"/>
      <c r="P35" s="340"/>
      <c r="Q35" s="340"/>
      <c r="R35" s="340"/>
      <c r="S35" s="340"/>
      <c r="T35" s="340"/>
    </row>
    <row r="36" spans="1:20" s="339" customFormat="1" ht="15.95" customHeight="1">
      <c r="A36" s="683">
        <f>A7</f>
        <v>16.809999999999999</v>
      </c>
      <c r="B36" s="684"/>
      <c r="C36" s="684"/>
      <c r="D36" s="684"/>
      <c r="E36" s="348" t="str">
        <f>E7</f>
        <v>(m)</v>
      </c>
      <c r="F36" s="349"/>
      <c r="G36" s="349"/>
      <c r="H36" s="349"/>
      <c r="I36" s="349"/>
      <c r="J36" s="349"/>
      <c r="K36" s="350"/>
      <c r="L36" s="351"/>
      <c r="M36" s="352"/>
      <c r="N36" s="353"/>
      <c r="P36" s="353"/>
    </row>
    <row r="37" spans="1:20" s="326" customFormat="1" ht="13.5" customHeight="1" thickBot="1">
      <c r="A37" s="354"/>
      <c r="B37" s="354"/>
      <c r="C37" s="354"/>
      <c r="D37" s="354"/>
      <c r="E37" s="354"/>
      <c r="F37" s="355"/>
      <c r="G37" s="355"/>
      <c r="H37" s="355"/>
      <c r="I37" s="355"/>
      <c r="J37" s="355"/>
      <c r="K37" s="356"/>
      <c r="L37" s="357"/>
      <c r="M37" s="358"/>
      <c r="N37" s="325"/>
      <c r="O37" s="325"/>
      <c r="P37" s="325"/>
      <c r="R37" s="325"/>
      <c r="S37" s="325"/>
      <c r="T37" s="325"/>
    </row>
    <row r="38" spans="1:20" s="326" customFormat="1" ht="21.6" customHeight="1" thickTop="1">
      <c r="A38" s="685" t="s">
        <v>3</v>
      </c>
      <c r="B38" s="687" t="s">
        <v>84</v>
      </c>
      <c r="C38" s="687"/>
      <c r="D38" s="689" t="s">
        <v>96</v>
      </c>
      <c r="E38" s="689"/>
      <c r="F38" s="689"/>
      <c r="G38" s="689"/>
      <c r="H38" s="687" t="s">
        <v>89</v>
      </c>
      <c r="I38" s="687"/>
      <c r="J38" s="687" t="s">
        <v>85</v>
      </c>
      <c r="K38" s="691"/>
      <c r="L38" s="359"/>
      <c r="M38" s="360"/>
      <c r="N38" s="360"/>
      <c r="O38" s="361"/>
      <c r="P38" s="362"/>
    </row>
    <row r="39" spans="1:20" s="326" customFormat="1" ht="21.6" customHeight="1">
      <c r="A39" s="686"/>
      <c r="B39" s="688"/>
      <c r="C39" s="688"/>
      <c r="D39" s="690"/>
      <c r="E39" s="690"/>
      <c r="F39" s="690"/>
      <c r="G39" s="690"/>
      <c r="H39" s="688"/>
      <c r="I39" s="688"/>
      <c r="J39" s="688"/>
      <c r="K39" s="692"/>
      <c r="L39" s="359"/>
      <c r="M39" s="363"/>
      <c r="N39" s="363"/>
      <c r="O39" s="364"/>
      <c r="P39" s="365"/>
    </row>
    <row r="40" spans="1:20" s="326" customFormat="1" ht="17.100000000000001" customHeight="1">
      <c r="A40" s="366">
        <v>1</v>
      </c>
      <c r="B40" s="676" t="str">
        <f>"Tháng "&amp;IF(L40&lt;10,0&amp;L40&amp;"/"&amp;M40,L40&amp;"/"&amp;M40)</f>
        <v>Tháng 08/2017</v>
      </c>
      <c r="C40" s="676"/>
      <c r="D40" s="677" t="str">
        <f>N6</f>
        <v>Tấm cao su đàn hồi</v>
      </c>
      <c r="E40" s="677"/>
      <c r="F40" s="677"/>
      <c r="G40" s="677"/>
      <c r="H40" s="678">
        <f t="shared" ref="H40:H63" si="9">+SUMIFS($I$12:$I$16,$B$12:$B$16,"&gt;="&amp;$O40,$B$12:$B$16,"&lt;="&amp;$P40)</f>
        <v>0</v>
      </c>
      <c r="I40" s="678"/>
      <c r="J40" s="676"/>
      <c r="K40" s="679"/>
      <c r="L40" s="359">
        <v>8</v>
      </c>
      <c r="M40" s="367">
        <v>2017</v>
      </c>
      <c r="N40" s="363"/>
      <c r="O40" s="368">
        <f t="shared" ref="O40:O64" si="10">DATE(M40,L40,1)</f>
        <v>42948</v>
      </c>
      <c r="P40" s="368">
        <f t="shared" ref="P40:P64" si="11">DATE(M40,L40+1,0)</f>
        <v>42978</v>
      </c>
    </row>
    <row r="41" spans="1:20" s="326" customFormat="1" ht="17.100000000000001" customHeight="1">
      <c r="A41" s="369">
        <v>2</v>
      </c>
      <c r="B41" s="668" t="str">
        <f t="shared" ref="B41:B65" si="12">"Tháng "&amp;IF(L41&lt;10,0&amp;L41&amp;"/"&amp;M41,L41&amp;"/"&amp;M41)</f>
        <v>Tháng 09/2017</v>
      </c>
      <c r="C41" s="668"/>
      <c r="D41" s="669" t="str">
        <f>D40</f>
        <v>Tấm cao su đàn hồi</v>
      </c>
      <c r="E41" s="669"/>
      <c r="F41" s="669"/>
      <c r="G41" s="669"/>
      <c r="H41" s="670">
        <f t="shared" si="9"/>
        <v>0</v>
      </c>
      <c r="I41" s="670"/>
      <c r="J41" s="668"/>
      <c r="K41" s="671"/>
      <c r="L41" s="359">
        <v>9</v>
      </c>
      <c r="M41" s="367">
        <v>2017</v>
      </c>
      <c r="N41" s="359"/>
      <c r="O41" s="368">
        <f t="shared" si="10"/>
        <v>42979</v>
      </c>
      <c r="P41" s="368">
        <f t="shared" si="11"/>
        <v>43008</v>
      </c>
    </row>
    <row r="42" spans="1:20" s="326" customFormat="1" ht="17.100000000000001" customHeight="1">
      <c r="A42" s="369">
        <f>A41+1</f>
        <v>3</v>
      </c>
      <c r="B42" s="668" t="str">
        <f t="shared" si="12"/>
        <v>Tháng 10/2017</v>
      </c>
      <c r="C42" s="668"/>
      <c r="D42" s="669" t="str">
        <f t="shared" ref="D42:D64" si="13">D41</f>
        <v>Tấm cao su đàn hồi</v>
      </c>
      <c r="E42" s="669"/>
      <c r="F42" s="669"/>
      <c r="G42" s="669"/>
      <c r="H42" s="670">
        <f t="shared" si="9"/>
        <v>0</v>
      </c>
      <c r="I42" s="670"/>
      <c r="J42" s="668"/>
      <c r="K42" s="671"/>
      <c r="L42" s="359">
        <v>10</v>
      </c>
      <c r="M42" s="367">
        <v>2017</v>
      </c>
      <c r="N42" s="359"/>
      <c r="O42" s="368">
        <f t="shared" si="10"/>
        <v>43009</v>
      </c>
      <c r="P42" s="368">
        <f t="shared" si="11"/>
        <v>43039</v>
      </c>
    </row>
    <row r="43" spans="1:20" s="326" customFormat="1" ht="17.100000000000001" customHeight="1">
      <c r="A43" s="369">
        <f t="shared" ref="A43:A65" si="14">A42+1</f>
        <v>4</v>
      </c>
      <c r="B43" s="668" t="str">
        <f t="shared" si="12"/>
        <v>Tháng 11/2017</v>
      </c>
      <c r="C43" s="668"/>
      <c r="D43" s="669" t="str">
        <f t="shared" si="13"/>
        <v>Tấm cao su đàn hồi</v>
      </c>
      <c r="E43" s="669"/>
      <c r="F43" s="669"/>
      <c r="G43" s="669"/>
      <c r="H43" s="670">
        <f t="shared" si="9"/>
        <v>0</v>
      </c>
      <c r="I43" s="670"/>
      <c r="J43" s="668"/>
      <c r="K43" s="671"/>
      <c r="L43" s="359">
        <v>11</v>
      </c>
      <c r="M43" s="367">
        <v>2017</v>
      </c>
      <c r="N43" s="359"/>
      <c r="O43" s="368">
        <f t="shared" si="10"/>
        <v>43040</v>
      </c>
      <c r="P43" s="368">
        <f t="shared" si="11"/>
        <v>43069</v>
      </c>
    </row>
    <row r="44" spans="1:20" s="326" customFormat="1" ht="17.100000000000001" customHeight="1">
      <c r="A44" s="369">
        <f t="shared" si="14"/>
        <v>5</v>
      </c>
      <c r="B44" s="668" t="str">
        <f t="shared" si="12"/>
        <v>Tháng 12/2017</v>
      </c>
      <c r="C44" s="668"/>
      <c r="D44" s="669" t="str">
        <f t="shared" si="13"/>
        <v>Tấm cao su đàn hồi</v>
      </c>
      <c r="E44" s="669"/>
      <c r="F44" s="669"/>
      <c r="G44" s="669"/>
      <c r="H44" s="670">
        <f t="shared" si="9"/>
        <v>0</v>
      </c>
      <c r="I44" s="670"/>
      <c r="J44" s="668"/>
      <c r="K44" s="671"/>
      <c r="L44" s="359">
        <v>12</v>
      </c>
      <c r="M44" s="367">
        <v>2017</v>
      </c>
      <c r="N44" s="359"/>
      <c r="O44" s="368">
        <f t="shared" si="10"/>
        <v>43070</v>
      </c>
      <c r="P44" s="368">
        <f t="shared" si="11"/>
        <v>43100</v>
      </c>
    </row>
    <row r="45" spans="1:20" s="326" customFormat="1" ht="17.100000000000001" customHeight="1">
      <c r="A45" s="369">
        <f t="shared" si="14"/>
        <v>6</v>
      </c>
      <c r="B45" s="668" t="str">
        <f t="shared" si="12"/>
        <v>Tháng 01/2018</v>
      </c>
      <c r="C45" s="668"/>
      <c r="D45" s="669" t="str">
        <f t="shared" si="13"/>
        <v>Tấm cao su đàn hồi</v>
      </c>
      <c r="E45" s="669"/>
      <c r="F45" s="669"/>
      <c r="G45" s="669"/>
      <c r="H45" s="670">
        <f t="shared" si="9"/>
        <v>0</v>
      </c>
      <c r="I45" s="670"/>
      <c r="J45" s="668"/>
      <c r="K45" s="671"/>
      <c r="L45" s="359">
        <v>1</v>
      </c>
      <c r="M45" s="367">
        <v>2018</v>
      </c>
      <c r="N45" s="359"/>
      <c r="O45" s="368">
        <f t="shared" si="10"/>
        <v>43101</v>
      </c>
      <c r="P45" s="368">
        <f t="shared" si="11"/>
        <v>43131</v>
      </c>
    </row>
    <row r="46" spans="1:20" s="326" customFormat="1" ht="17.100000000000001" customHeight="1">
      <c r="A46" s="369">
        <f t="shared" si="14"/>
        <v>7</v>
      </c>
      <c r="B46" s="668" t="str">
        <f t="shared" si="12"/>
        <v>Tháng 02/2018</v>
      </c>
      <c r="C46" s="668"/>
      <c r="D46" s="669" t="str">
        <f t="shared" si="13"/>
        <v>Tấm cao su đàn hồi</v>
      </c>
      <c r="E46" s="669"/>
      <c r="F46" s="669"/>
      <c r="G46" s="669"/>
      <c r="H46" s="670">
        <f t="shared" si="9"/>
        <v>0</v>
      </c>
      <c r="I46" s="670"/>
      <c r="J46" s="668"/>
      <c r="K46" s="671"/>
      <c r="L46" s="359">
        <v>2</v>
      </c>
      <c r="M46" s="367">
        <v>2018</v>
      </c>
      <c r="N46" s="359"/>
      <c r="O46" s="368">
        <f t="shared" si="10"/>
        <v>43132</v>
      </c>
      <c r="P46" s="368">
        <f t="shared" si="11"/>
        <v>43159</v>
      </c>
    </row>
    <row r="47" spans="1:20" s="326" customFormat="1" ht="17.100000000000001" customHeight="1">
      <c r="A47" s="369">
        <f t="shared" si="14"/>
        <v>8</v>
      </c>
      <c r="B47" s="668" t="str">
        <f t="shared" si="12"/>
        <v>Tháng 03/2018</v>
      </c>
      <c r="C47" s="668"/>
      <c r="D47" s="669" t="str">
        <f t="shared" si="13"/>
        <v>Tấm cao su đàn hồi</v>
      </c>
      <c r="E47" s="669"/>
      <c r="F47" s="669"/>
      <c r="G47" s="669"/>
      <c r="H47" s="670">
        <f t="shared" si="9"/>
        <v>0</v>
      </c>
      <c r="I47" s="670"/>
      <c r="J47" s="668"/>
      <c r="K47" s="671"/>
      <c r="L47" s="359">
        <v>3</v>
      </c>
      <c r="M47" s="367">
        <v>2018</v>
      </c>
      <c r="N47" s="359"/>
      <c r="O47" s="368">
        <f t="shared" si="10"/>
        <v>43160</v>
      </c>
      <c r="P47" s="368">
        <f t="shared" si="11"/>
        <v>43190</v>
      </c>
    </row>
    <row r="48" spans="1:20" s="326" customFormat="1" ht="17.100000000000001" customHeight="1">
      <c r="A48" s="369">
        <f t="shared" si="14"/>
        <v>9</v>
      </c>
      <c r="B48" s="668" t="str">
        <f t="shared" si="12"/>
        <v>Tháng 04/2018</v>
      </c>
      <c r="C48" s="668"/>
      <c r="D48" s="669" t="str">
        <f t="shared" si="13"/>
        <v>Tấm cao su đàn hồi</v>
      </c>
      <c r="E48" s="669"/>
      <c r="F48" s="669"/>
      <c r="G48" s="669"/>
      <c r="H48" s="670">
        <f t="shared" si="9"/>
        <v>0</v>
      </c>
      <c r="I48" s="670"/>
      <c r="J48" s="668"/>
      <c r="K48" s="671"/>
      <c r="L48" s="359">
        <v>4</v>
      </c>
      <c r="M48" s="367">
        <v>2018</v>
      </c>
      <c r="N48" s="359"/>
      <c r="O48" s="368">
        <f t="shared" si="10"/>
        <v>43191</v>
      </c>
      <c r="P48" s="368">
        <f t="shared" si="11"/>
        <v>43220</v>
      </c>
    </row>
    <row r="49" spans="1:16" s="326" customFormat="1" ht="17.100000000000001" customHeight="1">
      <c r="A49" s="369">
        <f t="shared" si="14"/>
        <v>10</v>
      </c>
      <c r="B49" s="668" t="str">
        <f t="shared" si="12"/>
        <v>Tháng 05/2018</v>
      </c>
      <c r="C49" s="668"/>
      <c r="D49" s="669" t="str">
        <f t="shared" si="13"/>
        <v>Tấm cao su đàn hồi</v>
      </c>
      <c r="E49" s="669"/>
      <c r="F49" s="669"/>
      <c r="G49" s="669"/>
      <c r="H49" s="670">
        <f t="shared" si="9"/>
        <v>0</v>
      </c>
      <c r="I49" s="670"/>
      <c r="J49" s="668"/>
      <c r="K49" s="671"/>
      <c r="L49" s="359">
        <v>5</v>
      </c>
      <c r="M49" s="367">
        <v>2018</v>
      </c>
      <c r="N49" s="359"/>
      <c r="O49" s="368">
        <f t="shared" si="10"/>
        <v>43221</v>
      </c>
      <c r="P49" s="368">
        <f t="shared" si="11"/>
        <v>43251</v>
      </c>
    </row>
    <row r="50" spans="1:16" s="326" customFormat="1" ht="17.100000000000001" customHeight="1">
      <c r="A50" s="369">
        <f t="shared" si="14"/>
        <v>11</v>
      </c>
      <c r="B50" s="668" t="str">
        <f t="shared" si="12"/>
        <v>Tháng 06/2018</v>
      </c>
      <c r="C50" s="668"/>
      <c r="D50" s="669" t="str">
        <f t="shared" si="13"/>
        <v>Tấm cao su đàn hồi</v>
      </c>
      <c r="E50" s="669"/>
      <c r="F50" s="669"/>
      <c r="G50" s="669"/>
      <c r="H50" s="670">
        <f t="shared" si="9"/>
        <v>0</v>
      </c>
      <c r="I50" s="670"/>
      <c r="J50" s="668"/>
      <c r="K50" s="671"/>
      <c r="L50" s="359">
        <v>6</v>
      </c>
      <c r="M50" s="367">
        <v>2018</v>
      </c>
      <c r="N50" s="359"/>
      <c r="O50" s="368">
        <f t="shared" si="10"/>
        <v>43252</v>
      </c>
      <c r="P50" s="368">
        <f t="shared" si="11"/>
        <v>43281</v>
      </c>
    </row>
    <row r="51" spans="1:16" s="326" customFormat="1" ht="17.100000000000001" customHeight="1">
      <c r="A51" s="369">
        <f t="shared" si="14"/>
        <v>12</v>
      </c>
      <c r="B51" s="668" t="str">
        <f t="shared" si="12"/>
        <v>Tháng 07/2018</v>
      </c>
      <c r="C51" s="668"/>
      <c r="D51" s="669" t="str">
        <f t="shared" si="13"/>
        <v>Tấm cao su đàn hồi</v>
      </c>
      <c r="E51" s="669"/>
      <c r="F51" s="669"/>
      <c r="G51" s="669"/>
      <c r="H51" s="670">
        <f t="shared" si="9"/>
        <v>0</v>
      </c>
      <c r="I51" s="670"/>
      <c r="J51" s="668"/>
      <c r="K51" s="671"/>
      <c r="L51" s="359">
        <v>7</v>
      </c>
      <c r="M51" s="367">
        <v>2018</v>
      </c>
      <c r="N51" s="359"/>
      <c r="O51" s="368">
        <f t="shared" si="10"/>
        <v>43282</v>
      </c>
      <c r="P51" s="368">
        <f t="shared" si="11"/>
        <v>43312</v>
      </c>
    </row>
    <row r="52" spans="1:16" s="326" customFormat="1" ht="17.100000000000001" customHeight="1">
      <c r="A52" s="369">
        <f t="shared" si="14"/>
        <v>13</v>
      </c>
      <c r="B52" s="668" t="str">
        <f t="shared" si="12"/>
        <v>Tháng 08/2018</v>
      </c>
      <c r="C52" s="668"/>
      <c r="D52" s="669" t="str">
        <f t="shared" si="13"/>
        <v>Tấm cao su đàn hồi</v>
      </c>
      <c r="E52" s="669"/>
      <c r="F52" s="669"/>
      <c r="G52" s="669"/>
      <c r="H52" s="670">
        <f t="shared" si="9"/>
        <v>0</v>
      </c>
      <c r="I52" s="670"/>
      <c r="J52" s="668"/>
      <c r="K52" s="671"/>
      <c r="L52" s="359">
        <v>8</v>
      </c>
      <c r="M52" s="367">
        <v>2018</v>
      </c>
      <c r="N52" s="359"/>
      <c r="O52" s="368">
        <f t="shared" si="10"/>
        <v>43313</v>
      </c>
      <c r="P52" s="368">
        <f t="shared" si="11"/>
        <v>43343</v>
      </c>
    </row>
    <row r="53" spans="1:16" s="326" customFormat="1" ht="17.100000000000001" customHeight="1">
      <c r="A53" s="369">
        <f t="shared" si="14"/>
        <v>14</v>
      </c>
      <c r="B53" s="668" t="str">
        <f t="shared" si="12"/>
        <v>Tháng 09/2018</v>
      </c>
      <c r="C53" s="668"/>
      <c r="D53" s="669" t="str">
        <f t="shared" si="13"/>
        <v>Tấm cao su đàn hồi</v>
      </c>
      <c r="E53" s="669"/>
      <c r="F53" s="669"/>
      <c r="G53" s="669"/>
      <c r="H53" s="670">
        <f t="shared" si="9"/>
        <v>0</v>
      </c>
      <c r="I53" s="670"/>
      <c r="J53" s="668"/>
      <c r="K53" s="671"/>
      <c r="L53" s="359">
        <v>9</v>
      </c>
      <c r="M53" s="367">
        <v>2018</v>
      </c>
      <c r="N53" s="359"/>
      <c r="O53" s="368">
        <f t="shared" si="10"/>
        <v>43344</v>
      </c>
      <c r="P53" s="368">
        <f t="shared" si="11"/>
        <v>43373</v>
      </c>
    </row>
    <row r="54" spans="1:16" s="326" customFormat="1" ht="17.100000000000001" customHeight="1">
      <c r="A54" s="369">
        <f t="shared" si="14"/>
        <v>15</v>
      </c>
      <c r="B54" s="668" t="str">
        <f t="shared" si="12"/>
        <v>Tháng 10/2018</v>
      </c>
      <c r="C54" s="668"/>
      <c r="D54" s="669" t="str">
        <f t="shared" si="13"/>
        <v>Tấm cao su đàn hồi</v>
      </c>
      <c r="E54" s="669"/>
      <c r="F54" s="669"/>
      <c r="G54" s="669"/>
      <c r="H54" s="670">
        <f t="shared" si="9"/>
        <v>9.2609999999999992</v>
      </c>
      <c r="I54" s="670"/>
      <c r="J54" s="668"/>
      <c r="K54" s="671"/>
      <c r="L54" s="359">
        <v>10</v>
      </c>
      <c r="M54" s="367">
        <v>2018</v>
      </c>
      <c r="N54" s="359"/>
      <c r="O54" s="368">
        <f t="shared" si="10"/>
        <v>43374</v>
      </c>
      <c r="P54" s="368">
        <f t="shared" si="11"/>
        <v>43404</v>
      </c>
    </row>
    <row r="55" spans="1:16" s="326" customFormat="1" ht="17.100000000000001" customHeight="1">
      <c r="A55" s="369">
        <f t="shared" si="14"/>
        <v>16</v>
      </c>
      <c r="B55" s="668" t="str">
        <f t="shared" si="12"/>
        <v>Tháng 11/2018</v>
      </c>
      <c r="C55" s="668"/>
      <c r="D55" s="669" t="str">
        <f t="shared" si="13"/>
        <v>Tấm cao su đàn hồi</v>
      </c>
      <c r="E55" s="669"/>
      <c r="F55" s="669"/>
      <c r="G55" s="669"/>
      <c r="H55" s="670">
        <f t="shared" si="9"/>
        <v>7.5529999999999999</v>
      </c>
      <c r="I55" s="670"/>
      <c r="J55" s="668"/>
      <c r="K55" s="671"/>
      <c r="L55" s="359">
        <v>11</v>
      </c>
      <c r="M55" s="367">
        <v>2018</v>
      </c>
      <c r="N55" s="359"/>
      <c r="O55" s="368">
        <f t="shared" si="10"/>
        <v>43405</v>
      </c>
      <c r="P55" s="368">
        <f t="shared" si="11"/>
        <v>43434</v>
      </c>
    </row>
    <row r="56" spans="1:16" s="326" customFormat="1" ht="17.100000000000001" customHeight="1">
      <c r="A56" s="369">
        <f t="shared" si="14"/>
        <v>17</v>
      </c>
      <c r="B56" s="668" t="str">
        <f t="shared" si="12"/>
        <v>Tháng 12/2018</v>
      </c>
      <c r="C56" s="668"/>
      <c r="D56" s="669" t="str">
        <f t="shared" si="13"/>
        <v>Tấm cao su đàn hồi</v>
      </c>
      <c r="E56" s="669"/>
      <c r="F56" s="669"/>
      <c r="G56" s="669"/>
      <c r="H56" s="670">
        <f t="shared" si="9"/>
        <v>0</v>
      </c>
      <c r="I56" s="670"/>
      <c r="J56" s="668"/>
      <c r="K56" s="671"/>
      <c r="L56" s="359">
        <v>12</v>
      </c>
      <c r="M56" s="367">
        <v>2018</v>
      </c>
      <c r="N56" s="359"/>
      <c r="O56" s="368">
        <f t="shared" si="10"/>
        <v>43435</v>
      </c>
      <c r="P56" s="368">
        <f t="shared" si="11"/>
        <v>43465</v>
      </c>
    </row>
    <row r="57" spans="1:16" s="326" customFormat="1" ht="17.100000000000001" customHeight="1">
      <c r="A57" s="369">
        <f t="shared" si="14"/>
        <v>18</v>
      </c>
      <c r="B57" s="668" t="str">
        <f t="shared" si="12"/>
        <v>Tháng 01/2019</v>
      </c>
      <c r="C57" s="668"/>
      <c r="D57" s="669" t="str">
        <f t="shared" si="13"/>
        <v>Tấm cao su đàn hồi</v>
      </c>
      <c r="E57" s="669"/>
      <c r="F57" s="669"/>
      <c r="G57" s="669"/>
      <c r="H57" s="670">
        <f t="shared" si="9"/>
        <v>0</v>
      </c>
      <c r="I57" s="670"/>
      <c r="J57" s="668"/>
      <c r="K57" s="671"/>
      <c r="L57" s="359">
        <v>1</v>
      </c>
      <c r="M57" s="367">
        <v>2019</v>
      </c>
      <c r="N57" s="359"/>
      <c r="O57" s="368">
        <f t="shared" si="10"/>
        <v>43466</v>
      </c>
      <c r="P57" s="368">
        <f t="shared" si="11"/>
        <v>43496</v>
      </c>
    </row>
    <row r="58" spans="1:16" s="326" customFormat="1" ht="17.100000000000001" customHeight="1">
      <c r="A58" s="369">
        <f t="shared" si="14"/>
        <v>19</v>
      </c>
      <c r="B58" s="668" t="str">
        <f t="shared" si="12"/>
        <v>Tháng 02/2019</v>
      </c>
      <c r="C58" s="668"/>
      <c r="D58" s="669" t="str">
        <f t="shared" si="13"/>
        <v>Tấm cao su đàn hồi</v>
      </c>
      <c r="E58" s="669"/>
      <c r="F58" s="669"/>
      <c r="G58" s="669"/>
      <c r="H58" s="670">
        <f t="shared" si="9"/>
        <v>0</v>
      </c>
      <c r="I58" s="670"/>
      <c r="J58" s="668"/>
      <c r="K58" s="671"/>
      <c r="L58" s="359">
        <v>2</v>
      </c>
      <c r="M58" s="367">
        <v>2019</v>
      </c>
      <c r="N58" s="359"/>
      <c r="O58" s="368">
        <f t="shared" si="10"/>
        <v>43497</v>
      </c>
      <c r="P58" s="368">
        <f t="shared" si="11"/>
        <v>43524</v>
      </c>
    </row>
    <row r="59" spans="1:16" s="326" customFormat="1" ht="17.100000000000001" customHeight="1">
      <c r="A59" s="369">
        <f t="shared" si="14"/>
        <v>20</v>
      </c>
      <c r="B59" s="668" t="str">
        <f t="shared" si="12"/>
        <v>Tháng 03/2019</v>
      </c>
      <c r="C59" s="668"/>
      <c r="D59" s="669" t="str">
        <f t="shared" si="13"/>
        <v>Tấm cao su đàn hồi</v>
      </c>
      <c r="E59" s="669"/>
      <c r="F59" s="669"/>
      <c r="G59" s="669"/>
      <c r="H59" s="670">
        <f t="shared" si="9"/>
        <v>0</v>
      </c>
      <c r="I59" s="670"/>
      <c r="J59" s="668"/>
      <c r="K59" s="671"/>
      <c r="L59" s="359">
        <v>3</v>
      </c>
      <c r="M59" s="367">
        <v>2019</v>
      </c>
      <c r="N59" s="359"/>
      <c r="O59" s="368">
        <f t="shared" si="10"/>
        <v>43525</v>
      </c>
      <c r="P59" s="368">
        <f t="shared" si="11"/>
        <v>43555</v>
      </c>
    </row>
    <row r="60" spans="1:16" s="326" customFormat="1" ht="17.100000000000001" customHeight="1">
      <c r="A60" s="369">
        <f t="shared" si="14"/>
        <v>21</v>
      </c>
      <c r="B60" s="668" t="str">
        <f t="shared" si="12"/>
        <v>Tháng 04/2019</v>
      </c>
      <c r="C60" s="668"/>
      <c r="D60" s="669" t="str">
        <f t="shared" si="13"/>
        <v>Tấm cao su đàn hồi</v>
      </c>
      <c r="E60" s="669"/>
      <c r="F60" s="669"/>
      <c r="G60" s="669"/>
      <c r="H60" s="670">
        <f t="shared" si="9"/>
        <v>0</v>
      </c>
      <c r="I60" s="670"/>
      <c r="J60" s="668"/>
      <c r="K60" s="671"/>
      <c r="L60" s="359">
        <v>4</v>
      </c>
      <c r="M60" s="367">
        <v>2019</v>
      </c>
      <c r="N60" s="359"/>
      <c r="O60" s="368">
        <f t="shared" si="10"/>
        <v>43556</v>
      </c>
      <c r="P60" s="368">
        <f t="shared" si="11"/>
        <v>43585</v>
      </c>
    </row>
    <row r="61" spans="1:16" s="326" customFormat="1" ht="17.100000000000001" customHeight="1">
      <c r="A61" s="369">
        <f t="shared" si="14"/>
        <v>22</v>
      </c>
      <c r="B61" s="668" t="str">
        <f t="shared" si="12"/>
        <v>Tháng 05/2019</v>
      </c>
      <c r="C61" s="668"/>
      <c r="D61" s="669" t="str">
        <f t="shared" si="13"/>
        <v>Tấm cao su đàn hồi</v>
      </c>
      <c r="E61" s="669"/>
      <c r="F61" s="669"/>
      <c r="G61" s="669"/>
      <c r="H61" s="670">
        <f t="shared" si="9"/>
        <v>0</v>
      </c>
      <c r="I61" s="670"/>
      <c r="J61" s="668"/>
      <c r="K61" s="671"/>
      <c r="L61" s="359">
        <v>5</v>
      </c>
      <c r="M61" s="367">
        <v>2019</v>
      </c>
      <c r="N61" s="359"/>
      <c r="O61" s="368">
        <f t="shared" si="10"/>
        <v>43586</v>
      </c>
      <c r="P61" s="368">
        <f t="shared" si="11"/>
        <v>43616</v>
      </c>
    </row>
    <row r="62" spans="1:16" s="326" customFormat="1" ht="17.100000000000001" customHeight="1">
      <c r="A62" s="369">
        <f t="shared" si="14"/>
        <v>23</v>
      </c>
      <c r="B62" s="668" t="str">
        <f t="shared" si="12"/>
        <v>Tháng 06/2019</v>
      </c>
      <c r="C62" s="668"/>
      <c r="D62" s="669" t="str">
        <f t="shared" si="13"/>
        <v>Tấm cao su đàn hồi</v>
      </c>
      <c r="E62" s="669"/>
      <c r="F62" s="669"/>
      <c r="G62" s="669"/>
      <c r="H62" s="670">
        <f t="shared" si="9"/>
        <v>0</v>
      </c>
      <c r="I62" s="670"/>
      <c r="J62" s="668"/>
      <c r="K62" s="671"/>
      <c r="L62" s="359">
        <v>6</v>
      </c>
      <c r="M62" s="367">
        <v>2019</v>
      </c>
      <c r="N62" s="359"/>
      <c r="O62" s="368">
        <f t="shared" si="10"/>
        <v>43617</v>
      </c>
      <c r="P62" s="368">
        <f t="shared" si="11"/>
        <v>43646</v>
      </c>
    </row>
    <row r="63" spans="1:16" s="326" customFormat="1" ht="17.100000000000001" customHeight="1">
      <c r="A63" s="369">
        <f t="shared" si="14"/>
        <v>24</v>
      </c>
      <c r="B63" s="668" t="str">
        <f t="shared" si="12"/>
        <v>Tháng 07/2019</v>
      </c>
      <c r="C63" s="668"/>
      <c r="D63" s="669" t="str">
        <f t="shared" si="13"/>
        <v>Tấm cao su đàn hồi</v>
      </c>
      <c r="E63" s="669"/>
      <c r="F63" s="669"/>
      <c r="G63" s="669"/>
      <c r="H63" s="670">
        <f t="shared" si="9"/>
        <v>0</v>
      </c>
      <c r="I63" s="670"/>
      <c r="J63" s="668"/>
      <c r="K63" s="671"/>
      <c r="L63" s="359">
        <v>7</v>
      </c>
      <c r="M63" s="367">
        <v>2019</v>
      </c>
      <c r="N63" s="359"/>
      <c r="O63" s="368">
        <f t="shared" si="10"/>
        <v>43647</v>
      </c>
      <c r="P63" s="368">
        <f t="shared" si="11"/>
        <v>43677</v>
      </c>
    </row>
    <row r="64" spans="1:16" s="326" customFormat="1" ht="17.100000000000001" customHeight="1">
      <c r="A64" s="369">
        <f t="shared" si="14"/>
        <v>25</v>
      </c>
      <c r="B64" s="668" t="str">
        <f t="shared" si="12"/>
        <v>Tháng 08/2019</v>
      </c>
      <c r="C64" s="668"/>
      <c r="D64" s="669" t="str">
        <f t="shared" si="13"/>
        <v>Tấm cao su đàn hồi</v>
      </c>
      <c r="E64" s="669"/>
      <c r="F64" s="669"/>
      <c r="G64" s="669"/>
      <c r="H64" s="670">
        <f t="shared" ref="H64:H65" si="15">+SUMIFS($I$12:$I$35,$B$12:$B$35,"&gt;="&amp;$O64,$B$12:$B$35,"&lt;="&amp;$P64)</f>
        <v>0</v>
      </c>
      <c r="I64" s="670"/>
      <c r="J64" s="668"/>
      <c r="K64" s="671"/>
      <c r="L64" s="359">
        <v>8</v>
      </c>
      <c r="M64" s="367">
        <v>2019</v>
      </c>
      <c r="N64" s="359"/>
      <c r="O64" s="368">
        <f t="shared" si="10"/>
        <v>43678</v>
      </c>
      <c r="P64" s="368">
        <f t="shared" si="11"/>
        <v>43708</v>
      </c>
    </row>
    <row r="65" spans="1:20" s="326" customFormat="1" ht="17.100000000000001" customHeight="1">
      <c r="A65" s="369">
        <f t="shared" si="14"/>
        <v>26</v>
      </c>
      <c r="B65" s="672" t="str">
        <f t="shared" si="12"/>
        <v>Tháng 09/2019</v>
      </c>
      <c r="C65" s="672"/>
      <c r="D65" s="673" t="str">
        <f>D63</f>
        <v>Tấm cao su đàn hồi</v>
      </c>
      <c r="E65" s="673"/>
      <c r="F65" s="673"/>
      <c r="G65" s="673"/>
      <c r="H65" s="674">
        <f t="shared" si="15"/>
        <v>0</v>
      </c>
      <c r="I65" s="674"/>
      <c r="J65" s="672"/>
      <c r="K65" s="675"/>
      <c r="L65" s="359">
        <v>9</v>
      </c>
      <c r="M65" s="367">
        <v>2019</v>
      </c>
      <c r="N65" s="359"/>
      <c r="O65" s="368">
        <f>DATE(M65,L65,1)</f>
        <v>43709</v>
      </c>
      <c r="P65" s="368">
        <f>DATE(M65,L65+1,0)</f>
        <v>43738</v>
      </c>
    </row>
    <row r="66" spans="1:20" s="326" customFormat="1" ht="21.6" customHeight="1" thickBot="1">
      <c r="A66" s="653" t="s">
        <v>86</v>
      </c>
      <c r="B66" s="654"/>
      <c r="C66" s="654"/>
      <c r="D66" s="654"/>
      <c r="E66" s="654"/>
      <c r="F66" s="654"/>
      <c r="G66" s="655"/>
      <c r="H66" s="656">
        <f t="shared" ref="H66" si="16">SUM(H40:I65)</f>
        <v>16.814</v>
      </c>
      <c r="I66" s="657"/>
      <c r="J66" s="656"/>
      <c r="K66" s="657"/>
      <c r="L66" s="359"/>
      <c r="M66" s="359"/>
      <c r="N66" s="359"/>
      <c r="O66" s="359"/>
      <c r="P66" s="359"/>
    </row>
    <row r="67" spans="1:20" s="326" customFormat="1" ht="18" customHeight="1" thickTop="1" thickBot="1">
      <c r="A67" s="370"/>
      <c r="B67" s="370"/>
      <c r="C67" s="370"/>
      <c r="D67" s="370"/>
      <c r="E67" s="370"/>
      <c r="F67" s="370"/>
      <c r="G67" s="370"/>
      <c r="H67" s="370"/>
      <c r="I67" s="370"/>
      <c r="J67" s="370"/>
      <c r="K67" s="370"/>
      <c r="L67" s="325"/>
      <c r="M67" s="325"/>
      <c r="N67" s="325"/>
      <c r="O67" s="325"/>
      <c r="P67" s="371"/>
    </row>
    <row r="68" spans="1:20" s="326" customFormat="1" ht="13.9" customHeight="1" thickTop="1">
      <c r="A68" s="658" t="s">
        <v>68</v>
      </c>
      <c r="B68" s="659"/>
      <c r="C68" s="659"/>
      <c r="D68" s="659"/>
      <c r="E68" s="659"/>
      <c r="F68" s="660" t="s">
        <v>69</v>
      </c>
      <c r="G68" s="660"/>
      <c r="H68" s="660"/>
      <c r="I68" s="661"/>
      <c r="J68" s="661"/>
      <c r="K68" s="662"/>
      <c r="L68" s="325"/>
      <c r="M68" s="325"/>
      <c r="N68" s="325"/>
      <c r="O68" s="325"/>
      <c r="P68" s="325"/>
    </row>
    <row r="69" spans="1:20" s="326" customFormat="1" ht="13.9" customHeight="1">
      <c r="A69" s="663" t="s">
        <v>5</v>
      </c>
      <c r="B69" s="664"/>
      <c r="C69" s="664"/>
      <c r="D69" s="664"/>
      <c r="E69" s="664"/>
      <c r="F69" s="665" t="s">
        <v>6</v>
      </c>
      <c r="G69" s="665"/>
      <c r="H69" s="665"/>
      <c r="I69" s="666"/>
      <c r="J69" s="666"/>
      <c r="K69" s="667"/>
      <c r="L69" s="325"/>
      <c r="M69" s="325"/>
      <c r="N69" s="325"/>
      <c r="O69" s="325"/>
      <c r="P69" s="325"/>
    </row>
    <row r="70" spans="1:20" s="326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325"/>
      <c r="M70" s="325"/>
      <c r="N70" s="325"/>
      <c r="O70" s="325"/>
      <c r="P70" s="325"/>
    </row>
    <row r="71" spans="1:20" s="326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325"/>
      <c r="M71" s="325"/>
      <c r="N71" s="325"/>
      <c r="O71" s="325"/>
      <c r="P71" s="325"/>
    </row>
    <row r="72" spans="1:20" s="326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325"/>
      <c r="M72" s="325"/>
      <c r="N72" s="325"/>
      <c r="O72" s="325"/>
      <c r="P72" s="325"/>
    </row>
    <row r="73" spans="1:20" s="326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325"/>
      <c r="M73" s="325"/>
      <c r="N73" s="325"/>
      <c r="O73" s="325"/>
      <c r="P73" s="325"/>
    </row>
    <row r="74" spans="1:20" s="326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325"/>
      <c r="M74" s="325"/>
      <c r="N74" s="325"/>
      <c r="O74" s="325"/>
      <c r="P74" s="325"/>
    </row>
    <row r="75" spans="1:20" s="326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325"/>
      <c r="M75" s="325"/>
      <c r="N75" s="325"/>
      <c r="O75" s="325"/>
      <c r="P75" s="325"/>
    </row>
    <row r="76" spans="1:20" s="326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325"/>
      <c r="M76" s="325"/>
      <c r="N76" s="325"/>
      <c r="O76" s="325"/>
      <c r="P76" s="325"/>
    </row>
    <row r="77" spans="1:20" s="326" customFormat="1" ht="15.75" thickTop="1">
      <c r="A77" s="325"/>
      <c r="B77" s="372"/>
      <c r="C77" s="373"/>
      <c r="D77" s="373"/>
      <c r="E77" s="373"/>
      <c r="F77" s="374"/>
      <c r="G77" s="374"/>
      <c r="H77" s="374"/>
      <c r="I77" s="374"/>
      <c r="J77" s="374"/>
      <c r="K77" s="325"/>
      <c r="L77" s="325"/>
      <c r="M77" s="325"/>
      <c r="N77" s="325"/>
      <c r="O77" s="325"/>
      <c r="P77" s="325"/>
      <c r="R77" s="325"/>
      <c r="S77" s="325"/>
      <c r="T77" s="325"/>
    </row>
  </sheetData>
  <mergeCells count="149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>
    <tabColor rgb="FFFFFF00"/>
  </sheetPr>
  <dimension ref="A1:T93"/>
  <sheetViews>
    <sheetView view="pageBreakPreview" topLeftCell="A63" zoomScaleSheetLayoutView="100" workbookViewId="0">
      <selection activeCell="H77" sqref="H77:I77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4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C.II.1.2.1. Bê tông đúc sẵn tấm ốp taluy 16MPa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1</v>
      </c>
      <c r="N6" s="245" t="str">
        <f>THKLQT!C119</f>
        <v>Bê tông đúc sẵn tấm ốp taluy 16MPa</v>
      </c>
      <c r="Q6" s="17"/>
    </row>
    <row r="7" spans="1:20" s="178" customFormat="1" ht="18.75" customHeight="1">
      <c r="A7" s="634">
        <f>I33</f>
        <v>57.53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THKLQT!D119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s="376" customFormat="1" ht="14.25" outlineLevel="2">
      <c r="A12" s="414">
        <f>SUBTOTAL(103,$B$12:B12)</f>
        <v>1</v>
      </c>
      <c r="B12" s="415">
        <f>Q12</f>
        <v>43512</v>
      </c>
      <c r="C12" s="717" t="str">
        <f>T12</f>
        <v>Bê tông đúc sẵn tấm ốp taluy 16MPa A1 Lần 1</v>
      </c>
      <c r="D12" s="718"/>
      <c r="E12" s="719"/>
      <c r="F12" s="416">
        <f>P12</f>
        <v>3.01</v>
      </c>
      <c r="G12" s="417">
        <f>P12</f>
        <v>3.01</v>
      </c>
      <c r="H12" s="297">
        <f>P12</f>
        <v>3.01</v>
      </c>
      <c r="I12" s="261">
        <f>P12</f>
        <v>3.01</v>
      </c>
      <c r="J12" s="261">
        <f>P12</f>
        <v>3.01</v>
      </c>
      <c r="K12" s="700" t="s">
        <v>688</v>
      </c>
      <c r="N12" s="418"/>
      <c r="O12" s="418" t="s">
        <v>374</v>
      </c>
      <c r="P12" s="419">
        <f>300*(0.1*(0.4*0.4-3.14*0.26*0.26/4-2*0.05*0.05))*0+3.01</f>
        <v>3.01</v>
      </c>
      <c r="Q12" s="420">
        <v>43512</v>
      </c>
      <c r="R12" s="419"/>
      <c r="S12" s="419" t="e">
        <f t="shared" ref="S12:S31" si="0">VLOOKUP($S$11,hamchuigoi3,M12,0)</f>
        <v>#VALUE!</v>
      </c>
      <c r="T12" s="421" t="str">
        <f t="shared" ref="T12:T14" si="1">$N$6&amp;" "&amp;O12</f>
        <v>Bê tông đúc sẵn tấm ốp taluy 16MPa A1 Lần 1</v>
      </c>
    </row>
    <row r="13" spans="1:20" s="376" customFormat="1" ht="14.25" outlineLevel="2">
      <c r="A13" s="414">
        <f>SUBTOTAL(103,$B$12:B13)</f>
        <v>2</v>
      </c>
      <c r="B13" s="415">
        <f t="shared" ref="B13:B15" si="2">Q13</f>
        <v>43519</v>
      </c>
      <c r="C13" s="717" t="str">
        <f t="shared" ref="C13:C15" si="3">T13</f>
        <v>Bê tông đúc sẵn tấm ốp taluy 16MPa A1 Lần 2</v>
      </c>
      <c r="D13" s="718"/>
      <c r="E13" s="719"/>
      <c r="F13" s="416">
        <f t="shared" ref="F13:F15" si="4">P13</f>
        <v>3.01</v>
      </c>
      <c r="G13" s="417">
        <f t="shared" ref="G13:G15" si="5">P13</f>
        <v>3.01</v>
      </c>
      <c r="H13" s="297">
        <f t="shared" ref="H13:H15" si="6">P13</f>
        <v>3.01</v>
      </c>
      <c r="I13" s="261">
        <f t="shared" ref="I13:I15" si="7">P13</f>
        <v>3.01</v>
      </c>
      <c r="J13" s="261">
        <f t="shared" ref="J13:J15" si="8">P13</f>
        <v>3.01</v>
      </c>
      <c r="K13" s="701"/>
      <c r="N13" s="418"/>
      <c r="O13" s="418" t="s">
        <v>375</v>
      </c>
      <c r="P13" s="419">
        <f t="shared" ref="P13:P30" si="9">300*(0.1*(0.4*0.4-3.14*0.26*0.26/4-2*0.05*0.05))*0+3.01</f>
        <v>3.01</v>
      </c>
      <c r="Q13" s="420">
        <f>+Q12+7</f>
        <v>43519</v>
      </c>
      <c r="R13" s="419"/>
      <c r="S13" s="419" t="e">
        <f t="shared" si="0"/>
        <v>#VALUE!</v>
      </c>
      <c r="T13" s="421" t="str">
        <f t="shared" si="1"/>
        <v>Bê tông đúc sẵn tấm ốp taluy 16MPa A1 Lần 2</v>
      </c>
    </row>
    <row r="14" spans="1:20" ht="14.25" outlineLevel="2">
      <c r="A14" s="81">
        <f>SUBTOTAL(103,$B$12:B14)</f>
        <v>3</v>
      </c>
      <c r="B14" s="78">
        <f t="shared" si="2"/>
        <v>43522</v>
      </c>
      <c r="C14" s="571" t="str">
        <f t="shared" si="3"/>
        <v>Bê tông đúc sẵn tấm ốp taluy 16MPa A1 Lần 3</v>
      </c>
      <c r="D14" s="572"/>
      <c r="E14" s="573"/>
      <c r="F14" s="2">
        <f t="shared" si="4"/>
        <v>3.01</v>
      </c>
      <c r="G14" s="1">
        <f t="shared" si="5"/>
        <v>3.01</v>
      </c>
      <c r="H14" s="295">
        <f t="shared" si="6"/>
        <v>3.01</v>
      </c>
      <c r="I14" s="107">
        <f t="shared" si="7"/>
        <v>3.01</v>
      </c>
      <c r="J14" s="107">
        <f t="shared" si="8"/>
        <v>3.01</v>
      </c>
      <c r="K14" s="701"/>
      <c r="N14" s="118"/>
      <c r="O14" s="118" t="s">
        <v>376</v>
      </c>
      <c r="P14" s="88">
        <f t="shared" si="9"/>
        <v>3.01</v>
      </c>
      <c r="Q14" s="89">
        <f>+Q13+3</f>
        <v>43522</v>
      </c>
      <c r="R14" s="88"/>
      <c r="S14" s="88" t="e">
        <f t="shared" si="0"/>
        <v>#VALUE!</v>
      </c>
      <c r="T14" s="3" t="str">
        <f t="shared" si="1"/>
        <v>Bê tông đúc sẵn tấm ốp taluy 16MPa A1 Lần 3</v>
      </c>
    </row>
    <row r="15" spans="1:20" ht="14.25" outlineLevel="2">
      <c r="A15" s="81">
        <f>SUBTOTAL(103,$B$12:B15)</f>
        <v>4</v>
      </c>
      <c r="B15" s="78">
        <f t="shared" si="2"/>
        <v>43524</v>
      </c>
      <c r="C15" s="571" t="str">
        <f t="shared" si="3"/>
        <v>Bê tông đúc sẵn tấm ốp taluy 16MPa A1 Lần 4</v>
      </c>
      <c r="D15" s="572"/>
      <c r="E15" s="573"/>
      <c r="F15" s="2">
        <f t="shared" si="4"/>
        <v>3.01</v>
      </c>
      <c r="G15" s="1">
        <f t="shared" si="5"/>
        <v>3.01</v>
      </c>
      <c r="H15" s="295">
        <f t="shared" si="6"/>
        <v>3.01</v>
      </c>
      <c r="I15" s="107">
        <f t="shared" si="7"/>
        <v>3.01</v>
      </c>
      <c r="J15" s="107">
        <f t="shared" si="8"/>
        <v>3.01</v>
      </c>
      <c r="K15" s="701"/>
      <c r="N15" s="118"/>
      <c r="O15" s="118" t="s">
        <v>377</v>
      </c>
      <c r="P15" s="88">
        <f t="shared" si="9"/>
        <v>3.01</v>
      </c>
      <c r="Q15" s="89">
        <f>+Q14+2</f>
        <v>43524</v>
      </c>
      <c r="R15" s="88"/>
      <c r="S15" s="88" t="e">
        <f t="shared" si="0"/>
        <v>#VALUE!</v>
      </c>
      <c r="T15" s="3" t="str">
        <f>$N$6&amp;" "&amp;O15</f>
        <v>Bê tông đúc sẵn tấm ốp taluy 16MPa A1 Lần 4</v>
      </c>
    </row>
    <row r="16" spans="1:20" ht="14.25" outlineLevel="2">
      <c r="A16" s="81">
        <f>SUBTOTAL(103,$B$12:B16)</f>
        <v>5</v>
      </c>
      <c r="B16" s="78">
        <f t="shared" ref="B16:B21" si="10">Q16</f>
        <v>43528</v>
      </c>
      <c r="C16" s="571" t="str">
        <f t="shared" ref="C16:C21" si="11">T16</f>
        <v>Bê tông đúc sẵn tấm ốp taluy 16MPa A1 Lần 5</v>
      </c>
      <c r="D16" s="572"/>
      <c r="E16" s="573"/>
      <c r="F16" s="2">
        <f t="shared" ref="F16:F21" si="12">P16</f>
        <v>3.01</v>
      </c>
      <c r="G16" s="1">
        <f t="shared" ref="G16:G21" si="13">P16</f>
        <v>3.01</v>
      </c>
      <c r="H16" s="295">
        <f t="shared" ref="H16:H21" si="14">P16</f>
        <v>3.01</v>
      </c>
      <c r="I16" s="107">
        <f t="shared" ref="I16:I21" si="15">P16</f>
        <v>3.01</v>
      </c>
      <c r="J16" s="107">
        <f t="shared" ref="J16:J21" si="16">P16</f>
        <v>3.01</v>
      </c>
      <c r="K16" s="701"/>
      <c r="N16" s="118"/>
      <c r="O16" s="118" t="s">
        <v>378</v>
      </c>
      <c r="P16" s="88">
        <f t="shared" si="9"/>
        <v>3.01</v>
      </c>
      <c r="Q16" s="89">
        <f>+Q15+3+1</f>
        <v>43528</v>
      </c>
      <c r="R16" s="88"/>
      <c r="S16" s="88" t="e">
        <f t="shared" si="0"/>
        <v>#VALUE!</v>
      </c>
      <c r="T16" s="3" t="str">
        <f t="shared" ref="T16:T21" si="17">$N$6&amp;" "&amp;O16</f>
        <v>Bê tông đúc sẵn tấm ốp taluy 16MPa A1 Lần 5</v>
      </c>
    </row>
    <row r="17" spans="1:20" ht="14.25" outlineLevel="2">
      <c r="A17" s="81">
        <f>SUBTOTAL(103,$B$12:B17)</f>
        <v>6</v>
      </c>
      <c r="B17" s="78">
        <f t="shared" si="10"/>
        <v>43532</v>
      </c>
      <c r="C17" s="571" t="str">
        <f t="shared" si="11"/>
        <v>Bê tông đúc sẵn tấm ốp taluy 16MPa A1 Lần 6</v>
      </c>
      <c r="D17" s="572"/>
      <c r="E17" s="573"/>
      <c r="F17" s="2">
        <f t="shared" si="12"/>
        <v>3.01</v>
      </c>
      <c r="G17" s="1">
        <f t="shared" si="13"/>
        <v>3.01</v>
      </c>
      <c r="H17" s="295">
        <f t="shared" si="14"/>
        <v>3.01</v>
      </c>
      <c r="I17" s="107">
        <f t="shared" si="15"/>
        <v>3.01</v>
      </c>
      <c r="J17" s="107">
        <f t="shared" si="16"/>
        <v>3.01</v>
      </c>
      <c r="K17" s="701"/>
      <c r="N17" s="118"/>
      <c r="O17" s="118" t="s">
        <v>379</v>
      </c>
      <c r="P17" s="88">
        <f t="shared" si="9"/>
        <v>3.01</v>
      </c>
      <c r="Q17" s="89">
        <f>+Q16+3+1</f>
        <v>43532</v>
      </c>
      <c r="R17" s="88"/>
      <c r="S17" s="88" t="e">
        <f t="shared" si="0"/>
        <v>#VALUE!</v>
      </c>
      <c r="T17" s="3" t="str">
        <f t="shared" si="17"/>
        <v>Bê tông đúc sẵn tấm ốp taluy 16MPa A1 Lần 6</v>
      </c>
    </row>
    <row r="18" spans="1:20" ht="14.25" outlineLevel="2">
      <c r="A18" s="81">
        <f>SUBTOTAL(103,$B$12:B18)</f>
        <v>7</v>
      </c>
      <c r="B18" s="78">
        <f t="shared" si="10"/>
        <v>43534</v>
      </c>
      <c r="C18" s="571" t="str">
        <f t="shared" si="11"/>
        <v>Bê tông đúc sẵn tấm ốp taluy 16MPa A1 Lần 7</v>
      </c>
      <c r="D18" s="572"/>
      <c r="E18" s="573"/>
      <c r="F18" s="2">
        <f t="shared" si="12"/>
        <v>3.01</v>
      </c>
      <c r="G18" s="1">
        <f t="shared" si="13"/>
        <v>3.01</v>
      </c>
      <c r="H18" s="295">
        <f t="shared" si="14"/>
        <v>3.01</v>
      </c>
      <c r="I18" s="107">
        <f t="shared" si="15"/>
        <v>3.01</v>
      </c>
      <c r="J18" s="107">
        <f t="shared" si="16"/>
        <v>3.01</v>
      </c>
      <c r="K18" s="701"/>
      <c r="N18" s="118"/>
      <c r="O18" s="118" t="s">
        <v>380</v>
      </c>
      <c r="P18" s="88">
        <f t="shared" si="9"/>
        <v>3.01</v>
      </c>
      <c r="Q18" s="89">
        <f>+Q17+2</f>
        <v>43534</v>
      </c>
      <c r="R18" s="88"/>
      <c r="S18" s="88" t="e">
        <f t="shared" si="0"/>
        <v>#VALUE!</v>
      </c>
      <c r="T18" s="3" t="str">
        <f t="shared" si="17"/>
        <v>Bê tông đúc sẵn tấm ốp taluy 16MPa A1 Lần 7</v>
      </c>
    </row>
    <row r="19" spans="1:20" ht="14.25" outlineLevel="2">
      <c r="A19" s="81">
        <f>SUBTOTAL(103,$B$12:B19)</f>
        <v>8</v>
      </c>
      <c r="B19" s="78">
        <f t="shared" si="10"/>
        <v>43566</v>
      </c>
      <c r="C19" s="571" t="str">
        <f t="shared" si="11"/>
        <v>Bê tông đúc sẵn tấm ốp taluy 16MPa A1 Lần 8</v>
      </c>
      <c r="D19" s="572"/>
      <c r="E19" s="573"/>
      <c r="F19" s="2">
        <f t="shared" si="12"/>
        <v>3.01</v>
      </c>
      <c r="G19" s="1">
        <f t="shared" si="13"/>
        <v>3.01</v>
      </c>
      <c r="H19" s="295">
        <f t="shared" si="14"/>
        <v>3.01</v>
      </c>
      <c r="I19" s="107">
        <f t="shared" si="15"/>
        <v>3.01</v>
      </c>
      <c r="J19" s="261">
        <f t="shared" si="16"/>
        <v>3.01</v>
      </c>
      <c r="K19" s="701"/>
      <c r="N19" s="118"/>
      <c r="O19" s="118" t="s">
        <v>381</v>
      </c>
      <c r="P19" s="88">
        <f t="shared" si="9"/>
        <v>3.01</v>
      </c>
      <c r="Q19" s="89">
        <f>+Q18+30+2</f>
        <v>43566</v>
      </c>
      <c r="R19" s="88"/>
      <c r="S19" s="88" t="e">
        <f t="shared" si="0"/>
        <v>#VALUE!</v>
      </c>
      <c r="T19" s="3" t="str">
        <f t="shared" si="17"/>
        <v>Bê tông đúc sẵn tấm ốp taluy 16MPa A1 Lần 8</v>
      </c>
    </row>
    <row r="20" spans="1:20" ht="14.25" outlineLevel="2">
      <c r="A20" s="81">
        <f>SUBTOTAL(103,$B$12:B20)</f>
        <v>9</v>
      </c>
      <c r="B20" s="78">
        <f t="shared" si="10"/>
        <v>43539</v>
      </c>
      <c r="C20" s="571" t="str">
        <f t="shared" si="11"/>
        <v>Bê tông đúc sẵn tấm ốp taluy 16MPa A1 Lần 9</v>
      </c>
      <c r="D20" s="572"/>
      <c r="E20" s="573"/>
      <c r="F20" s="2">
        <f t="shared" si="12"/>
        <v>3.01</v>
      </c>
      <c r="G20" s="1">
        <f t="shared" si="13"/>
        <v>3.01</v>
      </c>
      <c r="H20" s="295">
        <f t="shared" si="14"/>
        <v>3.01</v>
      </c>
      <c r="I20" s="107">
        <f t="shared" si="15"/>
        <v>3.01</v>
      </c>
      <c r="J20" s="107">
        <f t="shared" si="16"/>
        <v>3.01</v>
      </c>
      <c r="K20" s="701"/>
      <c r="N20" s="118"/>
      <c r="O20" s="118" t="s">
        <v>382</v>
      </c>
      <c r="P20" s="88">
        <f t="shared" si="9"/>
        <v>3.01</v>
      </c>
      <c r="Q20" s="89">
        <f>+Q18+5</f>
        <v>43539</v>
      </c>
      <c r="R20" s="88"/>
      <c r="S20" s="88" t="e">
        <f t="shared" si="0"/>
        <v>#VALUE!</v>
      </c>
      <c r="T20" s="3" t="str">
        <f t="shared" si="17"/>
        <v>Bê tông đúc sẵn tấm ốp taluy 16MPa A1 Lần 9</v>
      </c>
    </row>
    <row r="21" spans="1:20" ht="14.25" outlineLevel="2">
      <c r="A21" s="81">
        <f>SUBTOTAL(103,$B$12:B21)</f>
        <v>10</v>
      </c>
      <c r="B21" s="78">
        <f t="shared" si="10"/>
        <v>43511</v>
      </c>
      <c r="C21" s="571" t="str">
        <f t="shared" si="11"/>
        <v>Bê tông đúc sẵn tấm ốp taluy 16MPa A2 Lần 1</v>
      </c>
      <c r="D21" s="572"/>
      <c r="E21" s="573"/>
      <c r="F21" s="2">
        <f t="shared" si="12"/>
        <v>3.01</v>
      </c>
      <c r="G21" s="1">
        <f t="shared" si="13"/>
        <v>3.01</v>
      </c>
      <c r="H21" s="295">
        <f t="shared" si="14"/>
        <v>3.01</v>
      </c>
      <c r="I21" s="107">
        <f t="shared" si="15"/>
        <v>3.01</v>
      </c>
      <c r="J21" s="107">
        <f t="shared" si="16"/>
        <v>3.01</v>
      </c>
      <c r="K21" s="701"/>
      <c r="N21" s="118"/>
      <c r="O21" s="118" t="s">
        <v>383</v>
      </c>
      <c r="P21" s="88">
        <f t="shared" si="9"/>
        <v>3.01</v>
      </c>
      <c r="Q21" s="89">
        <f>+Q12-1</f>
        <v>43511</v>
      </c>
      <c r="R21" s="88"/>
      <c r="S21" s="88" t="e">
        <f t="shared" si="0"/>
        <v>#VALUE!</v>
      </c>
      <c r="T21" s="3" t="str">
        <f t="shared" si="17"/>
        <v>Bê tông đúc sẵn tấm ốp taluy 16MPa A2 Lần 1</v>
      </c>
    </row>
    <row r="22" spans="1:20" ht="14.25" outlineLevel="2">
      <c r="A22" s="81">
        <f>SUBTOTAL(103,$B$12:B22)</f>
        <v>11</v>
      </c>
      <c r="B22" s="78">
        <f t="shared" ref="B22:B29" si="18">Q22</f>
        <v>43517</v>
      </c>
      <c r="C22" s="571" t="str">
        <f t="shared" ref="C22:C29" si="19">T22</f>
        <v>Bê tông đúc sẵn tấm ốp taluy 16MPa A2 Lần 2</v>
      </c>
      <c r="D22" s="572"/>
      <c r="E22" s="573"/>
      <c r="F22" s="2">
        <f t="shared" ref="F22:F29" si="20">P22</f>
        <v>3.01</v>
      </c>
      <c r="G22" s="1">
        <f t="shared" ref="G22:G29" si="21">P22</f>
        <v>3.01</v>
      </c>
      <c r="H22" s="295">
        <f t="shared" ref="H22:H29" si="22">P22</f>
        <v>3.01</v>
      </c>
      <c r="I22" s="107">
        <f t="shared" ref="I22:I29" si="23">P22</f>
        <v>3.01</v>
      </c>
      <c r="J22" s="107">
        <f t="shared" ref="J22:J29" si="24">P22</f>
        <v>3.01</v>
      </c>
      <c r="K22" s="701"/>
      <c r="L22" s="4" t="s">
        <v>708</v>
      </c>
      <c r="N22" s="118"/>
      <c r="O22" s="118" t="s">
        <v>384</v>
      </c>
      <c r="P22" s="88">
        <f t="shared" si="9"/>
        <v>3.01</v>
      </c>
      <c r="Q22" s="89">
        <f>+Q21+6</f>
        <v>43517</v>
      </c>
      <c r="R22" s="88"/>
      <c r="S22" s="88" t="e">
        <f t="shared" si="0"/>
        <v>#VALUE!</v>
      </c>
      <c r="T22" s="3" t="str">
        <f t="shared" ref="T22:T29" si="25">$N$6&amp;" "&amp;O22</f>
        <v>Bê tông đúc sẵn tấm ốp taluy 16MPa A2 Lần 2</v>
      </c>
    </row>
    <row r="23" spans="1:20" ht="14.25" outlineLevel="2">
      <c r="A23" s="81">
        <f>SUBTOTAL(103,$B$12:B23)</f>
        <v>12</v>
      </c>
      <c r="B23" s="78">
        <f t="shared" si="18"/>
        <v>43519</v>
      </c>
      <c r="C23" s="571" t="str">
        <f t="shared" si="19"/>
        <v>Bê tông đúc sẵn tấm ốp taluy 16MPa A2 Lần 3</v>
      </c>
      <c r="D23" s="572"/>
      <c r="E23" s="573"/>
      <c r="F23" s="2">
        <f t="shared" si="20"/>
        <v>3.01</v>
      </c>
      <c r="G23" s="1">
        <f t="shared" si="21"/>
        <v>3.01</v>
      </c>
      <c r="H23" s="295">
        <f t="shared" si="22"/>
        <v>3.01</v>
      </c>
      <c r="I23" s="107">
        <f t="shared" si="23"/>
        <v>3.01</v>
      </c>
      <c r="J23" s="107">
        <f t="shared" si="24"/>
        <v>3.01</v>
      </c>
      <c r="K23" s="701"/>
      <c r="N23" s="118"/>
      <c r="O23" s="118" t="s">
        <v>385</v>
      </c>
      <c r="P23" s="88">
        <f t="shared" si="9"/>
        <v>3.01</v>
      </c>
      <c r="Q23" s="89">
        <f>+Q22+2</f>
        <v>43519</v>
      </c>
      <c r="R23" s="88"/>
      <c r="S23" s="88" t="e">
        <f t="shared" si="0"/>
        <v>#VALUE!</v>
      </c>
      <c r="T23" s="3" t="str">
        <f t="shared" si="25"/>
        <v>Bê tông đúc sẵn tấm ốp taluy 16MPa A2 Lần 3</v>
      </c>
    </row>
    <row r="24" spans="1:20" ht="14.25" outlineLevel="2">
      <c r="A24" s="81">
        <f>SUBTOTAL(103,$B$12:B24)</f>
        <v>13</v>
      </c>
      <c r="B24" s="78">
        <f t="shared" si="18"/>
        <v>43522</v>
      </c>
      <c r="C24" s="571" t="str">
        <f t="shared" si="19"/>
        <v>Bê tông đúc sẵn tấm ốp taluy 16MPa A2 Lần 4</v>
      </c>
      <c r="D24" s="572"/>
      <c r="E24" s="573"/>
      <c r="F24" s="2">
        <f t="shared" si="20"/>
        <v>3.01</v>
      </c>
      <c r="G24" s="1">
        <f t="shared" si="21"/>
        <v>3.01</v>
      </c>
      <c r="H24" s="295">
        <f t="shared" si="22"/>
        <v>3.01</v>
      </c>
      <c r="I24" s="107">
        <f t="shared" si="23"/>
        <v>3.01</v>
      </c>
      <c r="J24" s="107">
        <f t="shared" si="24"/>
        <v>3.01</v>
      </c>
      <c r="K24" s="701"/>
      <c r="N24" s="118"/>
      <c r="O24" s="118" t="s">
        <v>386</v>
      </c>
      <c r="P24" s="88">
        <f t="shared" si="9"/>
        <v>3.01</v>
      </c>
      <c r="Q24" s="89">
        <f t="shared" ref="Q24:Q29" si="26">+Q23+3</f>
        <v>43522</v>
      </c>
      <c r="R24" s="88"/>
      <c r="S24" s="88" t="e">
        <f t="shared" si="0"/>
        <v>#VALUE!</v>
      </c>
      <c r="T24" s="3" t="str">
        <f t="shared" si="25"/>
        <v>Bê tông đúc sẵn tấm ốp taluy 16MPa A2 Lần 4</v>
      </c>
    </row>
    <row r="25" spans="1:20" ht="14.25" outlineLevel="2">
      <c r="A25" s="81">
        <f>SUBTOTAL(103,$B$12:B25)</f>
        <v>14</v>
      </c>
      <c r="B25" s="78">
        <f t="shared" si="18"/>
        <v>43525</v>
      </c>
      <c r="C25" s="571" t="str">
        <f t="shared" si="19"/>
        <v>Bê tông đúc sẵn tấm ốp taluy 16MPa A2 Lần 5</v>
      </c>
      <c r="D25" s="572"/>
      <c r="E25" s="573"/>
      <c r="F25" s="2">
        <f t="shared" si="20"/>
        <v>3.01</v>
      </c>
      <c r="G25" s="1">
        <f t="shared" si="21"/>
        <v>3.01</v>
      </c>
      <c r="H25" s="295">
        <f t="shared" si="22"/>
        <v>3.01</v>
      </c>
      <c r="I25" s="107">
        <f t="shared" si="23"/>
        <v>3.01</v>
      </c>
      <c r="J25" s="107">
        <f t="shared" si="24"/>
        <v>3.01</v>
      </c>
      <c r="K25" s="701"/>
      <c r="N25" s="118"/>
      <c r="O25" s="118" t="s">
        <v>387</v>
      </c>
      <c r="P25" s="88">
        <f t="shared" si="9"/>
        <v>3.01</v>
      </c>
      <c r="Q25" s="89">
        <f t="shared" si="26"/>
        <v>43525</v>
      </c>
      <c r="R25" s="88"/>
      <c r="S25" s="88" t="e">
        <f t="shared" si="0"/>
        <v>#VALUE!</v>
      </c>
      <c r="T25" s="3" t="str">
        <f t="shared" si="25"/>
        <v>Bê tông đúc sẵn tấm ốp taluy 16MPa A2 Lần 5</v>
      </c>
    </row>
    <row r="26" spans="1:20" ht="14.25" outlineLevel="2">
      <c r="A26" s="81">
        <f>SUBTOTAL(103,$B$12:B26)</f>
        <v>15</v>
      </c>
      <c r="B26" s="78">
        <f t="shared" si="18"/>
        <v>43529</v>
      </c>
      <c r="C26" s="571" t="str">
        <f t="shared" si="19"/>
        <v>Bê tông đúc sẵn tấm ốp taluy 16MPa A2 Lần 6</v>
      </c>
      <c r="D26" s="572"/>
      <c r="E26" s="573"/>
      <c r="F26" s="2">
        <f t="shared" si="20"/>
        <v>3.01</v>
      </c>
      <c r="G26" s="1">
        <f t="shared" si="21"/>
        <v>3.01</v>
      </c>
      <c r="H26" s="295">
        <f t="shared" si="22"/>
        <v>3.01</v>
      </c>
      <c r="I26" s="107">
        <f t="shared" si="23"/>
        <v>3.01</v>
      </c>
      <c r="J26" s="107">
        <f t="shared" si="24"/>
        <v>3.01</v>
      </c>
      <c r="K26" s="701"/>
      <c r="N26" s="118"/>
      <c r="O26" s="118" t="s">
        <v>388</v>
      </c>
      <c r="P26" s="88">
        <f t="shared" si="9"/>
        <v>3.01</v>
      </c>
      <c r="Q26" s="89">
        <f>+Q25+3+1</f>
        <v>43529</v>
      </c>
      <c r="R26" s="88"/>
      <c r="S26" s="88" t="e">
        <f t="shared" si="0"/>
        <v>#VALUE!</v>
      </c>
      <c r="T26" s="3" t="str">
        <f t="shared" si="25"/>
        <v>Bê tông đúc sẵn tấm ốp taluy 16MPa A2 Lần 6</v>
      </c>
    </row>
    <row r="27" spans="1:20" ht="14.25" outlineLevel="2">
      <c r="A27" s="81">
        <f>SUBTOTAL(103,$B$12:B27)</f>
        <v>16</v>
      </c>
      <c r="B27" s="78">
        <f t="shared" si="18"/>
        <v>43534</v>
      </c>
      <c r="C27" s="571" t="str">
        <f t="shared" si="19"/>
        <v>Bê tông đúc sẵn tấm ốp taluy 16MPa A2 Lần 7</v>
      </c>
      <c r="D27" s="572"/>
      <c r="E27" s="573"/>
      <c r="F27" s="2">
        <f t="shared" si="20"/>
        <v>3.01</v>
      </c>
      <c r="G27" s="1">
        <f t="shared" si="21"/>
        <v>3.01</v>
      </c>
      <c r="H27" s="295">
        <f t="shared" si="22"/>
        <v>3.01</v>
      </c>
      <c r="I27" s="107">
        <f t="shared" si="23"/>
        <v>3.01</v>
      </c>
      <c r="J27" s="107">
        <f t="shared" si="24"/>
        <v>3.01</v>
      </c>
      <c r="K27" s="701"/>
      <c r="N27" s="118"/>
      <c r="O27" s="118" t="s">
        <v>389</v>
      </c>
      <c r="P27" s="88">
        <f t="shared" si="9"/>
        <v>3.01</v>
      </c>
      <c r="Q27" s="89">
        <f>+Q26+3+2</f>
        <v>43534</v>
      </c>
      <c r="R27" s="88"/>
      <c r="S27" s="88" t="e">
        <f t="shared" si="0"/>
        <v>#VALUE!</v>
      </c>
      <c r="T27" s="3" t="str">
        <f t="shared" si="25"/>
        <v>Bê tông đúc sẵn tấm ốp taluy 16MPa A2 Lần 7</v>
      </c>
    </row>
    <row r="28" spans="1:20" ht="14.25" outlineLevel="2">
      <c r="A28" s="81">
        <f>SUBTOTAL(103,$B$12:B28)</f>
        <v>17</v>
      </c>
      <c r="B28" s="78">
        <f t="shared" si="18"/>
        <v>43538</v>
      </c>
      <c r="C28" s="571" t="str">
        <f t="shared" si="19"/>
        <v>Bê tông đúc sẵn tấm ốp taluy 16MPa A2 Lần 8</v>
      </c>
      <c r="D28" s="572"/>
      <c r="E28" s="573"/>
      <c r="F28" s="2">
        <f t="shared" si="20"/>
        <v>3.01</v>
      </c>
      <c r="G28" s="1">
        <f t="shared" si="21"/>
        <v>3.01</v>
      </c>
      <c r="H28" s="295">
        <f t="shared" si="22"/>
        <v>3.01</v>
      </c>
      <c r="I28" s="107">
        <f t="shared" si="23"/>
        <v>3.01</v>
      </c>
      <c r="J28" s="107">
        <f t="shared" si="24"/>
        <v>3.01</v>
      </c>
      <c r="K28" s="701"/>
      <c r="N28" s="118"/>
      <c r="O28" s="118" t="s">
        <v>390</v>
      </c>
      <c r="P28" s="88">
        <f t="shared" si="9"/>
        <v>3.01</v>
      </c>
      <c r="Q28" s="89">
        <f>+Q27+3+1</f>
        <v>43538</v>
      </c>
      <c r="R28" s="88"/>
      <c r="S28" s="88" t="e">
        <f t="shared" si="0"/>
        <v>#VALUE!</v>
      </c>
      <c r="T28" s="3" t="str">
        <f t="shared" si="25"/>
        <v>Bê tông đúc sẵn tấm ốp taluy 16MPa A2 Lần 8</v>
      </c>
    </row>
    <row r="29" spans="1:20" ht="14.25" outlineLevel="2">
      <c r="A29" s="81">
        <f>SUBTOTAL(103,$B$12:B29)</f>
        <v>18</v>
      </c>
      <c r="B29" s="78">
        <f t="shared" si="18"/>
        <v>43541</v>
      </c>
      <c r="C29" s="571" t="str">
        <f t="shared" si="19"/>
        <v>Bê tông đúc sẵn tấm ốp taluy 16MPa A2 Lần 9</v>
      </c>
      <c r="D29" s="572"/>
      <c r="E29" s="573"/>
      <c r="F29" s="2">
        <f t="shared" si="20"/>
        <v>3.01</v>
      </c>
      <c r="G29" s="1">
        <f t="shared" si="21"/>
        <v>3.01</v>
      </c>
      <c r="H29" s="295">
        <f t="shared" si="22"/>
        <v>3.01</v>
      </c>
      <c r="I29" s="107">
        <f t="shared" si="23"/>
        <v>3.01</v>
      </c>
      <c r="J29" s="107">
        <f t="shared" si="24"/>
        <v>3.01</v>
      </c>
      <c r="K29" s="701"/>
      <c r="N29" s="118"/>
      <c r="O29" s="118" t="s">
        <v>391</v>
      </c>
      <c r="P29" s="88">
        <f t="shared" si="9"/>
        <v>3.01</v>
      </c>
      <c r="Q29" s="89">
        <f t="shared" si="26"/>
        <v>43541</v>
      </c>
      <c r="R29" s="88"/>
      <c r="S29" s="88" t="e">
        <f t="shared" si="0"/>
        <v>#VALUE!</v>
      </c>
      <c r="T29" s="3" t="str">
        <f t="shared" si="25"/>
        <v>Bê tông đúc sẵn tấm ốp taluy 16MPa A2 Lần 9</v>
      </c>
    </row>
    <row r="30" spans="1:20" ht="14.25" outlineLevel="2">
      <c r="A30" s="81">
        <f>SUBTOTAL(103,$B$12:B30)</f>
        <v>19</v>
      </c>
      <c r="B30" s="78">
        <f t="shared" ref="B30:B31" si="27">Q30</f>
        <v>43542</v>
      </c>
      <c r="C30" s="571" t="str">
        <f t="shared" ref="C30:C31" si="28">T30</f>
        <v>Bê tông đúc sẵn tấm ốp taluy 16MPa A2 Lần 10</v>
      </c>
      <c r="D30" s="572"/>
      <c r="E30" s="573"/>
      <c r="F30" s="2">
        <f t="shared" ref="F30:F31" si="29">P30</f>
        <v>3.01</v>
      </c>
      <c r="G30" s="1">
        <f t="shared" ref="G30:G31" si="30">P30</f>
        <v>3.01</v>
      </c>
      <c r="H30" s="295">
        <f t="shared" ref="H30:H31" si="31">P30</f>
        <v>3.01</v>
      </c>
      <c r="I30" s="107">
        <f t="shared" ref="I30:I31" si="32">P30</f>
        <v>3.01</v>
      </c>
      <c r="J30" s="107">
        <f t="shared" ref="J30:J31" si="33">P30</f>
        <v>3.01</v>
      </c>
      <c r="K30" s="701"/>
      <c r="N30" s="118"/>
      <c r="O30" s="118" t="s">
        <v>392</v>
      </c>
      <c r="P30" s="88">
        <f t="shared" si="9"/>
        <v>3.01</v>
      </c>
      <c r="Q30" s="89">
        <f>+Q29+1</f>
        <v>43542</v>
      </c>
      <c r="R30" s="88"/>
      <c r="S30" s="88" t="e">
        <f t="shared" si="0"/>
        <v>#VALUE!</v>
      </c>
      <c r="T30" s="3" t="str">
        <f t="shared" ref="T30:T31" si="34">$N$6&amp;" "&amp;O30</f>
        <v>Bê tông đúc sẵn tấm ốp taluy 16MPa A2 Lần 10</v>
      </c>
    </row>
    <row r="31" spans="1:20" ht="14.25" outlineLevel="2">
      <c r="A31" s="81">
        <f>SUBTOTAL(103,$B$12:B31)</f>
        <v>20</v>
      </c>
      <c r="B31" s="78">
        <f t="shared" si="27"/>
        <v>43545</v>
      </c>
      <c r="C31" s="571" t="str">
        <f t="shared" si="28"/>
        <v>Bê tông đúc sẵn tấm ốp taluy 16MPa A2 Lần 11</v>
      </c>
      <c r="D31" s="572"/>
      <c r="E31" s="573"/>
      <c r="F31" s="2">
        <f t="shared" si="29"/>
        <v>1.5</v>
      </c>
      <c r="G31" s="1">
        <f t="shared" si="30"/>
        <v>1.5</v>
      </c>
      <c r="H31" s="295">
        <f t="shared" si="31"/>
        <v>1.5</v>
      </c>
      <c r="I31" s="107">
        <f t="shared" si="32"/>
        <v>1.5</v>
      </c>
      <c r="J31" s="107">
        <f t="shared" si="33"/>
        <v>1.5</v>
      </c>
      <c r="K31" s="702"/>
      <c r="N31" s="118"/>
      <c r="O31" s="118" t="s">
        <v>393</v>
      </c>
      <c r="P31" s="88">
        <f>150*(0.1*(0.4*0.4-3.14*0.26*0.26/4-2*0.05*0.05))*0+1.5</f>
        <v>1.5</v>
      </c>
      <c r="Q31" s="89">
        <f>3+Q30</f>
        <v>43545</v>
      </c>
      <c r="R31" s="88"/>
      <c r="S31" s="88" t="e">
        <f t="shared" si="0"/>
        <v>#VALUE!</v>
      </c>
      <c r="T31" s="3" t="str">
        <f t="shared" si="34"/>
        <v>Bê tông đúc sẵn tấm ốp taluy 16MPa A2 Lần 11</v>
      </c>
    </row>
    <row r="32" spans="1:20" ht="14.25" outlineLevel="2">
      <c r="A32" s="81"/>
      <c r="B32" s="78"/>
      <c r="C32" s="571"/>
      <c r="D32" s="572"/>
      <c r="E32" s="573"/>
      <c r="F32" s="27"/>
      <c r="G32" s="33"/>
      <c r="H32" s="31"/>
      <c r="I32" s="107"/>
      <c r="J32" s="107"/>
      <c r="K32" s="82"/>
      <c r="N32" s="118"/>
      <c r="O32" s="118"/>
      <c r="P32" s="88"/>
      <c r="Q32" s="89"/>
      <c r="R32" s="88"/>
      <c r="S32" s="88"/>
      <c r="T32" s="3"/>
    </row>
    <row r="33" spans="1:20" thickBot="1">
      <c r="A33" s="574" t="s">
        <v>4</v>
      </c>
      <c r="B33" s="575"/>
      <c r="C33" s="575"/>
      <c r="D33" s="575"/>
      <c r="E33" s="575"/>
      <c r="F33" s="79">
        <f>'[7]TONG KL '!$I$16</f>
        <v>57.53</v>
      </c>
      <c r="G33" s="79">
        <f t="shared" ref="G33:J33" si="35">ROUND(SUM(G12:G32),2)</f>
        <v>58.69</v>
      </c>
      <c r="H33" s="79">
        <f>MIN(F33:G33)</f>
        <v>57.53</v>
      </c>
      <c r="I33" s="79">
        <f>MIN(F33:H33)</f>
        <v>57.53</v>
      </c>
      <c r="J33" s="79">
        <f t="shared" si="35"/>
        <v>58.69</v>
      </c>
      <c r="K33" s="80"/>
      <c r="N33" s="118"/>
      <c r="O33" s="118"/>
      <c r="P33" s="90">
        <f>SUM(P12:P12)</f>
        <v>3.01</v>
      </c>
    </row>
    <row r="34" spans="1:20" s="175" customFormat="1" ht="18" customHeight="1" thickTop="1" thickBot="1">
      <c r="A34" s="253"/>
      <c r="B34" s="253"/>
      <c r="C34" s="253"/>
      <c r="D34" s="253"/>
      <c r="E34" s="253"/>
      <c r="F34" s="116"/>
      <c r="G34" s="116"/>
      <c r="H34" s="116"/>
      <c r="I34" s="116"/>
      <c r="J34" s="116"/>
      <c r="K34" s="117"/>
      <c r="L34" s="4"/>
      <c r="M34" s="4" t="s">
        <v>353</v>
      </c>
      <c r="N34" s="118" t="s">
        <v>354</v>
      </c>
      <c r="O34" s="118" t="s">
        <v>351</v>
      </c>
      <c r="P34" s="119" t="s">
        <v>352</v>
      </c>
      <c r="Q34" s="120"/>
      <c r="R34" s="120"/>
      <c r="S34" s="120"/>
      <c r="T34" s="121"/>
    </row>
    <row r="35" spans="1:20" s="5" customFormat="1" ht="13.9" customHeight="1" thickTop="1">
      <c r="A35" s="578" t="s">
        <v>68</v>
      </c>
      <c r="B35" s="579"/>
      <c r="C35" s="579"/>
      <c r="D35" s="579"/>
      <c r="E35" s="579"/>
      <c r="F35" s="580" t="s">
        <v>69</v>
      </c>
      <c r="G35" s="580"/>
      <c r="H35" s="580"/>
      <c r="I35" s="581"/>
      <c r="J35" s="581"/>
      <c r="K35" s="582"/>
      <c r="L35" s="4"/>
      <c r="M35" s="4">
        <v>149.16999999999999</v>
      </c>
      <c r="N35" s="4">
        <v>149.11699999999999</v>
      </c>
      <c r="O35" s="4">
        <v>0</v>
      </c>
      <c r="P35" s="4">
        <v>0</v>
      </c>
    </row>
    <row r="36" spans="1:20" s="5" customFormat="1" ht="13.9" customHeight="1">
      <c r="A36" s="583" t="s">
        <v>5</v>
      </c>
      <c r="B36" s="584"/>
      <c r="C36" s="584"/>
      <c r="D36" s="584"/>
      <c r="E36" s="584"/>
      <c r="F36" s="585" t="s">
        <v>6</v>
      </c>
      <c r="G36" s="585"/>
      <c r="H36" s="585"/>
      <c r="I36" s="586"/>
      <c r="J36" s="586"/>
      <c r="K36" s="587"/>
      <c r="L36" s="4"/>
      <c r="M36" s="4">
        <v>0</v>
      </c>
      <c r="N36" s="4">
        <v>8.4559999999999995</v>
      </c>
      <c r="O36" s="4">
        <v>10.151999999999999</v>
      </c>
      <c r="P36" s="4">
        <v>0</v>
      </c>
    </row>
    <row r="37" spans="1:20" s="5" customFormat="1" ht="13.9" customHeight="1">
      <c r="A37" s="583" t="s">
        <v>836</v>
      </c>
      <c r="B37" s="584"/>
      <c r="C37" s="584"/>
      <c r="D37" s="584"/>
      <c r="E37" s="584"/>
      <c r="F37" s="590" t="s">
        <v>837</v>
      </c>
      <c r="G37" s="590"/>
      <c r="H37" s="590"/>
      <c r="I37" s="591"/>
      <c r="J37" s="591"/>
      <c r="K37" s="592"/>
      <c r="L37" s="4"/>
      <c r="M37" s="4">
        <v>0</v>
      </c>
      <c r="N37" s="4">
        <v>0</v>
      </c>
      <c r="O37" s="4">
        <v>9.2609999999999992</v>
      </c>
      <c r="P37" s="4">
        <v>0</v>
      </c>
    </row>
    <row r="38" spans="1:20" s="5" customFormat="1" ht="13.9" customHeight="1">
      <c r="A38" s="583"/>
      <c r="B38" s="584"/>
      <c r="C38" s="584"/>
      <c r="D38" s="584"/>
      <c r="E38" s="584"/>
      <c r="F38" s="590"/>
      <c r="G38" s="590"/>
      <c r="H38" s="590"/>
      <c r="I38" s="591"/>
      <c r="J38" s="591"/>
      <c r="K38" s="592"/>
      <c r="L38" s="4"/>
      <c r="M38" s="4">
        <v>4</v>
      </c>
      <c r="N38" s="4">
        <v>4</v>
      </c>
      <c r="O38" s="4">
        <v>4</v>
      </c>
      <c r="P38" s="4">
        <v>4</v>
      </c>
    </row>
    <row r="39" spans="1:20" s="5" customFormat="1" ht="13.9" customHeight="1">
      <c r="A39" s="583"/>
      <c r="B39" s="584"/>
      <c r="C39" s="584"/>
      <c r="D39" s="584"/>
      <c r="E39" s="584"/>
      <c r="F39" s="590"/>
      <c r="G39" s="590"/>
      <c r="H39" s="590"/>
      <c r="I39" s="591"/>
      <c r="J39" s="591"/>
      <c r="K39" s="592"/>
      <c r="L39" s="4"/>
      <c r="M39" s="4">
        <v>0</v>
      </c>
      <c r="N39" s="4">
        <v>0</v>
      </c>
      <c r="O39" s="4">
        <v>309</v>
      </c>
      <c r="P39" s="4">
        <v>309</v>
      </c>
    </row>
    <row r="40" spans="1:20" s="5" customFormat="1" ht="13.9" customHeight="1">
      <c r="A40" s="583"/>
      <c r="B40" s="584"/>
      <c r="C40" s="584"/>
      <c r="D40" s="584"/>
      <c r="E40" s="584"/>
      <c r="F40" s="590"/>
      <c r="G40" s="590"/>
      <c r="H40" s="590"/>
      <c r="I40" s="591"/>
      <c r="J40" s="591"/>
      <c r="K40" s="592"/>
      <c r="L40" s="4"/>
      <c r="M40" s="4">
        <v>2300.7199999999998</v>
      </c>
      <c r="N40" s="4">
        <v>3002.72</v>
      </c>
      <c r="O40" s="4">
        <v>562.11</v>
      </c>
      <c r="P40" s="4">
        <v>562.11</v>
      </c>
    </row>
    <row r="41" spans="1:20" s="5" customFormat="1" ht="13.9" customHeight="1">
      <c r="A41" s="583"/>
      <c r="B41" s="584"/>
      <c r="C41" s="584"/>
      <c r="D41" s="584"/>
      <c r="E41" s="584"/>
      <c r="F41" s="590"/>
      <c r="G41" s="590"/>
      <c r="H41" s="590"/>
      <c r="I41" s="591"/>
      <c r="J41" s="591"/>
      <c r="K41" s="592"/>
      <c r="L41" s="4"/>
      <c r="M41" s="4">
        <v>6369.45</v>
      </c>
      <c r="N41" s="4">
        <v>6905.47</v>
      </c>
      <c r="O41" s="4">
        <v>6119.16</v>
      </c>
      <c r="P41" s="4">
        <v>9046.5499999999993</v>
      </c>
    </row>
    <row r="42" spans="1:20" s="5" customFormat="1" ht="13.9" customHeight="1">
      <c r="A42" s="583"/>
      <c r="B42" s="584"/>
      <c r="C42" s="584"/>
      <c r="D42" s="584"/>
      <c r="E42" s="584"/>
      <c r="F42" s="590"/>
      <c r="G42" s="590"/>
      <c r="H42" s="590"/>
      <c r="I42" s="591"/>
      <c r="J42" s="591"/>
      <c r="K42" s="592"/>
      <c r="L42" s="4"/>
      <c r="M42" s="4">
        <v>7896.36</v>
      </c>
      <c r="N42" s="4">
        <v>7805.84</v>
      </c>
      <c r="O42" s="4">
        <v>1921.33</v>
      </c>
      <c r="P42" s="4">
        <v>13505.69</v>
      </c>
    </row>
    <row r="43" spans="1:20" s="5" customFormat="1" ht="13.9" customHeight="1" thickBot="1">
      <c r="A43" s="588"/>
      <c r="B43" s="589"/>
      <c r="C43" s="589"/>
      <c r="D43" s="589"/>
      <c r="E43" s="589"/>
      <c r="F43" s="593"/>
      <c r="G43" s="593"/>
      <c r="H43" s="593"/>
      <c r="I43" s="594"/>
      <c r="J43" s="594"/>
      <c r="K43" s="595"/>
      <c r="L43" s="4"/>
      <c r="M43" s="4">
        <v>140</v>
      </c>
      <c r="N43" s="4">
        <v>139.6</v>
      </c>
      <c r="O43" s="4">
        <v>218.6</v>
      </c>
      <c r="P43" s="4">
        <v>209.5</v>
      </c>
    </row>
    <row r="44" spans="1:20" s="175" customFormat="1" ht="18" customHeight="1" thickTop="1">
      <c r="A44" s="253"/>
      <c r="B44" s="253"/>
      <c r="C44" s="253"/>
      <c r="D44" s="253"/>
      <c r="E44" s="253"/>
      <c r="F44" s="116"/>
      <c r="G44" s="116"/>
      <c r="H44" s="116"/>
      <c r="I44" s="116"/>
      <c r="J44" s="116"/>
      <c r="K44" s="117"/>
      <c r="L44" s="118"/>
      <c r="M44" s="118"/>
      <c r="N44" s="118"/>
      <c r="O44" s="118"/>
      <c r="P44" s="119"/>
      <c r="Q44" s="120"/>
      <c r="R44" s="120"/>
      <c r="S44" s="120"/>
      <c r="T44" s="121"/>
    </row>
    <row r="45" spans="1:20" s="111" customFormat="1" ht="48" customHeight="1">
      <c r="A45" s="596" t="s">
        <v>87</v>
      </c>
      <c r="B45" s="596"/>
      <c r="C45" s="596"/>
      <c r="D45" s="596"/>
      <c r="E45" s="596"/>
      <c r="F45" s="596"/>
      <c r="G45" s="596"/>
      <c r="H45" s="596"/>
      <c r="I45" s="596"/>
      <c r="J45" s="596"/>
      <c r="K45" s="596"/>
      <c r="L45" s="108"/>
      <c r="M45" s="109"/>
      <c r="N45" s="110"/>
    </row>
    <row r="46" spans="1:20" s="112" customFormat="1" ht="18" customHeight="1">
      <c r="A46" s="597" t="s">
        <v>599</v>
      </c>
      <c r="B46" s="597"/>
      <c r="C46" s="597"/>
      <c r="D46" s="597"/>
      <c r="E46" s="597"/>
      <c r="F46" s="597"/>
      <c r="G46" s="597"/>
      <c r="H46" s="597"/>
      <c r="I46" s="597"/>
      <c r="J46" s="597"/>
      <c r="K46" s="597"/>
    </row>
    <row r="47" spans="1:20" s="175" customFormat="1" ht="20.100000000000001" customHeight="1">
      <c r="A47" s="598" t="s">
        <v>90</v>
      </c>
      <c r="B47" s="598"/>
      <c r="C47" s="598"/>
      <c r="D47" s="598"/>
      <c r="E47" s="598"/>
      <c r="F47" s="598"/>
      <c r="G47" s="598"/>
      <c r="H47" s="598"/>
      <c r="I47" s="598"/>
      <c r="J47" s="598"/>
      <c r="K47" s="598"/>
      <c r="L47" s="123"/>
      <c r="M47" s="124"/>
      <c r="N47" s="123"/>
      <c r="O47" s="123"/>
      <c r="P47" s="123"/>
      <c r="Q47" s="123"/>
      <c r="R47" s="123"/>
      <c r="S47" s="123"/>
      <c r="T47" s="123"/>
    </row>
    <row r="48" spans="1:20" s="175" customFormat="1" ht="15.95" customHeight="1">
      <c r="A48" s="599" t="s">
        <v>91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123"/>
      <c r="M48" s="124"/>
      <c r="N48" s="123"/>
      <c r="O48" s="123"/>
      <c r="P48" s="123"/>
      <c r="Q48" s="123"/>
      <c r="R48" s="123"/>
      <c r="S48" s="123"/>
      <c r="T48" s="123"/>
    </row>
    <row r="49" spans="1:20" s="175" customFormat="1" ht="15.95" customHeight="1">
      <c r="A49" s="600" t="str">
        <f>A4</f>
        <v>PHẦN C.: CẦU VƯỢT</v>
      </c>
      <c r="B49" s="601"/>
      <c r="C49" s="601"/>
      <c r="D49" s="601"/>
      <c r="E49" s="601"/>
      <c r="F49" s="601"/>
      <c r="G49" s="601"/>
      <c r="H49" s="601"/>
      <c r="I49" s="601"/>
      <c r="J49" s="601"/>
      <c r="K49" s="602"/>
      <c r="L49" s="123"/>
      <c r="M49" s="124"/>
      <c r="N49" s="123"/>
      <c r="O49" s="123"/>
      <c r="P49" s="123"/>
      <c r="Q49" s="123"/>
      <c r="R49" s="123"/>
      <c r="S49" s="123"/>
      <c r="T49" s="123"/>
    </row>
    <row r="50" spans="1:20" s="175" customFormat="1" ht="15.95" customHeight="1">
      <c r="A50" s="254" t="str">
        <f>A5</f>
        <v>Hạng mục C.II.1.2. Gia cố mái taluy</v>
      </c>
      <c r="B50" s="255"/>
      <c r="C50" s="127"/>
      <c r="D50" s="127"/>
      <c r="E50" s="128"/>
      <c r="F50" s="129"/>
      <c r="G50" s="129"/>
      <c r="H50" s="129"/>
      <c r="I50" s="129"/>
      <c r="J50" s="129"/>
      <c r="K50" s="130"/>
      <c r="L50" s="123"/>
      <c r="M50" s="124"/>
      <c r="N50" s="123"/>
      <c r="O50" s="123"/>
      <c r="P50" s="123"/>
      <c r="Q50" s="123"/>
      <c r="R50" s="123"/>
      <c r="S50" s="123"/>
      <c r="T50" s="123"/>
    </row>
    <row r="51" spans="1:20" s="175" customFormat="1" ht="15.95" customHeight="1">
      <c r="A51" s="254" t="str">
        <f>A6</f>
        <v>Mục C.II.1.2.1. Bê tông đúc sẵn tấm ốp taluy 16MPa</v>
      </c>
      <c r="B51" s="255"/>
      <c r="C51" s="127"/>
      <c r="D51" s="127"/>
      <c r="E51" s="128"/>
      <c r="F51" s="129"/>
      <c r="G51" s="129"/>
      <c r="H51" s="129"/>
      <c r="I51" s="129"/>
      <c r="J51" s="129"/>
      <c r="K51" s="130"/>
      <c r="L51" s="123"/>
      <c r="M51" s="124"/>
      <c r="N51" s="123"/>
      <c r="O51" s="123"/>
      <c r="P51" s="123"/>
      <c r="Q51" s="123"/>
      <c r="R51" s="123"/>
      <c r="S51" s="123"/>
      <c r="T51" s="123"/>
    </row>
    <row r="52" spans="1:20" s="175" customFormat="1" ht="15.95" customHeight="1">
      <c r="A52" s="639">
        <f>A7</f>
        <v>57.53</v>
      </c>
      <c r="B52" s="640"/>
      <c r="C52" s="640"/>
      <c r="D52" s="640"/>
      <c r="E52" s="131" t="str">
        <f>E7</f>
        <v>(m3)</v>
      </c>
      <c r="F52" s="132"/>
      <c r="G52" s="132"/>
      <c r="H52" s="132"/>
      <c r="I52" s="132"/>
      <c r="J52" s="132"/>
      <c r="K52" s="133"/>
      <c r="L52" s="173"/>
      <c r="M52" s="135"/>
      <c r="N52" s="174"/>
      <c r="P52" s="174"/>
    </row>
    <row r="53" spans="1:20" s="5" customFormat="1" ht="13.5" customHeight="1" thickBot="1">
      <c r="A53" s="28"/>
      <c r="B53" s="28"/>
      <c r="C53" s="28"/>
      <c r="D53" s="28"/>
      <c r="E53" s="28"/>
      <c r="F53" s="30"/>
      <c r="G53" s="30"/>
      <c r="H53" s="30"/>
      <c r="I53" s="30"/>
      <c r="J53" s="30"/>
      <c r="K53" s="8"/>
      <c r="L53" s="23"/>
      <c r="M53" s="9"/>
      <c r="N53" s="4"/>
      <c r="O53" s="4"/>
      <c r="P53" s="4"/>
      <c r="R53" s="4"/>
      <c r="S53" s="4"/>
      <c r="T53" s="4"/>
    </row>
    <row r="54" spans="1:20" s="5" customFormat="1" ht="21.6" customHeight="1" thickTop="1">
      <c r="A54" s="576" t="s">
        <v>3</v>
      </c>
      <c r="B54" s="641" t="s">
        <v>84</v>
      </c>
      <c r="C54" s="641"/>
      <c r="D54" s="643" t="s">
        <v>96</v>
      </c>
      <c r="E54" s="643"/>
      <c r="F54" s="643"/>
      <c r="G54" s="643"/>
      <c r="H54" s="641" t="s">
        <v>89</v>
      </c>
      <c r="I54" s="641"/>
      <c r="J54" s="641" t="s">
        <v>85</v>
      </c>
      <c r="K54" s="645"/>
      <c r="L54"/>
      <c r="M54" s="94"/>
      <c r="N54" s="94"/>
      <c r="O54" s="95"/>
      <c r="P54" s="96"/>
    </row>
    <row r="55" spans="1:20" s="5" customFormat="1" ht="21.6" customHeight="1">
      <c r="A55" s="577"/>
      <c r="B55" s="642"/>
      <c r="C55" s="642"/>
      <c r="D55" s="644"/>
      <c r="E55" s="644"/>
      <c r="F55" s="644"/>
      <c r="G55" s="644"/>
      <c r="H55" s="642"/>
      <c r="I55" s="642"/>
      <c r="J55" s="642"/>
      <c r="K55" s="646"/>
      <c r="L55"/>
      <c r="M55" s="97"/>
      <c r="N55" s="97"/>
      <c r="O55" s="98"/>
      <c r="P55" s="99"/>
    </row>
    <row r="56" spans="1:20" s="5" customFormat="1" ht="17.100000000000001" customHeight="1">
      <c r="A56" s="100">
        <v>1</v>
      </c>
      <c r="B56" s="623" t="str">
        <f>"Tháng "&amp;IF(L56&lt;10,0&amp;L56&amp;"/"&amp;M56,L56&amp;"/"&amp;M56)</f>
        <v>Tháng 08/2017</v>
      </c>
      <c r="C56" s="623"/>
      <c r="D56" s="624" t="str">
        <f>N6</f>
        <v>Bê tông đúc sẵn tấm ốp taluy 16MPa</v>
      </c>
      <c r="E56" s="624"/>
      <c r="F56" s="624"/>
      <c r="G56" s="624"/>
      <c r="H56" s="625">
        <f t="shared" ref="H56:H79" si="36">+SUMIFS($I$12:$I$32,$B$12:$B$32,"&gt;="&amp;$O56,$B$12:$B$32,"&lt;="&amp;$P56)</f>
        <v>0</v>
      </c>
      <c r="I56" s="625"/>
      <c r="J56" s="623"/>
      <c r="K56" s="626"/>
      <c r="L56">
        <v>8</v>
      </c>
      <c r="M56" s="101">
        <v>2017</v>
      </c>
      <c r="N56" s="97"/>
      <c r="O56" s="103">
        <f t="shared" ref="O56:O80" si="37">DATE(M56,L56,1)</f>
        <v>42948</v>
      </c>
      <c r="P56" s="103">
        <f t="shared" ref="P56:P80" si="38">DATE(M56,L56+1,0)</f>
        <v>42978</v>
      </c>
    </row>
    <row r="57" spans="1:20" s="5" customFormat="1" ht="17.100000000000001" customHeight="1">
      <c r="A57" s="104">
        <v>2</v>
      </c>
      <c r="B57" s="567" t="str">
        <f t="shared" ref="B57:B81" si="39">"Tháng "&amp;IF(L57&lt;10,0&amp;L57&amp;"/"&amp;M57,L57&amp;"/"&amp;M57)</f>
        <v>Tháng 09/2017</v>
      </c>
      <c r="C57" s="567"/>
      <c r="D57" s="568" t="str">
        <f>D56</f>
        <v>Bê tông đúc sẵn tấm ốp taluy 16MPa</v>
      </c>
      <c r="E57" s="568"/>
      <c r="F57" s="568"/>
      <c r="G57" s="568"/>
      <c r="H57" s="569">
        <f t="shared" si="36"/>
        <v>0</v>
      </c>
      <c r="I57" s="569"/>
      <c r="J57" s="567"/>
      <c r="K57" s="570"/>
      <c r="L57">
        <v>9</v>
      </c>
      <c r="M57" s="101">
        <v>2017</v>
      </c>
      <c r="N57"/>
      <c r="O57" s="103">
        <f t="shared" si="37"/>
        <v>42979</v>
      </c>
      <c r="P57" s="103">
        <f t="shared" si="38"/>
        <v>43008</v>
      </c>
    </row>
    <row r="58" spans="1:20" s="5" customFormat="1" ht="17.100000000000001" customHeight="1">
      <c r="A58" s="104">
        <f>A57+1</f>
        <v>3</v>
      </c>
      <c r="B58" s="567" t="str">
        <f t="shared" si="39"/>
        <v>Tháng 10/2017</v>
      </c>
      <c r="C58" s="567"/>
      <c r="D58" s="568" t="str">
        <f t="shared" ref="D58:D80" si="40">D57</f>
        <v>Bê tông đúc sẵn tấm ốp taluy 16MPa</v>
      </c>
      <c r="E58" s="568"/>
      <c r="F58" s="568"/>
      <c r="G58" s="568"/>
      <c r="H58" s="569">
        <f t="shared" si="36"/>
        <v>0</v>
      </c>
      <c r="I58" s="569"/>
      <c r="J58" s="567"/>
      <c r="K58" s="570"/>
      <c r="L58">
        <v>10</v>
      </c>
      <c r="M58" s="101">
        <v>2017</v>
      </c>
      <c r="N58"/>
      <c r="O58" s="103">
        <f t="shared" si="37"/>
        <v>43009</v>
      </c>
      <c r="P58" s="103">
        <f t="shared" si="38"/>
        <v>43039</v>
      </c>
    </row>
    <row r="59" spans="1:20" s="5" customFormat="1" ht="17.100000000000001" customHeight="1">
      <c r="A59" s="104">
        <f t="shared" ref="A59:A81" si="41">A58+1</f>
        <v>4</v>
      </c>
      <c r="B59" s="567" t="str">
        <f t="shared" si="39"/>
        <v>Tháng 11/2017</v>
      </c>
      <c r="C59" s="567"/>
      <c r="D59" s="568" t="str">
        <f t="shared" si="40"/>
        <v>Bê tông đúc sẵn tấm ốp taluy 16MPa</v>
      </c>
      <c r="E59" s="568"/>
      <c r="F59" s="568"/>
      <c r="G59" s="568"/>
      <c r="H59" s="569">
        <f t="shared" si="36"/>
        <v>0</v>
      </c>
      <c r="I59" s="569"/>
      <c r="J59" s="567"/>
      <c r="K59" s="570"/>
      <c r="L59">
        <v>11</v>
      </c>
      <c r="M59" s="101">
        <v>2017</v>
      </c>
      <c r="N59"/>
      <c r="O59" s="103">
        <f t="shared" si="37"/>
        <v>43040</v>
      </c>
      <c r="P59" s="103">
        <f t="shared" si="38"/>
        <v>43069</v>
      </c>
    </row>
    <row r="60" spans="1:20" s="5" customFormat="1" ht="17.100000000000001" customHeight="1">
      <c r="A60" s="104">
        <f t="shared" si="41"/>
        <v>5</v>
      </c>
      <c r="B60" s="567" t="str">
        <f t="shared" si="39"/>
        <v>Tháng 12/2017</v>
      </c>
      <c r="C60" s="567"/>
      <c r="D60" s="568" t="str">
        <f t="shared" si="40"/>
        <v>Bê tông đúc sẵn tấm ốp taluy 16MPa</v>
      </c>
      <c r="E60" s="568"/>
      <c r="F60" s="568"/>
      <c r="G60" s="568"/>
      <c r="H60" s="569">
        <f t="shared" si="36"/>
        <v>0</v>
      </c>
      <c r="I60" s="569"/>
      <c r="J60" s="567"/>
      <c r="K60" s="570"/>
      <c r="L60">
        <v>12</v>
      </c>
      <c r="M60" s="101">
        <v>2017</v>
      </c>
      <c r="N60"/>
      <c r="O60" s="103">
        <f t="shared" si="37"/>
        <v>43070</v>
      </c>
      <c r="P60" s="103">
        <f t="shared" si="38"/>
        <v>43100</v>
      </c>
    </row>
    <row r="61" spans="1:20" s="5" customFormat="1" ht="17.100000000000001" customHeight="1">
      <c r="A61" s="104">
        <f t="shared" si="41"/>
        <v>6</v>
      </c>
      <c r="B61" s="567" t="str">
        <f t="shared" si="39"/>
        <v>Tháng 01/2018</v>
      </c>
      <c r="C61" s="567"/>
      <c r="D61" s="568" t="str">
        <f t="shared" si="40"/>
        <v>Bê tông đúc sẵn tấm ốp taluy 16MPa</v>
      </c>
      <c r="E61" s="568"/>
      <c r="F61" s="568"/>
      <c r="G61" s="568"/>
      <c r="H61" s="569">
        <f t="shared" si="36"/>
        <v>0</v>
      </c>
      <c r="I61" s="569"/>
      <c r="J61" s="567"/>
      <c r="K61" s="570"/>
      <c r="L61">
        <v>1</v>
      </c>
      <c r="M61" s="101">
        <v>2018</v>
      </c>
      <c r="N61"/>
      <c r="O61" s="103">
        <f t="shared" si="37"/>
        <v>43101</v>
      </c>
      <c r="P61" s="103">
        <f t="shared" si="38"/>
        <v>43131</v>
      </c>
    </row>
    <row r="62" spans="1:20" s="5" customFormat="1" ht="17.100000000000001" customHeight="1">
      <c r="A62" s="104">
        <f t="shared" si="41"/>
        <v>7</v>
      </c>
      <c r="B62" s="567" t="str">
        <f t="shared" si="39"/>
        <v>Tháng 02/2018</v>
      </c>
      <c r="C62" s="567"/>
      <c r="D62" s="568" t="str">
        <f t="shared" si="40"/>
        <v>Bê tông đúc sẵn tấm ốp taluy 16MPa</v>
      </c>
      <c r="E62" s="568"/>
      <c r="F62" s="568"/>
      <c r="G62" s="568"/>
      <c r="H62" s="569">
        <f t="shared" si="36"/>
        <v>0</v>
      </c>
      <c r="I62" s="569"/>
      <c r="J62" s="567"/>
      <c r="K62" s="570"/>
      <c r="L62">
        <v>2</v>
      </c>
      <c r="M62" s="101">
        <v>2018</v>
      </c>
      <c r="N62"/>
      <c r="O62" s="103">
        <f t="shared" si="37"/>
        <v>43132</v>
      </c>
      <c r="P62" s="103">
        <f t="shared" si="38"/>
        <v>43159</v>
      </c>
    </row>
    <row r="63" spans="1:20" s="5" customFormat="1" ht="17.100000000000001" customHeight="1">
      <c r="A63" s="104">
        <f t="shared" si="41"/>
        <v>8</v>
      </c>
      <c r="B63" s="567" t="str">
        <f t="shared" si="39"/>
        <v>Tháng 03/2018</v>
      </c>
      <c r="C63" s="567"/>
      <c r="D63" s="568" t="str">
        <f t="shared" si="40"/>
        <v>Bê tông đúc sẵn tấm ốp taluy 16MPa</v>
      </c>
      <c r="E63" s="568"/>
      <c r="F63" s="568"/>
      <c r="G63" s="568"/>
      <c r="H63" s="569">
        <f t="shared" si="36"/>
        <v>0</v>
      </c>
      <c r="I63" s="569"/>
      <c r="J63" s="567"/>
      <c r="K63" s="570"/>
      <c r="L63">
        <v>3</v>
      </c>
      <c r="M63" s="101">
        <v>2018</v>
      </c>
      <c r="N63"/>
      <c r="O63" s="103">
        <f t="shared" si="37"/>
        <v>43160</v>
      </c>
      <c r="P63" s="103">
        <f t="shared" si="38"/>
        <v>43190</v>
      </c>
    </row>
    <row r="64" spans="1:20" s="5" customFormat="1" ht="17.100000000000001" customHeight="1">
      <c r="A64" s="104">
        <f t="shared" si="41"/>
        <v>9</v>
      </c>
      <c r="B64" s="567" t="str">
        <f t="shared" si="39"/>
        <v>Tháng 04/2018</v>
      </c>
      <c r="C64" s="567"/>
      <c r="D64" s="568" t="str">
        <f t="shared" si="40"/>
        <v>Bê tông đúc sẵn tấm ốp taluy 16MPa</v>
      </c>
      <c r="E64" s="568"/>
      <c r="F64" s="568"/>
      <c r="G64" s="568"/>
      <c r="H64" s="569">
        <f t="shared" si="36"/>
        <v>0</v>
      </c>
      <c r="I64" s="569"/>
      <c r="J64" s="567"/>
      <c r="K64" s="570"/>
      <c r="L64">
        <v>4</v>
      </c>
      <c r="M64" s="101">
        <v>2018</v>
      </c>
      <c r="N64"/>
      <c r="O64" s="103">
        <f t="shared" si="37"/>
        <v>43191</v>
      </c>
      <c r="P64" s="103">
        <f t="shared" si="38"/>
        <v>43220</v>
      </c>
    </row>
    <row r="65" spans="1:16" s="5" customFormat="1" ht="17.100000000000001" customHeight="1">
      <c r="A65" s="104">
        <f t="shared" si="41"/>
        <v>10</v>
      </c>
      <c r="B65" s="567" t="str">
        <f t="shared" si="39"/>
        <v>Tháng 05/2018</v>
      </c>
      <c r="C65" s="567"/>
      <c r="D65" s="568" t="str">
        <f t="shared" si="40"/>
        <v>Bê tông đúc sẵn tấm ốp taluy 16MPa</v>
      </c>
      <c r="E65" s="568"/>
      <c r="F65" s="568"/>
      <c r="G65" s="568"/>
      <c r="H65" s="569">
        <f t="shared" si="36"/>
        <v>0</v>
      </c>
      <c r="I65" s="569"/>
      <c r="J65" s="567"/>
      <c r="K65" s="570"/>
      <c r="L65">
        <v>5</v>
      </c>
      <c r="M65" s="101">
        <v>2018</v>
      </c>
      <c r="N65"/>
      <c r="O65" s="103">
        <f t="shared" si="37"/>
        <v>43221</v>
      </c>
      <c r="P65" s="103">
        <f t="shared" si="38"/>
        <v>43251</v>
      </c>
    </row>
    <row r="66" spans="1:16" s="5" customFormat="1" ht="17.100000000000001" customHeight="1">
      <c r="A66" s="104">
        <f t="shared" si="41"/>
        <v>11</v>
      </c>
      <c r="B66" s="567" t="str">
        <f t="shared" si="39"/>
        <v>Tháng 06/2018</v>
      </c>
      <c r="C66" s="567"/>
      <c r="D66" s="568" t="str">
        <f t="shared" si="40"/>
        <v>Bê tông đúc sẵn tấm ốp taluy 16MPa</v>
      </c>
      <c r="E66" s="568"/>
      <c r="F66" s="568"/>
      <c r="G66" s="568"/>
      <c r="H66" s="569">
        <f t="shared" si="36"/>
        <v>0</v>
      </c>
      <c r="I66" s="569"/>
      <c r="J66" s="567"/>
      <c r="K66" s="570"/>
      <c r="L66">
        <v>6</v>
      </c>
      <c r="M66" s="101">
        <v>2018</v>
      </c>
      <c r="N66"/>
      <c r="O66" s="103">
        <f t="shared" si="37"/>
        <v>43252</v>
      </c>
      <c r="P66" s="103">
        <f t="shared" si="38"/>
        <v>43281</v>
      </c>
    </row>
    <row r="67" spans="1:16" s="5" customFormat="1" ht="17.100000000000001" customHeight="1">
      <c r="A67" s="104">
        <f t="shared" si="41"/>
        <v>12</v>
      </c>
      <c r="B67" s="567" t="str">
        <f t="shared" si="39"/>
        <v>Tháng 07/2018</v>
      </c>
      <c r="C67" s="567"/>
      <c r="D67" s="568" t="str">
        <f t="shared" si="40"/>
        <v>Bê tông đúc sẵn tấm ốp taluy 16MPa</v>
      </c>
      <c r="E67" s="568"/>
      <c r="F67" s="568"/>
      <c r="G67" s="568"/>
      <c r="H67" s="569">
        <f t="shared" si="36"/>
        <v>0</v>
      </c>
      <c r="I67" s="569"/>
      <c r="J67" s="567"/>
      <c r="K67" s="570"/>
      <c r="L67">
        <v>7</v>
      </c>
      <c r="M67" s="101">
        <v>2018</v>
      </c>
      <c r="N67"/>
      <c r="O67" s="103">
        <f t="shared" si="37"/>
        <v>43282</v>
      </c>
      <c r="P67" s="103">
        <f t="shared" si="38"/>
        <v>43312</v>
      </c>
    </row>
    <row r="68" spans="1:16" s="5" customFormat="1" ht="17.100000000000001" customHeight="1">
      <c r="A68" s="104">
        <f t="shared" si="41"/>
        <v>13</v>
      </c>
      <c r="B68" s="567" t="str">
        <f t="shared" si="39"/>
        <v>Tháng 08/2018</v>
      </c>
      <c r="C68" s="567"/>
      <c r="D68" s="568" t="str">
        <f t="shared" si="40"/>
        <v>Bê tông đúc sẵn tấm ốp taluy 16MPa</v>
      </c>
      <c r="E68" s="568"/>
      <c r="F68" s="568"/>
      <c r="G68" s="568"/>
      <c r="H68" s="569">
        <f t="shared" si="36"/>
        <v>0</v>
      </c>
      <c r="I68" s="569"/>
      <c r="J68" s="567"/>
      <c r="K68" s="570"/>
      <c r="L68">
        <v>8</v>
      </c>
      <c r="M68" s="101">
        <v>2018</v>
      </c>
      <c r="N68"/>
      <c r="O68" s="103">
        <f t="shared" si="37"/>
        <v>43313</v>
      </c>
      <c r="P68" s="103">
        <f t="shared" si="38"/>
        <v>43343</v>
      </c>
    </row>
    <row r="69" spans="1:16" s="5" customFormat="1" ht="17.100000000000001" customHeight="1">
      <c r="A69" s="104">
        <f t="shared" si="41"/>
        <v>14</v>
      </c>
      <c r="B69" s="567" t="str">
        <f t="shared" si="39"/>
        <v>Tháng 09/2018</v>
      </c>
      <c r="C69" s="567"/>
      <c r="D69" s="568" t="str">
        <f t="shared" si="40"/>
        <v>Bê tông đúc sẵn tấm ốp taluy 16MPa</v>
      </c>
      <c r="E69" s="568"/>
      <c r="F69" s="568"/>
      <c r="G69" s="568"/>
      <c r="H69" s="569">
        <f t="shared" si="36"/>
        <v>0</v>
      </c>
      <c r="I69" s="569"/>
      <c r="J69" s="567"/>
      <c r="K69" s="570"/>
      <c r="L69">
        <v>9</v>
      </c>
      <c r="M69" s="101">
        <v>2018</v>
      </c>
      <c r="N69"/>
      <c r="O69" s="103">
        <f t="shared" si="37"/>
        <v>43344</v>
      </c>
      <c r="P69" s="103">
        <f t="shared" si="38"/>
        <v>43373</v>
      </c>
    </row>
    <row r="70" spans="1:16" s="5" customFormat="1" ht="17.100000000000001" customHeight="1">
      <c r="A70" s="104">
        <f t="shared" si="41"/>
        <v>15</v>
      </c>
      <c r="B70" s="567" t="str">
        <f t="shared" si="39"/>
        <v>Tháng 10/2018</v>
      </c>
      <c r="C70" s="567"/>
      <c r="D70" s="568" t="str">
        <f t="shared" si="40"/>
        <v>Bê tông đúc sẵn tấm ốp taluy 16MPa</v>
      </c>
      <c r="E70" s="568"/>
      <c r="F70" s="568"/>
      <c r="G70" s="568"/>
      <c r="H70" s="569">
        <f t="shared" si="36"/>
        <v>0</v>
      </c>
      <c r="I70" s="569"/>
      <c r="J70" s="567"/>
      <c r="K70" s="570"/>
      <c r="L70">
        <v>10</v>
      </c>
      <c r="M70" s="101">
        <v>2018</v>
      </c>
      <c r="N70"/>
      <c r="O70" s="103">
        <f t="shared" si="37"/>
        <v>43374</v>
      </c>
      <c r="P70" s="103">
        <f t="shared" si="38"/>
        <v>43404</v>
      </c>
    </row>
    <row r="71" spans="1:16" s="5" customFormat="1" ht="17.100000000000001" customHeight="1">
      <c r="A71" s="104">
        <f t="shared" si="41"/>
        <v>16</v>
      </c>
      <c r="B71" s="567" t="str">
        <f t="shared" si="39"/>
        <v>Tháng 11/2018</v>
      </c>
      <c r="C71" s="567"/>
      <c r="D71" s="568" t="str">
        <f t="shared" si="40"/>
        <v>Bê tông đúc sẵn tấm ốp taluy 16MPa</v>
      </c>
      <c r="E71" s="568"/>
      <c r="F71" s="568"/>
      <c r="G71" s="568"/>
      <c r="H71" s="569">
        <f t="shared" si="36"/>
        <v>0</v>
      </c>
      <c r="I71" s="569"/>
      <c r="J71" s="567"/>
      <c r="K71" s="570"/>
      <c r="L71">
        <v>11</v>
      </c>
      <c r="M71" s="101">
        <v>2018</v>
      </c>
      <c r="N71"/>
      <c r="O71" s="103">
        <f t="shared" si="37"/>
        <v>43405</v>
      </c>
      <c r="P71" s="103">
        <f t="shared" si="38"/>
        <v>43434</v>
      </c>
    </row>
    <row r="72" spans="1:16" s="5" customFormat="1" ht="17.100000000000001" customHeight="1">
      <c r="A72" s="104">
        <f t="shared" si="41"/>
        <v>17</v>
      </c>
      <c r="B72" s="567" t="str">
        <f t="shared" si="39"/>
        <v>Tháng 12/2018</v>
      </c>
      <c r="C72" s="567"/>
      <c r="D72" s="568" t="str">
        <f t="shared" si="40"/>
        <v>Bê tông đúc sẵn tấm ốp taluy 16MPa</v>
      </c>
      <c r="E72" s="568"/>
      <c r="F72" s="568"/>
      <c r="G72" s="568"/>
      <c r="H72" s="569">
        <f t="shared" si="36"/>
        <v>0</v>
      </c>
      <c r="I72" s="569"/>
      <c r="J72" s="567"/>
      <c r="K72" s="570"/>
      <c r="L72">
        <v>12</v>
      </c>
      <c r="M72" s="101">
        <v>2018</v>
      </c>
      <c r="N72"/>
      <c r="O72" s="103">
        <f t="shared" si="37"/>
        <v>43435</v>
      </c>
      <c r="P72" s="103">
        <f t="shared" si="38"/>
        <v>43465</v>
      </c>
    </row>
    <row r="73" spans="1:16" s="5" customFormat="1" ht="17.100000000000001" customHeight="1">
      <c r="A73" s="104">
        <f t="shared" si="41"/>
        <v>18</v>
      </c>
      <c r="B73" s="567" t="str">
        <f t="shared" si="39"/>
        <v>Tháng 01/2019</v>
      </c>
      <c r="C73" s="567"/>
      <c r="D73" s="568" t="str">
        <f t="shared" si="40"/>
        <v>Bê tông đúc sẵn tấm ốp taluy 16MPa</v>
      </c>
      <c r="E73" s="568"/>
      <c r="F73" s="568"/>
      <c r="G73" s="568"/>
      <c r="H73" s="569">
        <f t="shared" si="36"/>
        <v>0</v>
      </c>
      <c r="I73" s="569"/>
      <c r="J73" s="567"/>
      <c r="K73" s="570"/>
      <c r="L73">
        <v>1</v>
      </c>
      <c r="M73" s="101">
        <v>2019</v>
      </c>
      <c r="N73"/>
      <c r="O73" s="103">
        <f t="shared" si="37"/>
        <v>43466</v>
      </c>
      <c r="P73" s="103">
        <f t="shared" si="38"/>
        <v>43496</v>
      </c>
    </row>
    <row r="74" spans="1:16" s="5" customFormat="1" ht="17.100000000000001" customHeight="1">
      <c r="A74" s="104">
        <f t="shared" si="41"/>
        <v>19</v>
      </c>
      <c r="B74" s="567" t="str">
        <f t="shared" si="39"/>
        <v>Tháng 02/2019</v>
      </c>
      <c r="C74" s="567"/>
      <c r="D74" s="568" t="str">
        <f t="shared" si="40"/>
        <v>Bê tông đúc sẵn tấm ốp taluy 16MPa</v>
      </c>
      <c r="E74" s="568"/>
      <c r="F74" s="568"/>
      <c r="G74" s="568"/>
      <c r="H74" s="569">
        <f t="shared" si="36"/>
        <v>24.08</v>
      </c>
      <c r="I74" s="569"/>
      <c r="J74" s="567"/>
      <c r="K74" s="570"/>
      <c r="L74">
        <v>2</v>
      </c>
      <c r="M74" s="101">
        <v>2019</v>
      </c>
      <c r="N74"/>
      <c r="O74" s="103">
        <f t="shared" si="37"/>
        <v>43497</v>
      </c>
      <c r="P74" s="103">
        <f t="shared" si="38"/>
        <v>43524</v>
      </c>
    </row>
    <row r="75" spans="1:16" s="5" customFormat="1" ht="17.100000000000001" customHeight="1">
      <c r="A75" s="104">
        <f t="shared" si="41"/>
        <v>20</v>
      </c>
      <c r="B75" s="567" t="str">
        <f t="shared" si="39"/>
        <v>Tháng 03/2019</v>
      </c>
      <c r="C75" s="567"/>
      <c r="D75" s="568" t="str">
        <f t="shared" si="40"/>
        <v>Bê tông đúc sẵn tấm ốp taluy 16MPa</v>
      </c>
      <c r="E75" s="568"/>
      <c r="F75" s="568"/>
      <c r="G75" s="568"/>
      <c r="H75" s="569">
        <f t="shared" si="36"/>
        <v>31.599999999999994</v>
      </c>
      <c r="I75" s="569"/>
      <c r="J75" s="567"/>
      <c r="K75" s="570"/>
      <c r="L75">
        <v>3</v>
      </c>
      <c r="M75" s="101">
        <v>2019</v>
      </c>
      <c r="N75"/>
      <c r="O75" s="103">
        <f t="shared" si="37"/>
        <v>43525</v>
      </c>
      <c r="P75" s="103">
        <f t="shared" si="38"/>
        <v>43555</v>
      </c>
    </row>
    <row r="76" spans="1:16" s="5" customFormat="1" ht="17.100000000000001" customHeight="1">
      <c r="A76" s="104">
        <f t="shared" si="41"/>
        <v>21</v>
      </c>
      <c r="B76" s="567" t="str">
        <f t="shared" si="39"/>
        <v>Tháng 04/2019</v>
      </c>
      <c r="C76" s="567"/>
      <c r="D76" s="568" t="str">
        <f t="shared" si="40"/>
        <v>Bê tông đúc sẵn tấm ốp taluy 16MPa</v>
      </c>
      <c r="E76" s="568"/>
      <c r="F76" s="568"/>
      <c r="G76" s="568"/>
      <c r="H76" s="569">
        <f>I33-H74-H75</f>
        <v>1.8500000000000085</v>
      </c>
      <c r="I76" s="569"/>
      <c r="J76" s="567"/>
      <c r="K76" s="570"/>
      <c r="L76">
        <v>4</v>
      </c>
      <c r="M76" s="101">
        <v>2019</v>
      </c>
      <c r="N76"/>
      <c r="O76" s="103">
        <f t="shared" si="37"/>
        <v>43556</v>
      </c>
      <c r="P76" s="103">
        <f t="shared" si="38"/>
        <v>43585</v>
      </c>
    </row>
    <row r="77" spans="1:16" s="5" customFormat="1" ht="17.100000000000001" customHeight="1">
      <c r="A77" s="104">
        <f t="shared" si="41"/>
        <v>22</v>
      </c>
      <c r="B77" s="567" t="str">
        <f t="shared" si="39"/>
        <v>Tháng 05/2019</v>
      </c>
      <c r="C77" s="567"/>
      <c r="D77" s="568" t="str">
        <f t="shared" si="40"/>
        <v>Bê tông đúc sẵn tấm ốp taluy 16MPa</v>
      </c>
      <c r="E77" s="568"/>
      <c r="F77" s="568"/>
      <c r="G77" s="568"/>
      <c r="H77" s="569">
        <f t="shared" si="36"/>
        <v>0</v>
      </c>
      <c r="I77" s="569"/>
      <c r="J77" s="567"/>
      <c r="K77" s="570"/>
      <c r="L77">
        <v>5</v>
      </c>
      <c r="M77" s="101">
        <v>2019</v>
      </c>
      <c r="N77"/>
      <c r="O77" s="103">
        <f t="shared" si="37"/>
        <v>43586</v>
      </c>
      <c r="P77" s="103">
        <f t="shared" si="38"/>
        <v>43616</v>
      </c>
    </row>
    <row r="78" spans="1:16" s="5" customFormat="1" ht="17.100000000000001" customHeight="1">
      <c r="A78" s="104">
        <f t="shared" si="41"/>
        <v>23</v>
      </c>
      <c r="B78" s="567" t="str">
        <f t="shared" si="39"/>
        <v>Tháng 06/2019</v>
      </c>
      <c r="C78" s="567"/>
      <c r="D78" s="568" t="str">
        <f t="shared" si="40"/>
        <v>Bê tông đúc sẵn tấm ốp taluy 16MPa</v>
      </c>
      <c r="E78" s="568"/>
      <c r="F78" s="568"/>
      <c r="G78" s="568"/>
      <c r="H78" s="569">
        <f t="shared" si="36"/>
        <v>0</v>
      </c>
      <c r="I78" s="569"/>
      <c r="J78" s="567"/>
      <c r="K78" s="570"/>
      <c r="L78">
        <v>6</v>
      </c>
      <c r="M78" s="101">
        <v>2019</v>
      </c>
      <c r="N78"/>
      <c r="O78" s="103">
        <f t="shared" si="37"/>
        <v>43617</v>
      </c>
      <c r="P78" s="103">
        <f t="shared" si="38"/>
        <v>43646</v>
      </c>
    </row>
    <row r="79" spans="1:16" s="5" customFormat="1" ht="17.100000000000001" customHeight="1">
      <c r="A79" s="104">
        <f t="shared" si="41"/>
        <v>24</v>
      </c>
      <c r="B79" s="567" t="str">
        <f t="shared" si="39"/>
        <v>Tháng 07/2019</v>
      </c>
      <c r="C79" s="567"/>
      <c r="D79" s="568" t="str">
        <f t="shared" si="40"/>
        <v>Bê tông đúc sẵn tấm ốp taluy 16MPa</v>
      </c>
      <c r="E79" s="568"/>
      <c r="F79" s="568"/>
      <c r="G79" s="568"/>
      <c r="H79" s="569">
        <f t="shared" si="36"/>
        <v>0</v>
      </c>
      <c r="I79" s="569"/>
      <c r="J79" s="567"/>
      <c r="K79" s="570"/>
      <c r="L79">
        <v>7</v>
      </c>
      <c r="M79" s="101">
        <v>2019</v>
      </c>
      <c r="N79"/>
      <c r="O79" s="103">
        <f t="shared" si="37"/>
        <v>43647</v>
      </c>
      <c r="P79" s="103">
        <f t="shared" si="38"/>
        <v>43677</v>
      </c>
    </row>
    <row r="80" spans="1:16" s="5" customFormat="1" ht="17.100000000000001" customHeight="1">
      <c r="A80" s="104">
        <f t="shared" si="41"/>
        <v>25</v>
      </c>
      <c r="B80" s="567" t="str">
        <f t="shared" si="39"/>
        <v>Tháng 08/2019</v>
      </c>
      <c r="C80" s="567"/>
      <c r="D80" s="568" t="str">
        <f t="shared" si="40"/>
        <v>Bê tông đúc sẵn tấm ốp taluy 16MPa</v>
      </c>
      <c r="E80" s="568"/>
      <c r="F80" s="568"/>
      <c r="G80" s="568"/>
      <c r="H80" s="569">
        <f t="shared" ref="H80:H81" si="42">+SUMIFS($I$12:$I$35,$B$12:$B$35,"&gt;="&amp;$O80,$B$12:$B$35,"&lt;="&amp;$P80)</f>
        <v>0</v>
      </c>
      <c r="I80" s="569"/>
      <c r="J80" s="567"/>
      <c r="K80" s="570"/>
      <c r="L80">
        <v>8</v>
      </c>
      <c r="M80" s="101">
        <v>2019</v>
      </c>
      <c r="N80"/>
      <c r="O80" s="103">
        <f t="shared" si="37"/>
        <v>43678</v>
      </c>
      <c r="P80" s="103">
        <f t="shared" si="38"/>
        <v>43708</v>
      </c>
    </row>
    <row r="81" spans="1:20" s="5" customFormat="1" ht="17.100000000000001" customHeight="1">
      <c r="A81" s="104">
        <f t="shared" si="41"/>
        <v>26</v>
      </c>
      <c r="B81" s="616" t="str">
        <f t="shared" si="39"/>
        <v>Tháng 09/2019</v>
      </c>
      <c r="C81" s="616"/>
      <c r="D81" s="652" t="str">
        <f>D79</f>
        <v>Bê tông đúc sẵn tấm ốp taluy 16MPa</v>
      </c>
      <c r="E81" s="652"/>
      <c r="F81" s="652"/>
      <c r="G81" s="652"/>
      <c r="H81" s="615">
        <f t="shared" si="42"/>
        <v>0</v>
      </c>
      <c r="I81" s="615"/>
      <c r="J81" s="616"/>
      <c r="K81" s="617"/>
      <c r="L81">
        <v>9</v>
      </c>
      <c r="M81" s="101">
        <v>2019</v>
      </c>
      <c r="N81"/>
      <c r="O81" s="103">
        <f>DATE(M81,L81,1)</f>
        <v>43709</v>
      </c>
      <c r="P81" s="103">
        <f>DATE(M81,L81+1,0)</f>
        <v>43738</v>
      </c>
    </row>
    <row r="82" spans="1:20" s="5" customFormat="1" ht="21.6" customHeight="1" thickBot="1">
      <c r="A82" s="618" t="s">
        <v>86</v>
      </c>
      <c r="B82" s="619"/>
      <c r="C82" s="619"/>
      <c r="D82" s="619"/>
      <c r="E82" s="619"/>
      <c r="F82" s="619"/>
      <c r="G82" s="620"/>
      <c r="H82" s="621">
        <f t="shared" ref="H82" si="43">SUM(H56:I81)</f>
        <v>57.53</v>
      </c>
      <c r="I82" s="622"/>
      <c r="J82" s="621"/>
      <c r="K82" s="622"/>
      <c r="L82"/>
      <c r="M82"/>
      <c r="N82"/>
      <c r="O82"/>
      <c r="P82"/>
    </row>
    <row r="83" spans="1:20" s="5" customFormat="1" ht="18" customHeight="1" thickTop="1" thickBot="1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4"/>
      <c r="M83" s="4"/>
      <c r="N83" s="4"/>
      <c r="O83" s="4"/>
      <c r="P83" s="20"/>
    </row>
    <row r="84" spans="1:20" s="5" customFormat="1" ht="13.9" customHeight="1" thickTop="1">
      <c r="A84" s="647" t="s">
        <v>68</v>
      </c>
      <c r="B84" s="648"/>
      <c r="C84" s="648"/>
      <c r="D84" s="648"/>
      <c r="E84" s="648"/>
      <c r="F84" s="649" t="s">
        <v>69</v>
      </c>
      <c r="G84" s="649"/>
      <c r="H84" s="649"/>
      <c r="I84" s="650"/>
      <c r="J84" s="650"/>
      <c r="K84" s="651"/>
      <c r="L84" s="4"/>
      <c r="M84" s="4"/>
      <c r="N84" s="4"/>
      <c r="O84" s="4"/>
      <c r="P84" s="4"/>
    </row>
    <row r="85" spans="1:20" s="5" customFormat="1" ht="13.9" customHeight="1">
      <c r="A85" s="583" t="s">
        <v>5</v>
      </c>
      <c r="B85" s="584"/>
      <c r="C85" s="584"/>
      <c r="D85" s="584"/>
      <c r="E85" s="584"/>
      <c r="F85" s="585" t="s">
        <v>6</v>
      </c>
      <c r="G85" s="585"/>
      <c r="H85" s="585"/>
      <c r="I85" s="586"/>
      <c r="J85" s="586"/>
      <c r="K85" s="587"/>
      <c r="L85" s="4"/>
      <c r="M85" s="4"/>
      <c r="N85" s="4"/>
      <c r="O85" s="4"/>
      <c r="P85" s="4"/>
    </row>
    <row r="86" spans="1:20" s="5" customFormat="1" ht="13.9" customHeight="1">
      <c r="A86" s="583" t="s">
        <v>836</v>
      </c>
      <c r="B86" s="584"/>
      <c r="C86" s="584"/>
      <c r="D86" s="584"/>
      <c r="E86" s="584"/>
      <c r="F86" s="590" t="s">
        <v>837</v>
      </c>
      <c r="G86" s="590"/>
      <c r="H86" s="590"/>
      <c r="I86" s="591"/>
      <c r="J86" s="591"/>
      <c r="K86" s="592"/>
      <c r="L86" s="4"/>
      <c r="M86" s="4"/>
      <c r="N86" s="4"/>
      <c r="O86" s="4"/>
      <c r="P86" s="4"/>
    </row>
    <row r="87" spans="1:20" s="5" customFormat="1" ht="13.9" customHeight="1">
      <c r="A87" s="583"/>
      <c r="B87" s="584"/>
      <c r="C87" s="584"/>
      <c r="D87" s="584"/>
      <c r="E87" s="584"/>
      <c r="F87" s="590"/>
      <c r="G87" s="590"/>
      <c r="H87" s="590"/>
      <c r="I87" s="591"/>
      <c r="J87" s="591"/>
      <c r="K87" s="592"/>
      <c r="L87" s="4"/>
      <c r="M87" s="4"/>
      <c r="N87" s="4"/>
      <c r="O87" s="4"/>
      <c r="P87" s="4"/>
    </row>
    <row r="88" spans="1:20" s="5" customFormat="1" ht="13.9" customHeight="1">
      <c r="A88" s="583"/>
      <c r="B88" s="584"/>
      <c r="C88" s="584"/>
      <c r="D88" s="584"/>
      <c r="E88" s="584"/>
      <c r="F88" s="590"/>
      <c r="G88" s="590"/>
      <c r="H88" s="590"/>
      <c r="I88" s="591"/>
      <c r="J88" s="591"/>
      <c r="K88" s="592"/>
      <c r="L88" s="4"/>
      <c r="M88" s="4"/>
      <c r="N88" s="4"/>
      <c r="O88" s="4"/>
      <c r="P88" s="4"/>
    </row>
    <row r="89" spans="1:20" s="5" customFormat="1" ht="13.9" customHeight="1">
      <c r="A89" s="583"/>
      <c r="B89" s="584"/>
      <c r="C89" s="584"/>
      <c r="D89" s="584"/>
      <c r="E89" s="584"/>
      <c r="F89" s="590"/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20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20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20" s="5" customFormat="1" ht="13.9" customHeight="1" thickBot="1">
      <c r="A92" s="588"/>
      <c r="B92" s="589"/>
      <c r="C92" s="589"/>
      <c r="D92" s="589"/>
      <c r="E92" s="589"/>
      <c r="F92" s="593"/>
      <c r="G92" s="593"/>
      <c r="H92" s="593"/>
      <c r="I92" s="594"/>
      <c r="J92" s="594"/>
      <c r="K92" s="595"/>
      <c r="L92" s="4"/>
      <c r="M92" s="4"/>
      <c r="N92" s="4"/>
      <c r="O92" s="4"/>
      <c r="P92" s="4"/>
    </row>
    <row r="93" spans="1:20" s="5" customFormat="1" ht="15.75" thickTop="1">
      <c r="A93" s="4"/>
      <c r="B93" s="12"/>
      <c r="C93" s="10"/>
      <c r="D93" s="10"/>
      <c r="E93" s="10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R93" s="4"/>
      <c r="S93" s="4"/>
      <c r="T93" s="4"/>
    </row>
  </sheetData>
  <mergeCells count="166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5:E15"/>
    <mergeCell ref="C32:E32"/>
    <mergeCell ref="A33:E33"/>
    <mergeCell ref="A35:E35"/>
    <mergeCell ref="F35:K35"/>
    <mergeCell ref="A36:E36"/>
    <mergeCell ref="F36:K36"/>
    <mergeCell ref="C16:E16"/>
    <mergeCell ref="C17:E17"/>
    <mergeCell ref="C18:E18"/>
    <mergeCell ref="C31:E31"/>
    <mergeCell ref="C25:E25"/>
    <mergeCell ref="C26:E26"/>
    <mergeCell ref="C27:E27"/>
    <mergeCell ref="C28:E28"/>
    <mergeCell ref="C29:E29"/>
    <mergeCell ref="C30:E30"/>
    <mergeCell ref="C19:E19"/>
    <mergeCell ref="C20:E20"/>
    <mergeCell ref="C21:E21"/>
    <mergeCell ref="C22:E22"/>
    <mergeCell ref="C23:E23"/>
    <mergeCell ref="C24:E24"/>
    <mergeCell ref="K12:K31"/>
    <mergeCell ref="A49:K49"/>
    <mergeCell ref="A52:D52"/>
    <mergeCell ref="A54:A55"/>
    <mergeCell ref="B54:C55"/>
    <mergeCell ref="D54:G55"/>
    <mergeCell ref="H54:I55"/>
    <mergeCell ref="J54:K55"/>
    <mergeCell ref="A37:E43"/>
    <mergeCell ref="F37:K43"/>
    <mergeCell ref="A45:K45"/>
    <mergeCell ref="A46:K46"/>
    <mergeCell ref="A47:K47"/>
    <mergeCell ref="A48:K48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70:C70"/>
    <mergeCell ref="D70:G70"/>
    <mergeCell ref="H70:I70"/>
    <mergeCell ref="J70:K70"/>
    <mergeCell ref="B71:C71"/>
    <mergeCell ref="D71:G71"/>
    <mergeCell ref="H71:I71"/>
    <mergeCell ref="J71:K71"/>
    <mergeCell ref="B68:C68"/>
    <mergeCell ref="D68:G68"/>
    <mergeCell ref="H68:I68"/>
    <mergeCell ref="J68:K68"/>
    <mergeCell ref="B69:C69"/>
    <mergeCell ref="D69:G69"/>
    <mergeCell ref="H69:I69"/>
    <mergeCell ref="J69:K69"/>
    <mergeCell ref="B74:C74"/>
    <mergeCell ref="D74:G74"/>
    <mergeCell ref="H74:I74"/>
    <mergeCell ref="J74:K74"/>
    <mergeCell ref="B75:C75"/>
    <mergeCell ref="D75:G75"/>
    <mergeCell ref="H75:I75"/>
    <mergeCell ref="J75:K75"/>
    <mergeCell ref="B72:C72"/>
    <mergeCell ref="D72:G72"/>
    <mergeCell ref="H72:I72"/>
    <mergeCell ref="J72:K72"/>
    <mergeCell ref="B73:C73"/>
    <mergeCell ref="D73:G73"/>
    <mergeCell ref="H73:I73"/>
    <mergeCell ref="J73:K73"/>
    <mergeCell ref="B78:C78"/>
    <mergeCell ref="D78:G78"/>
    <mergeCell ref="H78:I78"/>
    <mergeCell ref="J78:K78"/>
    <mergeCell ref="B79:C79"/>
    <mergeCell ref="D79:G79"/>
    <mergeCell ref="H79:I79"/>
    <mergeCell ref="J79:K79"/>
    <mergeCell ref="B76:C76"/>
    <mergeCell ref="D76:G76"/>
    <mergeCell ref="H76:I76"/>
    <mergeCell ref="J76:K76"/>
    <mergeCell ref="B77:C77"/>
    <mergeCell ref="D77:G77"/>
    <mergeCell ref="H77:I77"/>
    <mergeCell ref="J77:K77"/>
    <mergeCell ref="A84:E84"/>
    <mergeCell ref="F84:K84"/>
    <mergeCell ref="A85:E85"/>
    <mergeCell ref="F85:K85"/>
    <mergeCell ref="A86:E92"/>
    <mergeCell ref="F86:K92"/>
    <mergeCell ref="B80:C80"/>
    <mergeCell ref="D80:G80"/>
    <mergeCell ref="H80:I80"/>
    <mergeCell ref="J80:K80"/>
    <mergeCell ref="A82:G82"/>
    <mergeCell ref="H82:I82"/>
    <mergeCell ref="J82:K82"/>
    <mergeCell ref="B81:C81"/>
    <mergeCell ref="D81:G81"/>
    <mergeCell ref="H81:I81"/>
    <mergeCell ref="J81:K8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44" max="10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>
    <tabColor rgb="FFFFFF0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C.II.1.2.2. Lắp đặt tấp ốp BTCT 400x400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2</v>
      </c>
      <c r="N6" s="245" t="str">
        <f>THKLQT!C121</f>
        <v>Lắp đặt tấp ốp BTCT 400x400</v>
      </c>
      <c r="Q6" s="17"/>
    </row>
    <row r="7" spans="1:20" s="178" customFormat="1" ht="18.75" customHeight="1">
      <c r="A7" s="634">
        <f>I15</f>
        <v>5753</v>
      </c>
      <c r="B7" s="635"/>
      <c r="C7" s="635"/>
      <c r="D7" s="635"/>
      <c r="E7" s="106" t="str">
        <f>"("&amp;L7&amp;")"</f>
        <v>(tấm)</v>
      </c>
      <c r="F7" s="113"/>
      <c r="G7" s="113"/>
      <c r="H7" s="113"/>
      <c r="I7" s="113"/>
      <c r="J7" s="113"/>
      <c r="K7" s="114"/>
      <c r="L7" s="26" t="str">
        <f>THKLQT!D121</f>
        <v>tấm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43609</v>
      </c>
      <c r="C12" s="571" t="s">
        <v>689</v>
      </c>
      <c r="D12" s="572"/>
      <c r="E12" s="573"/>
      <c r="F12" s="2">
        <f>P12</f>
        <v>2619</v>
      </c>
      <c r="G12" s="1">
        <f>P12</f>
        <v>2619</v>
      </c>
      <c r="H12" s="297">
        <f>P12</f>
        <v>2619</v>
      </c>
      <c r="I12" s="107">
        <f>P12</f>
        <v>2619</v>
      </c>
      <c r="J12" s="107">
        <f>P12</f>
        <v>2619</v>
      </c>
      <c r="K12" s="296" t="s">
        <v>687</v>
      </c>
      <c r="N12" s="118"/>
      <c r="O12" s="118" t="s">
        <v>349</v>
      </c>
      <c r="P12" s="88">
        <v>2619</v>
      </c>
      <c r="Q12" s="89">
        <v>43609</v>
      </c>
      <c r="R12" s="88"/>
      <c r="S12" s="88" t="e">
        <f>VLOOKUP($S$11,hamchuigoi3,M12,0)</f>
        <v>#VALUE!</v>
      </c>
      <c r="T12" s="3" t="str">
        <f t="shared" ref="T12:T13" si="0">$N$6&amp;" "&amp;O12</f>
        <v>Lắp đặt tấp ốp BTCT 400x400 A1</v>
      </c>
    </row>
    <row r="13" spans="1:20" ht="14.25" outlineLevel="2">
      <c r="A13" s="81">
        <f>SUBTOTAL(103,$B$12:B13)</f>
        <v>2</v>
      </c>
      <c r="B13" s="78">
        <f t="shared" ref="B13" si="1">Q13</f>
        <v>43614</v>
      </c>
      <c r="C13" s="571" t="s">
        <v>690</v>
      </c>
      <c r="D13" s="572"/>
      <c r="E13" s="573"/>
      <c r="F13" s="2">
        <f t="shared" ref="F13" si="2">P13</f>
        <v>3134</v>
      </c>
      <c r="G13" s="1">
        <f t="shared" ref="G13" si="3">P13</f>
        <v>3134</v>
      </c>
      <c r="H13" s="295">
        <f t="shared" ref="H13" si="4">P13</f>
        <v>3134</v>
      </c>
      <c r="I13" s="107">
        <f t="shared" ref="I13" si="5">P13</f>
        <v>3134</v>
      </c>
      <c r="J13" s="107">
        <f t="shared" ref="J13" si="6">P13</f>
        <v>3134</v>
      </c>
      <c r="K13" s="82"/>
      <c r="N13" s="118"/>
      <c r="O13" s="118" t="s">
        <v>348</v>
      </c>
      <c r="P13" s="88">
        <v>3134</v>
      </c>
      <c r="Q13" s="89">
        <v>43614</v>
      </c>
      <c r="R13" s="88"/>
      <c r="S13" s="88" t="e">
        <f>VLOOKUP($S$11,hamchuigoi3,M13,0)</f>
        <v>#VALUE!</v>
      </c>
      <c r="T13" s="3" t="str">
        <f t="shared" si="0"/>
        <v>Lắp đặt tấp ốp BTCT 400x400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'!$I$15</f>
        <v>5753</v>
      </c>
      <c r="G15" s="79">
        <f>ROUND(SUM(G12:G14),2)</f>
        <v>5753</v>
      </c>
      <c r="H15" s="79">
        <f>ROUND(SUM(H12:H14),2)</f>
        <v>5753</v>
      </c>
      <c r="I15" s="79">
        <f>ROUND(SUM(I12:I14),2)</f>
        <v>5753</v>
      </c>
      <c r="J15" s="79">
        <f>ROUND(SUM(J12:J14),2)</f>
        <v>5753</v>
      </c>
      <c r="K15" s="80"/>
      <c r="N15" s="118"/>
      <c r="O15" s="118"/>
      <c r="P15" s="90">
        <f>SUM(P12:P12)</f>
        <v>2619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C.II.1.2.2. Lắp đặt tấp ốp BTCT 400x400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5753</v>
      </c>
      <c r="B34" s="640"/>
      <c r="C34" s="640"/>
      <c r="D34" s="640"/>
      <c r="E34" s="131" t="str">
        <f>E7</f>
        <v>(tấm)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Lắp đặt tấp ốp BTCT 400x400</v>
      </c>
      <c r="E38" s="624"/>
      <c r="F38" s="624"/>
      <c r="G38" s="624"/>
      <c r="H38" s="625">
        <f t="shared" ref="H38:H61" si="7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8">DATE(M38,L38,1)</f>
        <v>42948</v>
      </c>
      <c r="P38" s="103">
        <f t="shared" ref="P38:P62" si="9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0">"Tháng "&amp;IF(L39&lt;10,0&amp;L39&amp;"/"&amp;M39,L39&amp;"/"&amp;M39)</f>
        <v>Tháng 09/2017</v>
      </c>
      <c r="C39" s="567"/>
      <c r="D39" s="568" t="str">
        <f>D38</f>
        <v>Lắp đặt tấp ốp BTCT 400x400</v>
      </c>
      <c r="E39" s="568"/>
      <c r="F39" s="568"/>
      <c r="G39" s="568"/>
      <c r="H39" s="569">
        <f t="shared" si="7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8"/>
        <v>42979</v>
      </c>
      <c r="P39" s="103">
        <f t="shared" si="9"/>
        <v>43008</v>
      </c>
    </row>
    <row r="40" spans="1:20" s="5" customFormat="1" ht="17.100000000000001" customHeight="1">
      <c r="A40" s="104">
        <f>A39+1</f>
        <v>3</v>
      </c>
      <c r="B40" s="567" t="str">
        <f t="shared" si="10"/>
        <v>Tháng 10/2017</v>
      </c>
      <c r="C40" s="567"/>
      <c r="D40" s="568" t="str">
        <f t="shared" ref="D40:D62" si="11">D39</f>
        <v>Lắp đặt tấp ốp BTCT 400x400</v>
      </c>
      <c r="E40" s="568"/>
      <c r="F40" s="568"/>
      <c r="G40" s="568"/>
      <c r="H40" s="569">
        <f t="shared" si="7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8"/>
        <v>43009</v>
      </c>
      <c r="P40" s="103">
        <f t="shared" si="9"/>
        <v>43039</v>
      </c>
    </row>
    <row r="41" spans="1:20" s="5" customFormat="1" ht="17.100000000000001" customHeight="1">
      <c r="A41" s="104">
        <f t="shared" ref="A41:A63" si="12">A40+1</f>
        <v>4</v>
      </c>
      <c r="B41" s="567" t="str">
        <f t="shared" si="10"/>
        <v>Tháng 11/2017</v>
      </c>
      <c r="C41" s="567"/>
      <c r="D41" s="568" t="str">
        <f t="shared" si="11"/>
        <v>Lắp đặt tấp ốp BTCT 400x400</v>
      </c>
      <c r="E41" s="568"/>
      <c r="F41" s="568"/>
      <c r="G41" s="568"/>
      <c r="H41" s="569">
        <f t="shared" si="7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8"/>
        <v>43040</v>
      </c>
      <c r="P41" s="103">
        <f t="shared" si="9"/>
        <v>43069</v>
      </c>
    </row>
    <row r="42" spans="1:20" s="5" customFormat="1" ht="17.100000000000001" customHeight="1">
      <c r="A42" s="104">
        <f t="shared" si="12"/>
        <v>5</v>
      </c>
      <c r="B42" s="567" t="str">
        <f t="shared" si="10"/>
        <v>Tháng 12/2017</v>
      </c>
      <c r="C42" s="567"/>
      <c r="D42" s="568" t="str">
        <f t="shared" si="11"/>
        <v>Lắp đặt tấp ốp BTCT 400x400</v>
      </c>
      <c r="E42" s="568"/>
      <c r="F42" s="568"/>
      <c r="G42" s="568"/>
      <c r="H42" s="569">
        <f t="shared" si="7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8"/>
        <v>43070</v>
      </c>
      <c r="P42" s="103">
        <f t="shared" si="9"/>
        <v>43100</v>
      </c>
    </row>
    <row r="43" spans="1:20" s="5" customFormat="1" ht="17.100000000000001" customHeight="1">
      <c r="A43" s="104">
        <f t="shared" si="12"/>
        <v>6</v>
      </c>
      <c r="B43" s="567" t="str">
        <f t="shared" si="10"/>
        <v>Tháng 01/2018</v>
      </c>
      <c r="C43" s="567"/>
      <c r="D43" s="568" t="str">
        <f t="shared" si="11"/>
        <v>Lắp đặt tấp ốp BTCT 400x400</v>
      </c>
      <c r="E43" s="568"/>
      <c r="F43" s="568"/>
      <c r="G43" s="568"/>
      <c r="H43" s="569">
        <f t="shared" si="7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8"/>
        <v>43101</v>
      </c>
      <c r="P43" s="103">
        <f t="shared" si="9"/>
        <v>43131</v>
      </c>
    </row>
    <row r="44" spans="1:20" s="5" customFormat="1" ht="17.100000000000001" customHeight="1">
      <c r="A44" s="104">
        <f t="shared" si="12"/>
        <v>7</v>
      </c>
      <c r="B44" s="567" t="str">
        <f t="shared" si="10"/>
        <v>Tháng 02/2018</v>
      </c>
      <c r="C44" s="567"/>
      <c r="D44" s="568" t="str">
        <f t="shared" si="11"/>
        <v>Lắp đặt tấp ốp BTCT 400x400</v>
      </c>
      <c r="E44" s="568"/>
      <c r="F44" s="568"/>
      <c r="G44" s="568"/>
      <c r="H44" s="569">
        <f t="shared" si="7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8"/>
        <v>43132</v>
      </c>
      <c r="P44" s="103">
        <f t="shared" si="9"/>
        <v>43159</v>
      </c>
    </row>
    <row r="45" spans="1:20" s="5" customFormat="1" ht="17.100000000000001" customHeight="1">
      <c r="A45" s="104">
        <f t="shared" si="12"/>
        <v>8</v>
      </c>
      <c r="B45" s="567" t="str">
        <f t="shared" si="10"/>
        <v>Tháng 03/2018</v>
      </c>
      <c r="C45" s="567"/>
      <c r="D45" s="568" t="str">
        <f t="shared" si="11"/>
        <v>Lắp đặt tấp ốp BTCT 400x400</v>
      </c>
      <c r="E45" s="568"/>
      <c r="F45" s="568"/>
      <c r="G45" s="568"/>
      <c r="H45" s="569">
        <f t="shared" si="7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8"/>
        <v>43160</v>
      </c>
      <c r="P45" s="103">
        <f t="shared" si="9"/>
        <v>43190</v>
      </c>
    </row>
    <row r="46" spans="1:20" s="5" customFormat="1" ht="17.100000000000001" customHeight="1">
      <c r="A46" s="104">
        <f t="shared" si="12"/>
        <v>9</v>
      </c>
      <c r="B46" s="567" t="str">
        <f t="shared" si="10"/>
        <v>Tháng 04/2018</v>
      </c>
      <c r="C46" s="567"/>
      <c r="D46" s="568" t="str">
        <f t="shared" si="11"/>
        <v>Lắp đặt tấp ốp BTCT 400x400</v>
      </c>
      <c r="E46" s="568"/>
      <c r="F46" s="568"/>
      <c r="G46" s="568"/>
      <c r="H46" s="569">
        <f t="shared" si="7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8"/>
        <v>43191</v>
      </c>
      <c r="P46" s="103">
        <f t="shared" si="9"/>
        <v>43220</v>
      </c>
    </row>
    <row r="47" spans="1:20" s="5" customFormat="1" ht="17.100000000000001" customHeight="1">
      <c r="A47" s="104">
        <f t="shared" si="12"/>
        <v>10</v>
      </c>
      <c r="B47" s="567" t="str">
        <f t="shared" si="10"/>
        <v>Tháng 05/2018</v>
      </c>
      <c r="C47" s="567"/>
      <c r="D47" s="568" t="str">
        <f t="shared" si="11"/>
        <v>Lắp đặt tấp ốp BTCT 400x400</v>
      </c>
      <c r="E47" s="568"/>
      <c r="F47" s="568"/>
      <c r="G47" s="568"/>
      <c r="H47" s="569">
        <f t="shared" si="7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8"/>
        <v>43221</v>
      </c>
      <c r="P47" s="103">
        <f t="shared" si="9"/>
        <v>43251</v>
      </c>
    </row>
    <row r="48" spans="1:20" s="5" customFormat="1" ht="17.100000000000001" customHeight="1">
      <c r="A48" s="104">
        <f t="shared" si="12"/>
        <v>11</v>
      </c>
      <c r="B48" s="567" t="str">
        <f t="shared" si="10"/>
        <v>Tháng 06/2018</v>
      </c>
      <c r="C48" s="567"/>
      <c r="D48" s="568" t="str">
        <f t="shared" si="11"/>
        <v>Lắp đặt tấp ốp BTCT 400x400</v>
      </c>
      <c r="E48" s="568"/>
      <c r="F48" s="568"/>
      <c r="G48" s="568"/>
      <c r="H48" s="569">
        <f t="shared" si="7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8"/>
        <v>43252</v>
      </c>
      <c r="P48" s="103">
        <f t="shared" si="9"/>
        <v>43281</v>
      </c>
    </row>
    <row r="49" spans="1:16" s="5" customFormat="1" ht="17.100000000000001" customHeight="1">
      <c r="A49" s="104">
        <f t="shared" si="12"/>
        <v>12</v>
      </c>
      <c r="B49" s="567" t="str">
        <f t="shared" si="10"/>
        <v>Tháng 07/2018</v>
      </c>
      <c r="C49" s="567"/>
      <c r="D49" s="568" t="str">
        <f t="shared" si="11"/>
        <v>Lắp đặt tấp ốp BTCT 400x400</v>
      </c>
      <c r="E49" s="568"/>
      <c r="F49" s="568"/>
      <c r="G49" s="568"/>
      <c r="H49" s="569">
        <f t="shared" si="7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8"/>
        <v>43282</v>
      </c>
      <c r="P49" s="103">
        <f t="shared" si="9"/>
        <v>43312</v>
      </c>
    </row>
    <row r="50" spans="1:16" s="5" customFormat="1" ht="17.100000000000001" customHeight="1">
      <c r="A50" s="104">
        <f t="shared" si="12"/>
        <v>13</v>
      </c>
      <c r="B50" s="567" t="str">
        <f t="shared" si="10"/>
        <v>Tháng 08/2018</v>
      </c>
      <c r="C50" s="567"/>
      <c r="D50" s="568" t="str">
        <f t="shared" si="11"/>
        <v>Lắp đặt tấp ốp BTCT 400x400</v>
      </c>
      <c r="E50" s="568"/>
      <c r="F50" s="568"/>
      <c r="G50" s="568"/>
      <c r="H50" s="569">
        <f t="shared" si="7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8"/>
        <v>43313</v>
      </c>
      <c r="P50" s="103">
        <f t="shared" si="9"/>
        <v>43343</v>
      </c>
    </row>
    <row r="51" spans="1:16" s="5" customFormat="1" ht="17.100000000000001" customHeight="1">
      <c r="A51" s="104">
        <f t="shared" si="12"/>
        <v>14</v>
      </c>
      <c r="B51" s="567" t="str">
        <f t="shared" si="10"/>
        <v>Tháng 09/2018</v>
      </c>
      <c r="C51" s="567"/>
      <c r="D51" s="568" t="str">
        <f t="shared" si="11"/>
        <v>Lắp đặt tấp ốp BTCT 400x400</v>
      </c>
      <c r="E51" s="568"/>
      <c r="F51" s="568"/>
      <c r="G51" s="568"/>
      <c r="H51" s="569">
        <f t="shared" si="7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8"/>
        <v>43344</v>
      </c>
      <c r="P51" s="103">
        <f t="shared" si="9"/>
        <v>43373</v>
      </c>
    </row>
    <row r="52" spans="1:16" s="5" customFormat="1" ht="17.100000000000001" customHeight="1">
      <c r="A52" s="104">
        <f t="shared" si="12"/>
        <v>15</v>
      </c>
      <c r="B52" s="567" t="str">
        <f t="shared" si="10"/>
        <v>Tháng 10/2018</v>
      </c>
      <c r="C52" s="567"/>
      <c r="D52" s="568" t="str">
        <f t="shared" si="11"/>
        <v>Lắp đặt tấp ốp BTCT 400x400</v>
      </c>
      <c r="E52" s="568"/>
      <c r="F52" s="568"/>
      <c r="G52" s="568"/>
      <c r="H52" s="569">
        <f t="shared" si="7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8"/>
        <v>43374</v>
      </c>
      <c r="P52" s="103">
        <f t="shared" si="9"/>
        <v>43404</v>
      </c>
    </row>
    <row r="53" spans="1:16" s="5" customFormat="1" ht="17.100000000000001" customHeight="1">
      <c r="A53" s="104">
        <f t="shared" si="12"/>
        <v>16</v>
      </c>
      <c r="B53" s="567" t="str">
        <f t="shared" si="10"/>
        <v>Tháng 11/2018</v>
      </c>
      <c r="C53" s="567"/>
      <c r="D53" s="568" t="str">
        <f t="shared" si="11"/>
        <v>Lắp đặt tấp ốp BTCT 400x400</v>
      </c>
      <c r="E53" s="568"/>
      <c r="F53" s="568"/>
      <c r="G53" s="568"/>
      <c r="H53" s="569">
        <f t="shared" si="7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8"/>
        <v>43405</v>
      </c>
      <c r="P53" s="103">
        <f t="shared" si="9"/>
        <v>43434</v>
      </c>
    </row>
    <row r="54" spans="1:16" s="5" customFormat="1" ht="17.100000000000001" customHeight="1">
      <c r="A54" s="104">
        <f t="shared" si="12"/>
        <v>17</v>
      </c>
      <c r="B54" s="567" t="str">
        <f t="shared" si="10"/>
        <v>Tháng 12/2018</v>
      </c>
      <c r="C54" s="567"/>
      <c r="D54" s="568" t="str">
        <f t="shared" si="11"/>
        <v>Lắp đặt tấp ốp BTCT 400x400</v>
      </c>
      <c r="E54" s="568"/>
      <c r="F54" s="568"/>
      <c r="G54" s="568"/>
      <c r="H54" s="569">
        <f t="shared" si="7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8"/>
        <v>43435</v>
      </c>
      <c r="P54" s="103">
        <f t="shared" si="9"/>
        <v>43465</v>
      </c>
    </row>
    <row r="55" spans="1:16" s="5" customFormat="1" ht="17.100000000000001" customHeight="1">
      <c r="A55" s="104">
        <f t="shared" si="12"/>
        <v>18</v>
      </c>
      <c r="B55" s="567" t="str">
        <f t="shared" si="10"/>
        <v>Tháng 01/2019</v>
      </c>
      <c r="C55" s="567"/>
      <c r="D55" s="568" t="str">
        <f t="shared" si="11"/>
        <v>Lắp đặt tấp ốp BTCT 400x400</v>
      </c>
      <c r="E55" s="568"/>
      <c r="F55" s="568"/>
      <c r="G55" s="568"/>
      <c r="H55" s="569">
        <f t="shared" si="7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8"/>
        <v>43466</v>
      </c>
      <c r="P55" s="103">
        <f t="shared" si="9"/>
        <v>43496</v>
      </c>
    </row>
    <row r="56" spans="1:16" s="5" customFormat="1" ht="17.100000000000001" customHeight="1">
      <c r="A56" s="104">
        <f t="shared" si="12"/>
        <v>19</v>
      </c>
      <c r="B56" s="567" t="str">
        <f t="shared" si="10"/>
        <v>Tháng 02/2019</v>
      </c>
      <c r="C56" s="567"/>
      <c r="D56" s="568" t="str">
        <f t="shared" si="11"/>
        <v>Lắp đặt tấp ốp BTCT 400x400</v>
      </c>
      <c r="E56" s="568"/>
      <c r="F56" s="568"/>
      <c r="G56" s="568"/>
      <c r="H56" s="569">
        <f t="shared" si="7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8"/>
        <v>43497</v>
      </c>
      <c r="P56" s="103">
        <f t="shared" si="9"/>
        <v>43524</v>
      </c>
    </row>
    <row r="57" spans="1:16" s="5" customFormat="1" ht="17.100000000000001" customHeight="1">
      <c r="A57" s="104">
        <f t="shared" si="12"/>
        <v>20</v>
      </c>
      <c r="B57" s="567" t="str">
        <f t="shared" si="10"/>
        <v>Tháng 03/2019</v>
      </c>
      <c r="C57" s="567"/>
      <c r="D57" s="568" t="str">
        <f t="shared" si="11"/>
        <v>Lắp đặt tấp ốp BTCT 400x400</v>
      </c>
      <c r="E57" s="568"/>
      <c r="F57" s="568"/>
      <c r="G57" s="568"/>
      <c r="H57" s="569">
        <f t="shared" si="7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8"/>
        <v>43525</v>
      </c>
      <c r="P57" s="103">
        <f t="shared" si="9"/>
        <v>43555</v>
      </c>
    </row>
    <row r="58" spans="1:16" s="5" customFormat="1" ht="17.100000000000001" customHeight="1">
      <c r="A58" s="104">
        <f t="shared" si="12"/>
        <v>21</v>
      </c>
      <c r="B58" s="567" t="str">
        <f t="shared" si="10"/>
        <v>Tháng 04/2019</v>
      </c>
      <c r="C58" s="567"/>
      <c r="D58" s="568" t="str">
        <f t="shared" si="11"/>
        <v>Lắp đặt tấp ốp BTCT 400x400</v>
      </c>
      <c r="E58" s="568"/>
      <c r="F58" s="568"/>
      <c r="G58" s="568"/>
      <c r="H58" s="569">
        <f t="shared" si="7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8"/>
        <v>43556</v>
      </c>
      <c r="P58" s="103">
        <f t="shared" si="9"/>
        <v>43585</v>
      </c>
    </row>
    <row r="59" spans="1:16" s="5" customFormat="1" ht="17.100000000000001" customHeight="1">
      <c r="A59" s="104">
        <f t="shared" si="12"/>
        <v>22</v>
      </c>
      <c r="B59" s="567" t="str">
        <f t="shared" si="10"/>
        <v>Tháng 05/2019</v>
      </c>
      <c r="C59" s="567"/>
      <c r="D59" s="568" t="str">
        <f t="shared" si="11"/>
        <v>Lắp đặt tấp ốp BTCT 400x400</v>
      </c>
      <c r="E59" s="568"/>
      <c r="F59" s="568"/>
      <c r="G59" s="568"/>
      <c r="H59" s="569">
        <f t="shared" si="7"/>
        <v>5753</v>
      </c>
      <c r="I59" s="569"/>
      <c r="J59" s="567"/>
      <c r="K59" s="570"/>
      <c r="L59">
        <v>5</v>
      </c>
      <c r="M59" s="101">
        <v>2019</v>
      </c>
      <c r="N59"/>
      <c r="O59" s="103">
        <f t="shared" si="8"/>
        <v>43586</v>
      </c>
      <c r="P59" s="103">
        <f t="shared" si="9"/>
        <v>43616</v>
      </c>
    </row>
    <row r="60" spans="1:16" s="5" customFormat="1" ht="17.100000000000001" customHeight="1">
      <c r="A60" s="104">
        <f t="shared" si="12"/>
        <v>23</v>
      </c>
      <c r="B60" s="567" t="str">
        <f t="shared" si="10"/>
        <v>Tháng 06/2019</v>
      </c>
      <c r="C60" s="567"/>
      <c r="D60" s="568" t="str">
        <f t="shared" si="11"/>
        <v>Lắp đặt tấp ốp BTCT 400x400</v>
      </c>
      <c r="E60" s="568"/>
      <c r="F60" s="568"/>
      <c r="G60" s="568"/>
      <c r="H60" s="569">
        <f t="shared" si="7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8"/>
        <v>43617</v>
      </c>
      <c r="P60" s="103">
        <f t="shared" si="9"/>
        <v>43646</v>
      </c>
    </row>
    <row r="61" spans="1:16" s="5" customFormat="1" ht="17.100000000000001" customHeight="1">
      <c r="A61" s="104">
        <f t="shared" si="12"/>
        <v>24</v>
      </c>
      <c r="B61" s="567" t="str">
        <f t="shared" si="10"/>
        <v>Tháng 07/2019</v>
      </c>
      <c r="C61" s="567"/>
      <c r="D61" s="568" t="str">
        <f t="shared" si="11"/>
        <v>Lắp đặt tấp ốp BTCT 400x400</v>
      </c>
      <c r="E61" s="568"/>
      <c r="F61" s="568"/>
      <c r="G61" s="568"/>
      <c r="H61" s="569">
        <f t="shared" si="7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8"/>
        <v>43647</v>
      </c>
      <c r="P61" s="103">
        <f t="shared" si="9"/>
        <v>43677</v>
      </c>
    </row>
    <row r="62" spans="1:16" s="5" customFormat="1" ht="17.100000000000001" customHeight="1">
      <c r="A62" s="104">
        <f t="shared" si="12"/>
        <v>25</v>
      </c>
      <c r="B62" s="567" t="str">
        <f t="shared" si="10"/>
        <v>Tháng 08/2019</v>
      </c>
      <c r="C62" s="567"/>
      <c r="D62" s="568" t="str">
        <f t="shared" si="11"/>
        <v>Lắp đặt tấp ốp BTCT 400x400</v>
      </c>
      <c r="E62" s="568"/>
      <c r="F62" s="568"/>
      <c r="G62" s="568"/>
      <c r="H62" s="569">
        <f t="shared" ref="H62:H63" si="13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8"/>
        <v>43678</v>
      </c>
      <c r="P62" s="103">
        <f t="shared" si="9"/>
        <v>43708</v>
      </c>
    </row>
    <row r="63" spans="1:16" s="5" customFormat="1" ht="17.100000000000001" customHeight="1">
      <c r="A63" s="104">
        <f t="shared" si="12"/>
        <v>26</v>
      </c>
      <c r="B63" s="616" t="str">
        <f t="shared" si="10"/>
        <v>Tháng 09/2019</v>
      </c>
      <c r="C63" s="616"/>
      <c r="D63" s="652" t="str">
        <f>D61</f>
        <v>Lắp đặt tấp ốp BTCT 400x400</v>
      </c>
      <c r="E63" s="652"/>
      <c r="F63" s="652"/>
      <c r="G63" s="652"/>
      <c r="H63" s="615">
        <f t="shared" si="13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4">SUM(H38:I63)</f>
        <v>5753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>
    <tabColor rgb="FFFFFF00"/>
  </sheetPr>
  <dimension ref="A1:T93"/>
  <sheetViews>
    <sheetView view="pageBreakPreview" topLeftCell="A63" zoomScaleSheetLayoutView="100" workbookViewId="0">
      <selection activeCell="I33" sqref="I3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71093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C.II.1.2.3. Thép D6 tấm ốp ta luy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3</v>
      </c>
      <c r="N6" s="245" t="str">
        <f>THKLQT!C122</f>
        <v>Thép D6 tấm ốp ta luy</v>
      </c>
      <c r="Q6" s="17"/>
    </row>
    <row r="7" spans="1:20" s="178" customFormat="1" ht="18.75" customHeight="1">
      <c r="A7" s="634">
        <f>I33</f>
        <v>2.78</v>
      </c>
      <c r="B7" s="635"/>
      <c r="C7" s="635"/>
      <c r="D7" s="635"/>
      <c r="E7" s="106" t="str">
        <f>"("&amp;L7&amp;")"</f>
        <v>(tấn)</v>
      </c>
      <c r="F7" s="113"/>
      <c r="G7" s="113"/>
      <c r="H7" s="113"/>
      <c r="I7" s="113"/>
      <c r="J7" s="113"/>
      <c r="K7" s="114"/>
      <c r="L7" s="26" t="str">
        <f>THKLQT!D122</f>
        <v>tấn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720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721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722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43512</v>
      </c>
      <c r="C12" s="571" t="str">
        <f>T12</f>
        <v>Thép D6 tấm ốp ta luy A1 Lần 1</v>
      </c>
      <c r="D12" s="572"/>
      <c r="E12" s="573"/>
      <c r="F12" s="2">
        <f>P12</f>
        <v>0.14652000000000001</v>
      </c>
      <c r="G12" s="1">
        <f>P12</f>
        <v>0.14652000000000001</v>
      </c>
      <c r="H12" s="295">
        <f>P12</f>
        <v>0.14652000000000001</v>
      </c>
      <c r="I12" s="107">
        <f>P12</f>
        <v>0.14652000000000001</v>
      </c>
      <c r="J12" s="107">
        <f>P12</f>
        <v>0.14652000000000001</v>
      </c>
      <c r="K12" s="82"/>
      <c r="N12" s="118"/>
      <c r="O12" s="118" t="s">
        <v>374</v>
      </c>
      <c r="P12" s="88">
        <f>300*(0.27+0.22)*0+146.52/1000</f>
        <v>0.14652000000000001</v>
      </c>
      <c r="Q12" s="89">
        <v>43512</v>
      </c>
      <c r="R12" s="88"/>
      <c r="S12" s="88" t="e">
        <f t="shared" ref="S12:S31" si="0">VLOOKUP($S$11,hamchuigoi3,M12,0)</f>
        <v>#VALUE!</v>
      </c>
      <c r="T12" s="3" t="str">
        <f t="shared" ref="T12:T14" si="1">$N$6&amp;" "&amp;O12</f>
        <v>Thép D6 tấm ốp ta luy A1 Lần 1</v>
      </c>
    </row>
    <row r="13" spans="1:20" ht="14.25" outlineLevel="2">
      <c r="A13" s="81">
        <f>SUBTOTAL(103,$B$12:B13)</f>
        <v>2</v>
      </c>
      <c r="B13" s="78">
        <f t="shared" ref="B13:B31" si="2">Q13</f>
        <v>43519</v>
      </c>
      <c r="C13" s="571" t="str">
        <f t="shared" ref="C13:C31" si="3">T13</f>
        <v>Thép D6 tấm ốp ta luy A1 Lần 2</v>
      </c>
      <c r="D13" s="572"/>
      <c r="E13" s="573"/>
      <c r="F13" s="2">
        <f t="shared" ref="F13:F31" si="4">P13</f>
        <v>0.14652000000000001</v>
      </c>
      <c r="G13" s="1">
        <f t="shared" ref="G13:G31" si="5">P13</f>
        <v>0.14652000000000001</v>
      </c>
      <c r="H13" s="295">
        <f t="shared" ref="H13:H31" si="6">P13</f>
        <v>0.14652000000000001</v>
      </c>
      <c r="I13" s="107">
        <f t="shared" ref="I13:I31" si="7">P13</f>
        <v>0.14652000000000001</v>
      </c>
      <c r="J13" s="107">
        <f t="shared" ref="J13:J31" si="8">P13</f>
        <v>0.14652000000000001</v>
      </c>
      <c r="K13" s="82"/>
      <c r="N13" s="118"/>
      <c r="O13" s="118" t="s">
        <v>375</v>
      </c>
      <c r="P13" s="88">
        <f t="shared" ref="P13:P30" si="9">300*(0.27+0.22)*0+146.52/1000</f>
        <v>0.14652000000000001</v>
      </c>
      <c r="Q13" s="89">
        <f>+Q12+7</f>
        <v>43519</v>
      </c>
      <c r="R13" s="88"/>
      <c r="S13" s="88" t="e">
        <f t="shared" si="0"/>
        <v>#VALUE!</v>
      </c>
      <c r="T13" s="3" t="str">
        <f t="shared" si="1"/>
        <v>Thép D6 tấm ốp ta luy A1 Lần 2</v>
      </c>
    </row>
    <row r="14" spans="1:20" ht="14.25" outlineLevel="2">
      <c r="A14" s="81">
        <f>SUBTOTAL(103,$B$12:B14)</f>
        <v>3</v>
      </c>
      <c r="B14" s="78">
        <f t="shared" si="2"/>
        <v>43522</v>
      </c>
      <c r="C14" s="571" t="str">
        <f t="shared" si="3"/>
        <v>Thép D6 tấm ốp ta luy A1 Lần 3</v>
      </c>
      <c r="D14" s="572"/>
      <c r="E14" s="573"/>
      <c r="F14" s="2">
        <f t="shared" si="4"/>
        <v>0.14652000000000001</v>
      </c>
      <c r="G14" s="1">
        <f t="shared" si="5"/>
        <v>0.14652000000000001</v>
      </c>
      <c r="H14" s="295">
        <f t="shared" si="6"/>
        <v>0.14652000000000001</v>
      </c>
      <c r="I14" s="107">
        <f t="shared" si="7"/>
        <v>0.14652000000000001</v>
      </c>
      <c r="J14" s="107">
        <f t="shared" si="8"/>
        <v>0.14652000000000001</v>
      </c>
      <c r="K14" s="82"/>
      <c r="N14" s="118"/>
      <c r="O14" s="118" t="s">
        <v>376</v>
      </c>
      <c r="P14" s="88">
        <f t="shared" si="9"/>
        <v>0.14652000000000001</v>
      </c>
      <c r="Q14" s="89">
        <f>+Q13+3</f>
        <v>43522</v>
      </c>
      <c r="R14" s="88"/>
      <c r="S14" s="88" t="e">
        <f t="shared" si="0"/>
        <v>#VALUE!</v>
      </c>
      <c r="T14" s="3" t="str">
        <f t="shared" si="1"/>
        <v>Thép D6 tấm ốp ta luy A1 Lần 3</v>
      </c>
    </row>
    <row r="15" spans="1:20" ht="14.25" outlineLevel="2">
      <c r="A15" s="81">
        <f>SUBTOTAL(103,$B$12:B15)</f>
        <v>4</v>
      </c>
      <c r="B15" s="78">
        <f t="shared" si="2"/>
        <v>43524</v>
      </c>
      <c r="C15" s="571" t="str">
        <f t="shared" si="3"/>
        <v>Thép D6 tấm ốp ta luy A1 Lần 4</v>
      </c>
      <c r="D15" s="572"/>
      <c r="E15" s="573"/>
      <c r="F15" s="2">
        <f t="shared" si="4"/>
        <v>0.14652000000000001</v>
      </c>
      <c r="G15" s="1">
        <f t="shared" si="5"/>
        <v>0.14652000000000001</v>
      </c>
      <c r="H15" s="295">
        <f t="shared" si="6"/>
        <v>0.14652000000000001</v>
      </c>
      <c r="I15" s="107">
        <f t="shared" si="7"/>
        <v>0.14652000000000001</v>
      </c>
      <c r="J15" s="107">
        <f t="shared" si="8"/>
        <v>0.14652000000000001</v>
      </c>
      <c r="K15" s="82"/>
      <c r="N15" s="118"/>
      <c r="O15" s="118" t="s">
        <v>377</v>
      </c>
      <c r="P15" s="88">
        <f t="shared" si="9"/>
        <v>0.14652000000000001</v>
      </c>
      <c r="Q15" s="89">
        <f>+Q14+2</f>
        <v>43524</v>
      </c>
      <c r="R15" s="88"/>
      <c r="S15" s="88" t="e">
        <f t="shared" si="0"/>
        <v>#VALUE!</v>
      </c>
      <c r="T15" s="3" t="str">
        <f>$N$6&amp;" "&amp;O15</f>
        <v>Thép D6 tấm ốp ta luy A1 Lần 4</v>
      </c>
    </row>
    <row r="16" spans="1:20" ht="14.25" outlineLevel="2">
      <c r="A16" s="81">
        <f>SUBTOTAL(103,$B$12:B16)</f>
        <v>5</v>
      </c>
      <c r="B16" s="78">
        <f t="shared" si="2"/>
        <v>43528</v>
      </c>
      <c r="C16" s="571" t="str">
        <f t="shared" si="3"/>
        <v>Thép D6 tấm ốp ta luy A1 Lần 5</v>
      </c>
      <c r="D16" s="572"/>
      <c r="E16" s="573"/>
      <c r="F16" s="2">
        <f t="shared" si="4"/>
        <v>0.14652000000000001</v>
      </c>
      <c r="G16" s="1">
        <f t="shared" si="5"/>
        <v>0.14652000000000001</v>
      </c>
      <c r="H16" s="295">
        <f t="shared" si="6"/>
        <v>0.14652000000000001</v>
      </c>
      <c r="I16" s="107">
        <f t="shared" si="7"/>
        <v>0.14652000000000001</v>
      </c>
      <c r="J16" s="107">
        <f t="shared" si="8"/>
        <v>0.14652000000000001</v>
      </c>
      <c r="K16" s="82"/>
      <c r="N16" s="118"/>
      <c r="O16" s="118" t="s">
        <v>378</v>
      </c>
      <c r="P16" s="88">
        <f t="shared" si="9"/>
        <v>0.14652000000000001</v>
      </c>
      <c r="Q16" s="89">
        <f>+Q15+3+1</f>
        <v>43528</v>
      </c>
      <c r="R16" s="88"/>
      <c r="S16" s="88" t="e">
        <f t="shared" si="0"/>
        <v>#VALUE!</v>
      </c>
      <c r="T16" s="3" t="str">
        <f t="shared" ref="T16:T31" si="10">$N$6&amp;" "&amp;O16</f>
        <v>Thép D6 tấm ốp ta luy A1 Lần 5</v>
      </c>
    </row>
    <row r="17" spans="1:20" ht="14.25" outlineLevel="2">
      <c r="A17" s="81">
        <f>SUBTOTAL(103,$B$12:B17)</f>
        <v>6</v>
      </c>
      <c r="B17" s="78">
        <f t="shared" si="2"/>
        <v>43532</v>
      </c>
      <c r="C17" s="571" t="str">
        <f t="shared" si="3"/>
        <v>Thép D6 tấm ốp ta luy A1 Lần 6</v>
      </c>
      <c r="D17" s="572"/>
      <c r="E17" s="573"/>
      <c r="F17" s="2">
        <f t="shared" si="4"/>
        <v>0.14652000000000001</v>
      </c>
      <c r="G17" s="1">
        <f t="shared" si="5"/>
        <v>0.14652000000000001</v>
      </c>
      <c r="H17" s="295">
        <f t="shared" si="6"/>
        <v>0.14652000000000001</v>
      </c>
      <c r="I17" s="107">
        <f t="shared" si="7"/>
        <v>0.14652000000000001</v>
      </c>
      <c r="J17" s="107">
        <f t="shared" si="8"/>
        <v>0.14652000000000001</v>
      </c>
      <c r="K17" s="82"/>
      <c r="N17" s="118"/>
      <c r="O17" s="118" t="s">
        <v>379</v>
      </c>
      <c r="P17" s="88">
        <f t="shared" si="9"/>
        <v>0.14652000000000001</v>
      </c>
      <c r="Q17" s="89">
        <f>+Q16+3+1</f>
        <v>43532</v>
      </c>
      <c r="R17" s="88"/>
      <c r="S17" s="88" t="e">
        <f t="shared" si="0"/>
        <v>#VALUE!</v>
      </c>
      <c r="T17" s="3" t="str">
        <f t="shared" si="10"/>
        <v>Thép D6 tấm ốp ta luy A1 Lần 6</v>
      </c>
    </row>
    <row r="18" spans="1:20" ht="14.25" outlineLevel="2">
      <c r="A18" s="81">
        <f>SUBTOTAL(103,$B$12:B18)</f>
        <v>7</v>
      </c>
      <c r="B18" s="78">
        <f t="shared" si="2"/>
        <v>43534</v>
      </c>
      <c r="C18" s="571" t="str">
        <f t="shared" si="3"/>
        <v>Thép D6 tấm ốp ta luy A1 Lần 7</v>
      </c>
      <c r="D18" s="572"/>
      <c r="E18" s="573"/>
      <c r="F18" s="2">
        <f t="shared" si="4"/>
        <v>0.14652000000000001</v>
      </c>
      <c r="G18" s="1">
        <f t="shared" si="5"/>
        <v>0.14652000000000001</v>
      </c>
      <c r="H18" s="295">
        <f t="shared" si="6"/>
        <v>0.14652000000000001</v>
      </c>
      <c r="I18" s="107">
        <f t="shared" si="7"/>
        <v>0.14652000000000001</v>
      </c>
      <c r="J18" s="107">
        <f t="shared" si="8"/>
        <v>0.14652000000000001</v>
      </c>
      <c r="K18" s="82"/>
      <c r="N18" s="118"/>
      <c r="O18" s="118" t="s">
        <v>380</v>
      </c>
      <c r="P18" s="88">
        <f t="shared" si="9"/>
        <v>0.14652000000000001</v>
      </c>
      <c r="Q18" s="89">
        <f>+Q17+2</f>
        <v>43534</v>
      </c>
      <c r="R18" s="88"/>
      <c r="S18" s="88" t="e">
        <f t="shared" si="0"/>
        <v>#VALUE!</v>
      </c>
      <c r="T18" s="3" t="str">
        <f t="shared" si="10"/>
        <v>Thép D6 tấm ốp ta luy A1 Lần 7</v>
      </c>
    </row>
    <row r="19" spans="1:20" ht="14.25" outlineLevel="2">
      <c r="A19" s="81">
        <f>SUBTOTAL(103,$B$12:B19)</f>
        <v>8</v>
      </c>
      <c r="B19" s="78">
        <f t="shared" si="2"/>
        <v>43566</v>
      </c>
      <c r="C19" s="571" t="str">
        <f t="shared" si="3"/>
        <v>Thép D6 tấm ốp ta luy A1 Lần 8</v>
      </c>
      <c r="D19" s="572"/>
      <c r="E19" s="573"/>
      <c r="F19" s="2">
        <f t="shared" si="4"/>
        <v>0.14652000000000001</v>
      </c>
      <c r="G19" s="1">
        <f t="shared" si="5"/>
        <v>0.14652000000000001</v>
      </c>
      <c r="H19" s="295">
        <f t="shared" si="6"/>
        <v>0.14652000000000001</v>
      </c>
      <c r="I19" s="107">
        <f t="shared" si="7"/>
        <v>0.14652000000000001</v>
      </c>
      <c r="J19" s="261">
        <f t="shared" si="8"/>
        <v>0.14652000000000001</v>
      </c>
      <c r="K19" s="82"/>
      <c r="N19" s="118"/>
      <c r="O19" s="118" t="s">
        <v>381</v>
      </c>
      <c r="P19" s="88">
        <f t="shared" si="9"/>
        <v>0.14652000000000001</v>
      </c>
      <c r="Q19" s="89">
        <f>+Q18+30+2</f>
        <v>43566</v>
      </c>
      <c r="R19" s="88"/>
      <c r="S19" s="88" t="e">
        <f t="shared" si="0"/>
        <v>#VALUE!</v>
      </c>
      <c r="T19" s="3" t="str">
        <f t="shared" si="10"/>
        <v>Thép D6 tấm ốp ta luy A1 Lần 8</v>
      </c>
    </row>
    <row r="20" spans="1:20" ht="14.25" outlineLevel="2">
      <c r="A20" s="81">
        <f>SUBTOTAL(103,$B$12:B20)</f>
        <v>9</v>
      </c>
      <c r="B20" s="78">
        <f t="shared" si="2"/>
        <v>43539</v>
      </c>
      <c r="C20" s="571" t="str">
        <f t="shared" si="3"/>
        <v>Thép D6 tấm ốp ta luy A1 Lần 9</v>
      </c>
      <c r="D20" s="572"/>
      <c r="E20" s="573"/>
      <c r="F20" s="2">
        <f t="shared" si="4"/>
        <v>0.14652000000000001</v>
      </c>
      <c r="G20" s="1">
        <f t="shared" si="5"/>
        <v>0.14652000000000001</v>
      </c>
      <c r="H20" s="295">
        <f t="shared" si="6"/>
        <v>0.14652000000000001</v>
      </c>
      <c r="I20" s="107">
        <f t="shared" si="7"/>
        <v>0.14652000000000001</v>
      </c>
      <c r="J20" s="107">
        <f t="shared" si="8"/>
        <v>0.14652000000000001</v>
      </c>
      <c r="K20" s="82"/>
      <c r="N20" s="118"/>
      <c r="O20" s="118" t="s">
        <v>382</v>
      </c>
      <c r="P20" s="88">
        <f t="shared" si="9"/>
        <v>0.14652000000000001</v>
      </c>
      <c r="Q20" s="89">
        <f>+Q18+5</f>
        <v>43539</v>
      </c>
      <c r="R20" s="88"/>
      <c r="S20" s="88" t="e">
        <f t="shared" si="0"/>
        <v>#VALUE!</v>
      </c>
      <c r="T20" s="3" t="str">
        <f t="shared" si="10"/>
        <v>Thép D6 tấm ốp ta luy A1 Lần 9</v>
      </c>
    </row>
    <row r="21" spans="1:20" ht="14.25" outlineLevel="2">
      <c r="A21" s="81">
        <f>SUBTOTAL(103,$B$12:B21)</f>
        <v>10</v>
      </c>
      <c r="B21" s="78">
        <f t="shared" si="2"/>
        <v>43511</v>
      </c>
      <c r="C21" s="571" t="str">
        <f t="shared" si="3"/>
        <v>Thép D6 tấm ốp ta luy A2 Lần 1</v>
      </c>
      <c r="D21" s="572"/>
      <c r="E21" s="573"/>
      <c r="F21" s="2">
        <f t="shared" si="4"/>
        <v>0.14652000000000001</v>
      </c>
      <c r="G21" s="1">
        <f t="shared" si="5"/>
        <v>0.14652000000000001</v>
      </c>
      <c r="H21" s="295">
        <f t="shared" si="6"/>
        <v>0.14652000000000001</v>
      </c>
      <c r="I21" s="107">
        <f t="shared" si="7"/>
        <v>0.14652000000000001</v>
      </c>
      <c r="J21" s="107">
        <f t="shared" si="8"/>
        <v>0.14652000000000001</v>
      </c>
      <c r="K21" s="82"/>
      <c r="N21" s="118"/>
      <c r="O21" s="118" t="s">
        <v>383</v>
      </c>
      <c r="P21" s="88">
        <f t="shared" si="9"/>
        <v>0.14652000000000001</v>
      </c>
      <c r="Q21" s="89">
        <f>+Q12-1</f>
        <v>43511</v>
      </c>
      <c r="R21" s="88"/>
      <c r="S21" s="88" t="e">
        <f t="shared" si="0"/>
        <v>#VALUE!</v>
      </c>
      <c r="T21" s="3" t="str">
        <f t="shared" si="10"/>
        <v>Thép D6 tấm ốp ta luy A2 Lần 1</v>
      </c>
    </row>
    <row r="22" spans="1:20" ht="14.25" outlineLevel="2">
      <c r="A22" s="81">
        <f>SUBTOTAL(103,$B$12:B22)</f>
        <v>11</v>
      </c>
      <c r="B22" s="78">
        <f t="shared" si="2"/>
        <v>43517</v>
      </c>
      <c r="C22" s="571" t="str">
        <f t="shared" si="3"/>
        <v>Thép D6 tấm ốp ta luy A2 Lần 2</v>
      </c>
      <c r="D22" s="572"/>
      <c r="E22" s="573"/>
      <c r="F22" s="2">
        <f t="shared" si="4"/>
        <v>0.14652000000000001</v>
      </c>
      <c r="G22" s="1">
        <f t="shared" si="5"/>
        <v>0.14652000000000001</v>
      </c>
      <c r="H22" s="295">
        <f t="shared" si="6"/>
        <v>0.14652000000000001</v>
      </c>
      <c r="I22" s="107">
        <f t="shared" si="7"/>
        <v>0.14652000000000001</v>
      </c>
      <c r="J22" s="107">
        <f t="shared" si="8"/>
        <v>0.14652000000000001</v>
      </c>
      <c r="K22" s="82"/>
      <c r="N22" s="118"/>
      <c r="O22" s="118" t="s">
        <v>384</v>
      </c>
      <c r="P22" s="88">
        <f t="shared" si="9"/>
        <v>0.14652000000000001</v>
      </c>
      <c r="Q22" s="89">
        <f>+Q21+6</f>
        <v>43517</v>
      </c>
      <c r="R22" s="88"/>
      <c r="S22" s="88" t="e">
        <f t="shared" si="0"/>
        <v>#VALUE!</v>
      </c>
      <c r="T22" s="3" t="str">
        <f t="shared" si="10"/>
        <v>Thép D6 tấm ốp ta luy A2 Lần 2</v>
      </c>
    </row>
    <row r="23" spans="1:20" ht="14.25" outlineLevel="2">
      <c r="A23" s="81">
        <f>SUBTOTAL(103,$B$12:B23)</f>
        <v>12</v>
      </c>
      <c r="B23" s="78">
        <f t="shared" si="2"/>
        <v>43519</v>
      </c>
      <c r="C23" s="571" t="str">
        <f t="shared" si="3"/>
        <v>Thép D6 tấm ốp ta luy A2 Lần 3</v>
      </c>
      <c r="D23" s="572"/>
      <c r="E23" s="573"/>
      <c r="F23" s="2">
        <f t="shared" si="4"/>
        <v>0.14652000000000001</v>
      </c>
      <c r="G23" s="1">
        <f t="shared" si="5"/>
        <v>0.14652000000000001</v>
      </c>
      <c r="H23" s="295">
        <f t="shared" si="6"/>
        <v>0.14652000000000001</v>
      </c>
      <c r="I23" s="107">
        <f t="shared" si="7"/>
        <v>0.14652000000000001</v>
      </c>
      <c r="J23" s="107">
        <f t="shared" si="8"/>
        <v>0.14652000000000001</v>
      </c>
      <c r="K23" s="82"/>
      <c r="N23" s="118"/>
      <c r="O23" s="118" t="s">
        <v>385</v>
      </c>
      <c r="P23" s="88">
        <f t="shared" si="9"/>
        <v>0.14652000000000001</v>
      </c>
      <c r="Q23" s="89">
        <f>+Q22+2</f>
        <v>43519</v>
      </c>
      <c r="R23" s="88"/>
      <c r="S23" s="88" t="e">
        <f t="shared" si="0"/>
        <v>#VALUE!</v>
      </c>
      <c r="T23" s="3" t="str">
        <f t="shared" si="10"/>
        <v>Thép D6 tấm ốp ta luy A2 Lần 3</v>
      </c>
    </row>
    <row r="24" spans="1:20" ht="14.25" outlineLevel="2">
      <c r="A24" s="81">
        <f>SUBTOTAL(103,$B$12:B24)</f>
        <v>13</v>
      </c>
      <c r="B24" s="78">
        <f t="shared" si="2"/>
        <v>43522</v>
      </c>
      <c r="C24" s="571" t="str">
        <f t="shared" si="3"/>
        <v>Thép D6 tấm ốp ta luy A2 Lần 4</v>
      </c>
      <c r="D24" s="572"/>
      <c r="E24" s="573"/>
      <c r="F24" s="2">
        <f t="shared" si="4"/>
        <v>0.14652000000000001</v>
      </c>
      <c r="G24" s="1">
        <f t="shared" si="5"/>
        <v>0.14652000000000001</v>
      </c>
      <c r="H24" s="295">
        <f t="shared" si="6"/>
        <v>0.14652000000000001</v>
      </c>
      <c r="I24" s="107">
        <f t="shared" si="7"/>
        <v>0.14652000000000001</v>
      </c>
      <c r="J24" s="107">
        <f t="shared" si="8"/>
        <v>0.14652000000000001</v>
      </c>
      <c r="K24" s="82"/>
      <c r="N24" s="118"/>
      <c r="O24" s="118" t="s">
        <v>386</v>
      </c>
      <c r="P24" s="88">
        <f t="shared" si="9"/>
        <v>0.14652000000000001</v>
      </c>
      <c r="Q24" s="89">
        <f t="shared" ref="Q24:Q29" si="11">+Q23+3</f>
        <v>43522</v>
      </c>
      <c r="R24" s="88"/>
      <c r="S24" s="88" t="e">
        <f t="shared" si="0"/>
        <v>#VALUE!</v>
      </c>
      <c r="T24" s="3" t="str">
        <f t="shared" si="10"/>
        <v>Thép D6 tấm ốp ta luy A2 Lần 4</v>
      </c>
    </row>
    <row r="25" spans="1:20" ht="14.25" outlineLevel="2">
      <c r="A25" s="81">
        <f>SUBTOTAL(103,$B$12:B25)</f>
        <v>14</v>
      </c>
      <c r="B25" s="78">
        <f t="shared" si="2"/>
        <v>43525</v>
      </c>
      <c r="C25" s="571" t="str">
        <f t="shared" si="3"/>
        <v>Thép D6 tấm ốp ta luy A2 Lần 5</v>
      </c>
      <c r="D25" s="572"/>
      <c r="E25" s="573"/>
      <c r="F25" s="2">
        <f t="shared" si="4"/>
        <v>0.14652000000000001</v>
      </c>
      <c r="G25" s="1">
        <f t="shared" si="5"/>
        <v>0.14652000000000001</v>
      </c>
      <c r="H25" s="295">
        <f t="shared" si="6"/>
        <v>0.14652000000000001</v>
      </c>
      <c r="I25" s="107">
        <f t="shared" si="7"/>
        <v>0.14652000000000001</v>
      </c>
      <c r="J25" s="107">
        <f t="shared" si="8"/>
        <v>0.14652000000000001</v>
      </c>
      <c r="K25" s="82"/>
      <c r="N25" s="118"/>
      <c r="O25" s="118" t="s">
        <v>387</v>
      </c>
      <c r="P25" s="88">
        <f t="shared" si="9"/>
        <v>0.14652000000000001</v>
      </c>
      <c r="Q25" s="89">
        <f t="shared" si="11"/>
        <v>43525</v>
      </c>
      <c r="R25" s="88"/>
      <c r="S25" s="88" t="e">
        <f t="shared" si="0"/>
        <v>#VALUE!</v>
      </c>
      <c r="T25" s="3" t="str">
        <f t="shared" si="10"/>
        <v>Thép D6 tấm ốp ta luy A2 Lần 5</v>
      </c>
    </row>
    <row r="26" spans="1:20" ht="14.25" outlineLevel="2">
      <c r="A26" s="81">
        <f>SUBTOTAL(103,$B$12:B26)</f>
        <v>15</v>
      </c>
      <c r="B26" s="78">
        <f t="shared" si="2"/>
        <v>43529</v>
      </c>
      <c r="C26" s="571" t="str">
        <f t="shared" si="3"/>
        <v>Thép D6 tấm ốp ta luy A2 Lần 6</v>
      </c>
      <c r="D26" s="572"/>
      <c r="E26" s="573"/>
      <c r="F26" s="2">
        <f t="shared" si="4"/>
        <v>0.14652000000000001</v>
      </c>
      <c r="G26" s="1">
        <f t="shared" si="5"/>
        <v>0.14652000000000001</v>
      </c>
      <c r="H26" s="295">
        <f t="shared" si="6"/>
        <v>0.14652000000000001</v>
      </c>
      <c r="I26" s="107">
        <f t="shared" si="7"/>
        <v>0.14652000000000001</v>
      </c>
      <c r="J26" s="107">
        <f t="shared" si="8"/>
        <v>0.14652000000000001</v>
      </c>
      <c r="K26" s="82"/>
      <c r="N26" s="118"/>
      <c r="O26" s="118" t="s">
        <v>388</v>
      </c>
      <c r="P26" s="88">
        <f t="shared" si="9"/>
        <v>0.14652000000000001</v>
      </c>
      <c r="Q26" s="89">
        <f>+Q25+3+1</f>
        <v>43529</v>
      </c>
      <c r="R26" s="88"/>
      <c r="S26" s="88" t="e">
        <f t="shared" si="0"/>
        <v>#VALUE!</v>
      </c>
      <c r="T26" s="3" t="str">
        <f t="shared" si="10"/>
        <v>Thép D6 tấm ốp ta luy A2 Lần 6</v>
      </c>
    </row>
    <row r="27" spans="1:20" ht="14.25" outlineLevel="2">
      <c r="A27" s="81">
        <f>SUBTOTAL(103,$B$12:B27)</f>
        <v>16</v>
      </c>
      <c r="B27" s="78">
        <f t="shared" si="2"/>
        <v>43534</v>
      </c>
      <c r="C27" s="571" t="str">
        <f t="shared" si="3"/>
        <v>Thép D6 tấm ốp ta luy A2 Lần 7</v>
      </c>
      <c r="D27" s="572"/>
      <c r="E27" s="573"/>
      <c r="F27" s="2">
        <f t="shared" si="4"/>
        <v>0.14652000000000001</v>
      </c>
      <c r="G27" s="1">
        <f t="shared" si="5"/>
        <v>0.14652000000000001</v>
      </c>
      <c r="H27" s="295">
        <f t="shared" si="6"/>
        <v>0.14652000000000001</v>
      </c>
      <c r="I27" s="107">
        <f t="shared" si="7"/>
        <v>0.14652000000000001</v>
      </c>
      <c r="J27" s="107">
        <f t="shared" si="8"/>
        <v>0.14652000000000001</v>
      </c>
      <c r="K27" s="82"/>
      <c r="N27" s="118"/>
      <c r="O27" s="118" t="s">
        <v>389</v>
      </c>
      <c r="P27" s="88">
        <f t="shared" si="9"/>
        <v>0.14652000000000001</v>
      </c>
      <c r="Q27" s="89">
        <f>+Q26+3+2</f>
        <v>43534</v>
      </c>
      <c r="R27" s="88"/>
      <c r="S27" s="88" t="e">
        <f t="shared" si="0"/>
        <v>#VALUE!</v>
      </c>
      <c r="T27" s="3" t="str">
        <f t="shared" si="10"/>
        <v>Thép D6 tấm ốp ta luy A2 Lần 7</v>
      </c>
    </row>
    <row r="28" spans="1:20" ht="14.25" outlineLevel="2">
      <c r="A28" s="81">
        <f>SUBTOTAL(103,$B$12:B28)</f>
        <v>17</v>
      </c>
      <c r="B28" s="78">
        <f t="shared" si="2"/>
        <v>43538</v>
      </c>
      <c r="C28" s="571" t="str">
        <f t="shared" si="3"/>
        <v>Thép D6 tấm ốp ta luy A2 Lần 8</v>
      </c>
      <c r="D28" s="572"/>
      <c r="E28" s="573"/>
      <c r="F28" s="2">
        <f t="shared" si="4"/>
        <v>0.14652000000000001</v>
      </c>
      <c r="G28" s="1">
        <f t="shared" si="5"/>
        <v>0.14652000000000001</v>
      </c>
      <c r="H28" s="295">
        <f t="shared" si="6"/>
        <v>0.14652000000000001</v>
      </c>
      <c r="I28" s="107">
        <f t="shared" si="7"/>
        <v>0.14652000000000001</v>
      </c>
      <c r="J28" s="107">
        <f t="shared" si="8"/>
        <v>0.14652000000000001</v>
      </c>
      <c r="K28" s="82"/>
      <c r="N28" s="118"/>
      <c r="O28" s="118" t="s">
        <v>390</v>
      </c>
      <c r="P28" s="88">
        <f t="shared" si="9"/>
        <v>0.14652000000000001</v>
      </c>
      <c r="Q28" s="89">
        <f>+Q27+3+1</f>
        <v>43538</v>
      </c>
      <c r="R28" s="88"/>
      <c r="S28" s="88" t="e">
        <f t="shared" si="0"/>
        <v>#VALUE!</v>
      </c>
      <c r="T28" s="3" t="str">
        <f t="shared" si="10"/>
        <v>Thép D6 tấm ốp ta luy A2 Lần 8</v>
      </c>
    </row>
    <row r="29" spans="1:20" ht="14.25" outlineLevel="2">
      <c r="A29" s="81">
        <f>SUBTOTAL(103,$B$12:B29)</f>
        <v>18</v>
      </c>
      <c r="B29" s="78">
        <f t="shared" si="2"/>
        <v>43541</v>
      </c>
      <c r="C29" s="571" t="str">
        <f t="shared" si="3"/>
        <v>Thép D6 tấm ốp ta luy A2 Lần 9</v>
      </c>
      <c r="D29" s="572"/>
      <c r="E29" s="573"/>
      <c r="F29" s="2">
        <f t="shared" si="4"/>
        <v>0.14652000000000001</v>
      </c>
      <c r="G29" s="1">
        <f t="shared" si="5"/>
        <v>0.14652000000000001</v>
      </c>
      <c r="H29" s="295">
        <f t="shared" si="6"/>
        <v>0.14652000000000001</v>
      </c>
      <c r="I29" s="107">
        <f t="shared" si="7"/>
        <v>0.14652000000000001</v>
      </c>
      <c r="J29" s="107">
        <f t="shared" si="8"/>
        <v>0.14652000000000001</v>
      </c>
      <c r="K29" s="82"/>
      <c r="N29" s="118"/>
      <c r="O29" s="118" t="s">
        <v>391</v>
      </c>
      <c r="P29" s="88">
        <f t="shared" si="9"/>
        <v>0.14652000000000001</v>
      </c>
      <c r="Q29" s="89">
        <f t="shared" si="11"/>
        <v>43541</v>
      </c>
      <c r="R29" s="88"/>
      <c r="S29" s="88" t="e">
        <f t="shared" si="0"/>
        <v>#VALUE!</v>
      </c>
      <c r="T29" s="3" t="str">
        <f t="shared" si="10"/>
        <v>Thép D6 tấm ốp ta luy A2 Lần 9</v>
      </c>
    </row>
    <row r="30" spans="1:20" ht="14.25" outlineLevel="2">
      <c r="A30" s="81">
        <f>SUBTOTAL(103,$B$12:B30)</f>
        <v>19</v>
      </c>
      <c r="B30" s="78">
        <f t="shared" si="2"/>
        <v>43542</v>
      </c>
      <c r="C30" s="571" t="str">
        <f t="shared" si="3"/>
        <v>Thép D6 tấm ốp ta luy A2 Lần 10</v>
      </c>
      <c r="D30" s="572"/>
      <c r="E30" s="573"/>
      <c r="F30" s="2">
        <f t="shared" si="4"/>
        <v>0.14652000000000001</v>
      </c>
      <c r="G30" s="1">
        <f t="shared" si="5"/>
        <v>0.14652000000000001</v>
      </c>
      <c r="H30" s="295">
        <f t="shared" si="6"/>
        <v>0.14652000000000001</v>
      </c>
      <c r="I30" s="107">
        <f t="shared" si="7"/>
        <v>0.14652000000000001</v>
      </c>
      <c r="J30" s="107">
        <f t="shared" si="8"/>
        <v>0.14652000000000001</v>
      </c>
      <c r="K30" s="82"/>
      <c r="N30" s="118"/>
      <c r="O30" s="118" t="s">
        <v>392</v>
      </c>
      <c r="P30" s="88">
        <f t="shared" si="9"/>
        <v>0.14652000000000001</v>
      </c>
      <c r="Q30" s="89">
        <f>+Q29+1</f>
        <v>43542</v>
      </c>
      <c r="R30" s="88"/>
      <c r="S30" s="88" t="e">
        <f t="shared" si="0"/>
        <v>#VALUE!</v>
      </c>
      <c r="T30" s="3" t="str">
        <f t="shared" si="10"/>
        <v>Thép D6 tấm ốp ta luy A2 Lần 10</v>
      </c>
    </row>
    <row r="31" spans="1:20" ht="14.25" outlineLevel="2">
      <c r="A31" s="81">
        <f>SUBTOTAL(103,$B$12:B31)</f>
        <v>20</v>
      </c>
      <c r="B31" s="78">
        <f t="shared" si="2"/>
        <v>43542</v>
      </c>
      <c r="C31" s="571" t="str">
        <f t="shared" si="3"/>
        <v>Thép D6 tấm ốp ta luy A2 Lần 11</v>
      </c>
      <c r="D31" s="572"/>
      <c r="E31" s="573"/>
      <c r="F31" s="2">
        <f t="shared" si="4"/>
        <v>7.3260000000000006E-2</v>
      </c>
      <c r="G31" s="1">
        <f t="shared" si="5"/>
        <v>7.3260000000000006E-2</v>
      </c>
      <c r="H31" s="295">
        <v>0</v>
      </c>
      <c r="I31" s="107">
        <v>0</v>
      </c>
      <c r="J31" s="107">
        <f t="shared" si="8"/>
        <v>7.3260000000000006E-2</v>
      </c>
      <c r="K31" s="82"/>
      <c r="N31" s="118"/>
      <c r="O31" s="118" t="s">
        <v>393</v>
      </c>
      <c r="P31" s="88">
        <f>P30/2</f>
        <v>7.3260000000000006E-2</v>
      </c>
      <c r="Q31" s="89">
        <f>+Q30</f>
        <v>43542</v>
      </c>
      <c r="R31" s="88"/>
      <c r="S31" s="88" t="e">
        <f t="shared" si="0"/>
        <v>#VALUE!</v>
      </c>
      <c r="T31" s="3" t="str">
        <f t="shared" si="10"/>
        <v>Thép D6 tấm ốp ta luy A2 Lần 11</v>
      </c>
    </row>
    <row r="32" spans="1:20" ht="14.25" outlineLevel="2">
      <c r="A32" s="81"/>
      <c r="B32" s="78"/>
      <c r="C32" s="571"/>
      <c r="D32" s="572"/>
      <c r="E32" s="573"/>
      <c r="F32" s="27"/>
      <c r="G32" s="33"/>
      <c r="H32" s="31"/>
      <c r="I32" s="107"/>
      <c r="J32" s="107"/>
      <c r="K32" s="82"/>
      <c r="N32" s="118"/>
      <c r="O32" s="118"/>
      <c r="P32" s="88"/>
      <c r="Q32" s="89"/>
      <c r="R32" s="88"/>
      <c r="S32" s="88"/>
      <c r="T32" s="3"/>
    </row>
    <row r="33" spans="1:20" thickBot="1">
      <c r="A33" s="574" t="s">
        <v>4</v>
      </c>
      <c r="B33" s="575"/>
      <c r="C33" s="575"/>
      <c r="D33" s="575"/>
      <c r="E33" s="575"/>
      <c r="F33" s="79">
        <f>'[7]TONG KL '!$I$17/1000</f>
        <v>2.7844600000000002</v>
      </c>
      <c r="G33" s="79">
        <f t="shared" ref="G33:J33" si="12">ROUND(SUM(G12:G32),2)</f>
        <v>2.86</v>
      </c>
      <c r="H33" s="79">
        <f>MIN(F33:G33)</f>
        <v>2.7844600000000002</v>
      </c>
      <c r="I33" s="79">
        <f t="shared" si="12"/>
        <v>2.78</v>
      </c>
      <c r="J33" s="79">
        <f t="shared" si="12"/>
        <v>2.86</v>
      </c>
      <c r="K33" s="80"/>
      <c r="N33" s="118"/>
      <c r="O33" s="118"/>
      <c r="P33" s="90">
        <f>SUM(P12:P12)</f>
        <v>0.14652000000000001</v>
      </c>
    </row>
    <row r="34" spans="1:20" s="175" customFormat="1" ht="18" customHeight="1" thickTop="1" thickBot="1">
      <c r="A34" s="253"/>
      <c r="B34" s="253"/>
      <c r="C34" s="253"/>
      <c r="D34" s="253"/>
      <c r="E34" s="253"/>
      <c r="F34" s="116"/>
      <c r="G34" s="116"/>
      <c r="H34" s="116"/>
      <c r="I34" s="116"/>
      <c r="J34" s="116"/>
      <c r="K34" s="117"/>
      <c r="L34" s="4"/>
      <c r="M34" s="4" t="s">
        <v>353</v>
      </c>
      <c r="N34" s="118" t="s">
        <v>354</v>
      </c>
      <c r="O34" s="118" t="s">
        <v>351</v>
      </c>
      <c r="P34" s="119" t="s">
        <v>352</v>
      </c>
      <c r="Q34" s="120"/>
      <c r="R34" s="120"/>
      <c r="S34" s="120"/>
      <c r="T34" s="121"/>
    </row>
    <row r="35" spans="1:20" s="5" customFormat="1" ht="13.9" customHeight="1" thickTop="1">
      <c r="A35" s="578" t="s">
        <v>68</v>
      </c>
      <c r="B35" s="579"/>
      <c r="C35" s="579"/>
      <c r="D35" s="579"/>
      <c r="E35" s="579"/>
      <c r="F35" s="580" t="s">
        <v>69</v>
      </c>
      <c r="G35" s="580"/>
      <c r="H35" s="580"/>
      <c r="I35" s="581"/>
      <c r="J35" s="581"/>
      <c r="K35" s="582"/>
      <c r="L35" s="4"/>
      <c r="M35" s="4">
        <v>149.16999999999999</v>
      </c>
      <c r="N35" s="4">
        <v>149.11699999999999</v>
      </c>
      <c r="O35" s="4">
        <v>0</v>
      </c>
      <c r="P35" s="4">
        <v>0</v>
      </c>
    </row>
    <row r="36" spans="1:20" s="5" customFormat="1" ht="13.9" customHeight="1">
      <c r="A36" s="583" t="s">
        <v>5</v>
      </c>
      <c r="B36" s="584"/>
      <c r="C36" s="584"/>
      <c r="D36" s="584"/>
      <c r="E36" s="584"/>
      <c r="F36" s="585" t="s">
        <v>6</v>
      </c>
      <c r="G36" s="585"/>
      <c r="H36" s="585"/>
      <c r="I36" s="586"/>
      <c r="J36" s="586"/>
      <c r="K36" s="587"/>
      <c r="L36" s="4"/>
      <c r="M36" s="4">
        <v>0</v>
      </c>
      <c r="N36" s="4">
        <v>8.4559999999999995</v>
      </c>
      <c r="O36" s="4">
        <v>10.151999999999999</v>
      </c>
      <c r="P36" s="4">
        <v>0</v>
      </c>
    </row>
    <row r="37" spans="1:20" s="5" customFormat="1" ht="13.9" customHeight="1">
      <c r="A37" s="583" t="s">
        <v>836</v>
      </c>
      <c r="B37" s="584"/>
      <c r="C37" s="584"/>
      <c r="D37" s="584"/>
      <c r="E37" s="584"/>
      <c r="F37" s="590" t="s">
        <v>837</v>
      </c>
      <c r="G37" s="590"/>
      <c r="H37" s="590"/>
      <c r="I37" s="591"/>
      <c r="J37" s="591"/>
      <c r="K37" s="592"/>
      <c r="L37" s="4"/>
      <c r="M37" s="4">
        <v>0</v>
      </c>
      <c r="N37" s="4">
        <v>0</v>
      </c>
      <c r="O37" s="4">
        <v>9.2609999999999992</v>
      </c>
      <c r="P37" s="4">
        <v>0</v>
      </c>
    </row>
    <row r="38" spans="1:20" s="5" customFormat="1" ht="13.9" customHeight="1">
      <c r="A38" s="583"/>
      <c r="B38" s="584"/>
      <c r="C38" s="584"/>
      <c r="D38" s="584"/>
      <c r="E38" s="584"/>
      <c r="F38" s="590"/>
      <c r="G38" s="590"/>
      <c r="H38" s="590"/>
      <c r="I38" s="591"/>
      <c r="J38" s="591"/>
      <c r="K38" s="592"/>
      <c r="L38" s="4"/>
      <c r="M38" s="4">
        <v>4</v>
      </c>
      <c r="N38" s="4">
        <v>4</v>
      </c>
      <c r="O38" s="4">
        <v>4</v>
      </c>
      <c r="P38" s="4">
        <v>4</v>
      </c>
    </row>
    <row r="39" spans="1:20" s="5" customFormat="1" ht="13.9" customHeight="1">
      <c r="A39" s="583"/>
      <c r="B39" s="584"/>
      <c r="C39" s="584"/>
      <c r="D39" s="584"/>
      <c r="E39" s="584"/>
      <c r="F39" s="590"/>
      <c r="G39" s="590"/>
      <c r="H39" s="590"/>
      <c r="I39" s="591"/>
      <c r="J39" s="591"/>
      <c r="K39" s="592"/>
      <c r="L39" s="4"/>
      <c r="M39" s="4">
        <v>0</v>
      </c>
      <c r="N39" s="4">
        <v>0</v>
      </c>
      <c r="O39" s="4">
        <v>309</v>
      </c>
      <c r="P39" s="4">
        <v>309</v>
      </c>
    </row>
    <row r="40" spans="1:20" s="5" customFormat="1" ht="13.9" customHeight="1">
      <c r="A40" s="583"/>
      <c r="B40" s="584"/>
      <c r="C40" s="584"/>
      <c r="D40" s="584"/>
      <c r="E40" s="584"/>
      <c r="F40" s="590"/>
      <c r="G40" s="590"/>
      <c r="H40" s="590"/>
      <c r="I40" s="591"/>
      <c r="J40" s="591"/>
      <c r="K40" s="592"/>
      <c r="L40" s="4"/>
      <c r="M40" s="4">
        <v>2300.7199999999998</v>
      </c>
      <c r="N40" s="4">
        <v>3002.72</v>
      </c>
      <c r="O40" s="4">
        <v>562.11</v>
      </c>
      <c r="P40" s="4">
        <v>562.11</v>
      </c>
    </row>
    <row r="41" spans="1:20" s="5" customFormat="1" ht="13.9" customHeight="1">
      <c r="A41" s="583"/>
      <c r="B41" s="584"/>
      <c r="C41" s="584"/>
      <c r="D41" s="584"/>
      <c r="E41" s="584"/>
      <c r="F41" s="590"/>
      <c r="G41" s="590"/>
      <c r="H41" s="590"/>
      <c r="I41" s="591"/>
      <c r="J41" s="591"/>
      <c r="K41" s="592"/>
      <c r="L41" s="4"/>
      <c r="M41" s="4">
        <v>6369.45</v>
      </c>
      <c r="N41" s="4">
        <v>6905.47</v>
      </c>
      <c r="O41" s="4">
        <v>6119.16</v>
      </c>
      <c r="P41" s="4">
        <v>9046.5499999999993</v>
      </c>
    </row>
    <row r="42" spans="1:20" s="5" customFormat="1" ht="13.9" customHeight="1">
      <c r="A42" s="583"/>
      <c r="B42" s="584"/>
      <c r="C42" s="584"/>
      <c r="D42" s="584"/>
      <c r="E42" s="584"/>
      <c r="F42" s="590"/>
      <c r="G42" s="590"/>
      <c r="H42" s="590"/>
      <c r="I42" s="591"/>
      <c r="J42" s="591"/>
      <c r="K42" s="592"/>
      <c r="L42" s="4"/>
      <c r="M42" s="4">
        <v>7896.36</v>
      </c>
      <c r="N42" s="4">
        <v>7805.84</v>
      </c>
      <c r="O42" s="4">
        <v>1921.33</v>
      </c>
      <c r="P42" s="4">
        <v>13505.69</v>
      </c>
    </row>
    <row r="43" spans="1:20" s="5" customFormat="1" ht="13.9" customHeight="1" thickBot="1">
      <c r="A43" s="588"/>
      <c r="B43" s="589"/>
      <c r="C43" s="589"/>
      <c r="D43" s="589"/>
      <c r="E43" s="589"/>
      <c r="F43" s="593"/>
      <c r="G43" s="593"/>
      <c r="H43" s="593"/>
      <c r="I43" s="594"/>
      <c r="J43" s="594"/>
      <c r="K43" s="595"/>
      <c r="L43" s="4"/>
      <c r="M43" s="4">
        <v>140</v>
      </c>
      <c r="N43" s="4">
        <v>139.6</v>
      </c>
      <c r="O43" s="4">
        <v>218.6</v>
      </c>
      <c r="P43" s="4">
        <v>209.5</v>
      </c>
    </row>
    <row r="44" spans="1:20" s="175" customFormat="1" ht="18" customHeight="1" thickTop="1">
      <c r="A44" s="253"/>
      <c r="B44" s="253"/>
      <c r="C44" s="253"/>
      <c r="D44" s="253"/>
      <c r="E44" s="253"/>
      <c r="F44" s="116"/>
      <c r="G44" s="116"/>
      <c r="H44" s="116"/>
      <c r="I44" s="116"/>
      <c r="J44" s="116"/>
      <c r="K44" s="117"/>
      <c r="L44" s="118"/>
      <c r="M44" s="118"/>
      <c r="N44" s="118"/>
      <c r="O44" s="118"/>
      <c r="P44" s="119"/>
      <c r="Q44" s="120"/>
      <c r="R44" s="120"/>
      <c r="S44" s="120"/>
      <c r="T44" s="121"/>
    </row>
    <row r="45" spans="1:20" s="111" customFormat="1" ht="48" customHeight="1">
      <c r="A45" s="596" t="s">
        <v>87</v>
      </c>
      <c r="B45" s="596"/>
      <c r="C45" s="596"/>
      <c r="D45" s="596"/>
      <c r="E45" s="596"/>
      <c r="F45" s="596"/>
      <c r="G45" s="596"/>
      <c r="H45" s="596"/>
      <c r="I45" s="596"/>
      <c r="J45" s="596"/>
      <c r="K45" s="596"/>
      <c r="L45" s="108"/>
      <c r="M45" s="109"/>
      <c r="N45" s="110"/>
    </row>
    <row r="46" spans="1:20" s="112" customFormat="1" ht="18" customHeight="1">
      <c r="A46" s="597" t="s">
        <v>599</v>
      </c>
      <c r="B46" s="597"/>
      <c r="C46" s="597"/>
      <c r="D46" s="597"/>
      <c r="E46" s="597"/>
      <c r="F46" s="597"/>
      <c r="G46" s="597"/>
      <c r="H46" s="597"/>
      <c r="I46" s="597"/>
      <c r="J46" s="597"/>
      <c r="K46" s="597"/>
    </row>
    <row r="47" spans="1:20" s="175" customFormat="1" ht="20.100000000000001" customHeight="1">
      <c r="A47" s="598" t="s">
        <v>90</v>
      </c>
      <c r="B47" s="598"/>
      <c r="C47" s="598"/>
      <c r="D47" s="598"/>
      <c r="E47" s="598"/>
      <c r="F47" s="598"/>
      <c r="G47" s="598"/>
      <c r="H47" s="598"/>
      <c r="I47" s="598"/>
      <c r="J47" s="598"/>
      <c r="K47" s="598"/>
      <c r="L47" s="123"/>
      <c r="M47" s="124"/>
      <c r="N47" s="123"/>
      <c r="O47" s="123"/>
      <c r="P47" s="123"/>
      <c r="Q47" s="123"/>
      <c r="R47" s="123"/>
      <c r="S47" s="123"/>
      <c r="T47" s="123"/>
    </row>
    <row r="48" spans="1:20" s="175" customFormat="1" ht="15.95" customHeight="1">
      <c r="A48" s="599" t="s">
        <v>91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123"/>
      <c r="M48" s="124"/>
      <c r="N48" s="123"/>
      <c r="O48" s="123"/>
      <c r="P48" s="123"/>
      <c r="Q48" s="123"/>
      <c r="R48" s="123"/>
      <c r="S48" s="123"/>
      <c r="T48" s="123"/>
    </row>
    <row r="49" spans="1:20" s="175" customFormat="1" ht="15.95" customHeight="1">
      <c r="A49" s="600" t="str">
        <f>A4</f>
        <v>PHẦN C.: CẦU VƯỢT</v>
      </c>
      <c r="B49" s="601"/>
      <c r="C49" s="601"/>
      <c r="D49" s="601"/>
      <c r="E49" s="601"/>
      <c r="F49" s="601"/>
      <c r="G49" s="601"/>
      <c r="H49" s="601"/>
      <c r="I49" s="601"/>
      <c r="J49" s="601"/>
      <c r="K49" s="602"/>
      <c r="L49" s="123"/>
      <c r="M49" s="124"/>
      <c r="N49" s="123"/>
      <c r="O49" s="123"/>
      <c r="P49" s="123"/>
      <c r="Q49" s="123"/>
      <c r="R49" s="123"/>
      <c r="S49" s="123"/>
      <c r="T49" s="123"/>
    </row>
    <row r="50" spans="1:20" s="175" customFormat="1" ht="15.95" customHeight="1">
      <c r="A50" s="254" t="str">
        <f>A5</f>
        <v>Hạng mục C.II.1.2. Gia cố mái taluy</v>
      </c>
      <c r="B50" s="255"/>
      <c r="C50" s="127"/>
      <c r="D50" s="127"/>
      <c r="E50" s="128"/>
      <c r="F50" s="129"/>
      <c r="G50" s="129"/>
      <c r="H50" s="129"/>
      <c r="I50" s="129"/>
      <c r="J50" s="129"/>
      <c r="K50" s="130"/>
      <c r="L50" s="123"/>
      <c r="M50" s="124"/>
      <c r="N50" s="123"/>
      <c r="O50" s="123"/>
      <c r="P50" s="123"/>
      <c r="Q50" s="123"/>
      <c r="R50" s="123"/>
      <c r="S50" s="123"/>
      <c r="T50" s="123"/>
    </row>
    <row r="51" spans="1:20" s="175" customFormat="1" ht="15.95" customHeight="1">
      <c r="A51" s="254" t="str">
        <f>A6</f>
        <v>Mục C.II.1.2.3. Thép D6 tấm ốp ta luy</v>
      </c>
      <c r="B51" s="255"/>
      <c r="C51" s="127"/>
      <c r="D51" s="127"/>
      <c r="E51" s="128"/>
      <c r="F51" s="129"/>
      <c r="G51" s="129"/>
      <c r="H51" s="129"/>
      <c r="I51" s="129"/>
      <c r="J51" s="129"/>
      <c r="K51" s="130"/>
      <c r="L51" s="123"/>
      <c r="M51" s="124"/>
      <c r="N51" s="123"/>
      <c r="O51" s="123"/>
      <c r="P51" s="123"/>
      <c r="Q51" s="123"/>
      <c r="R51" s="123"/>
      <c r="S51" s="123"/>
      <c r="T51" s="123"/>
    </row>
    <row r="52" spans="1:20" s="175" customFormat="1" ht="15.95" customHeight="1">
      <c r="A52" s="639">
        <f>A7</f>
        <v>2.78</v>
      </c>
      <c r="B52" s="640"/>
      <c r="C52" s="640"/>
      <c r="D52" s="640"/>
      <c r="E52" s="131" t="str">
        <f>E7</f>
        <v>(tấn)</v>
      </c>
      <c r="F52" s="132"/>
      <c r="G52" s="132"/>
      <c r="H52" s="132"/>
      <c r="I52" s="132"/>
      <c r="J52" s="132"/>
      <c r="K52" s="133"/>
      <c r="L52" s="173"/>
      <c r="M52" s="135"/>
      <c r="N52" s="174"/>
      <c r="P52" s="174"/>
    </row>
    <row r="53" spans="1:20" s="5" customFormat="1" ht="13.5" customHeight="1" thickBot="1">
      <c r="A53" s="28"/>
      <c r="B53" s="28"/>
      <c r="C53" s="28"/>
      <c r="D53" s="28"/>
      <c r="E53" s="28"/>
      <c r="F53" s="30"/>
      <c r="G53" s="30"/>
      <c r="H53" s="30"/>
      <c r="I53" s="30"/>
      <c r="J53" s="30"/>
      <c r="K53" s="8"/>
      <c r="L53" s="23"/>
      <c r="M53" s="9"/>
      <c r="N53" s="4"/>
      <c r="O53" s="4"/>
      <c r="P53" s="4"/>
      <c r="R53" s="4"/>
      <c r="S53" s="4"/>
      <c r="T53" s="4"/>
    </row>
    <row r="54" spans="1:20" s="5" customFormat="1" ht="21.6" customHeight="1" thickTop="1">
      <c r="A54" s="576" t="s">
        <v>3</v>
      </c>
      <c r="B54" s="641" t="s">
        <v>84</v>
      </c>
      <c r="C54" s="641"/>
      <c r="D54" s="643" t="s">
        <v>96</v>
      </c>
      <c r="E54" s="643"/>
      <c r="F54" s="643"/>
      <c r="G54" s="643"/>
      <c r="H54" s="641" t="s">
        <v>89</v>
      </c>
      <c r="I54" s="641"/>
      <c r="J54" s="641" t="s">
        <v>85</v>
      </c>
      <c r="K54" s="645"/>
      <c r="L54"/>
      <c r="M54" s="94"/>
      <c r="N54" s="94"/>
      <c r="O54" s="95"/>
      <c r="P54" s="96"/>
    </row>
    <row r="55" spans="1:20" s="5" customFormat="1" ht="21.6" customHeight="1">
      <c r="A55" s="577"/>
      <c r="B55" s="642"/>
      <c r="C55" s="642"/>
      <c r="D55" s="644"/>
      <c r="E55" s="644"/>
      <c r="F55" s="644"/>
      <c r="G55" s="644"/>
      <c r="H55" s="642"/>
      <c r="I55" s="642"/>
      <c r="J55" s="642"/>
      <c r="K55" s="646"/>
      <c r="L55"/>
      <c r="M55" s="97"/>
      <c r="N55" s="97"/>
      <c r="O55" s="98"/>
      <c r="P55" s="99"/>
    </row>
    <row r="56" spans="1:20" s="5" customFormat="1" ht="17.100000000000001" customHeight="1">
      <c r="A56" s="100">
        <v>1</v>
      </c>
      <c r="B56" s="623" t="str">
        <f>"Tháng "&amp;IF(L56&lt;10,0&amp;L56&amp;"/"&amp;M56,L56&amp;"/"&amp;M56)</f>
        <v>Tháng 08/2017</v>
      </c>
      <c r="C56" s="623"/>
      <c r="D56" s="624" t="str">
        <f>N6</f>
        <v>Thép D6 tấm ốp ta luy</v>
      </c>
      <c r="E56" s="624"/>
      <c r="F56" s="624"/>
      <c r="G56" s="624"/>
      <c r="H56" s="625">
        <f t="shared" ref="H56:H79" si="13">+SUMIFS($I$12:$I$32,$B$12:$B$32,"&gt;="&amp;$O56,$B$12:$B$32,"&lt;="&amp;$P56)</f>
        <v>0</v>
      </c>
      <c r="I56" s="625"/>
      <c r="J56" s="623"/>
      <c r="K56" s="626"/>
      <c r="L56">
        <v>8</v>
      </c>
      <c r="M56" s="101">
        <v>2017</v>
      </c>
      <c r="N56" s="97"/>
      <c r="O56" s="103">
        <f t="shared" ref="O56:O80" si="14">DATE(M56,L56,1)</f>
        <v>42948</v>
      </c>
      <c r="P56" s="103">
        <f t="shared" ref="P56:P80" si="15">DATE(M56,L56+1,0)</f>
        <v>42978</v>
      </c>
    </row>
    <row r="57" spans="1:20" s="5" customFormat="1" ht="17.100000000000001" customHeight="1">
      <c r="A57" s="104">
        <v>2</v>
      </c>
      <c r="B57" s="567" t="str">
        <f t="shared" ref="B57:B81" si="16">"Tháng "&amp;IF(L57&lt;10,0&amp;L57&amp;"/"&amp;M57,L57&amp;"/"&amp;M57)</f>
        <v>Tháng 09/2017</v>
      </c>
      <c r="C57" s="567"/>
      <c r="D57" s="568" t="str">
        <f>D56</f>
        <v>Thép D6 tấm ốp ta luy</v>
      </c>
      <c r="E57" s="568"/>
      <c r="F57" s="568"/>
      <c r="G57" s="568"/>
      <c r="H57" s="569">
        <f t="shared" si="13"/>
        <v>0</v>
      </c>
      <c r="I57" s="569"/>
      <c r="J57" s="567"/>
      <c r="K57" s="570"/>
      <c r="L57">
        <v>9</v>
      </c>
      <c r="M57" s="101">
        <v>2017</v>
      </c>
      <c r="N57"/>
      <c r="O57" s="103">
        <f t="shared" si="14"/>
        <v>42979</v>
      </c>
      <c r="P57" s="103">
        <f t="shared" si="15"/>
        <v>43008</v>
      </c>
    </row>
    <row r="58" spans="1:20" s="5" customFormat="1" ht="17.100000000000001" customHeight="1">
      <c r="A58" s="104">
        <f>A57+1</f>
        <v>3</v>
      </c>
      <c r="B58" s="567" t="str">
        <f t="shared" si="16"/>
        <v>Tháng 10/2017</v>
      </c>
      <c r="C58" s="567"/>
      <c r="D58" s="568" t="str">
        <f t="shared" ref="D58:D80" si="17">D57</f>
        <v>Thép D6 tấm ốp ta luy</v>
      </c>
      <c r="E58" s="568"/>
      <c r="F58" s="568"/>
      <c r="G58" s="568"/>
      <c r="H58" s="569">
        <f t="shared" si="13"/>
        <v>0</v>
      </c>
      <c r="I58" s="569"/>
      <c r="J58" s="567"/>
      <c r="K58" s="570"/>
      <c r="L58">
        <v>10</v>
      </c>
      <c r="M58" s="101">
        <v>2017</v>
      </c>
      <c r="N58"/>
      <c r="O58" s="103">
        <f t="shared" si="14"/>
        <v>43009</v>
      </c>
      <c r="P58" s="103">
        <f t="shared" si="15"/>
        <v>43039</v>
      </c>
    </row>
    <row r="59" spans="1:20" s="5" customFormat="1" ht="17.100000000000001" customHeight="1">
      <c r="A59" s="104">
        <f t="shared" ref="A59:A81" si="18">A58+1</f>
        <v>4</v>
      </c>
      <c r="B59" s="567" t="str">
        <f t="shared" si="16"/>
        <v>Tháng 11/2017</v>
      </c>
      <c r="C59" s="567"/>
      <c r="D59" s="568" t="str">
        <f t="shared" si="17"/>
        <v>Thép D6 tấm ốp ta luy</v>
      </c>
      <c r="E59" s="568"/>
      <c r="F59" s="568"/>
      <c r="G59" s="568"/>
      <c r="H59" s="569">
        <f t="shared" si="13"/>
        <v>0</v>
      </c>
      <c r="I59" s="569"/>
      <c r="J59" s="567"/>
      <c r="K59" s="570"/>
      <c r="L59">
        <v>11</v>
      </c>
      <c r="M59" s="101">
        <v>2017</v>
      </c>
      <c r="N59"/>
      <c r="O59" s="103">
        <f t="shared" si="14"/>
        <v>43040</v>
      </c>
      <c r="P59" s="103">
        <f t="shared" si="15"/>
        <v>43069</v>
      </c>
    </row>
    <row r="60" spans="1:20" s="5" customFormat="1" ht="17.100000000000001" customHeight="1">
      <c r="A60" s="104">
        <f t="shared" si="18"/>
        <v>5</v>
      </c>
      <c r="B60" s="567" t="str">
        <f t="shared" si="16"/>
        <v>Tháng 12/2017</v>
      </c>
      <c r="C60" s="567"/>
      <c r="D60" s="568" t="str">
        <f t="shared" si="17"/>
        <v>Thép D6 tấm ốp ta luy</v>
      </c>
      <c r="E60" s="568"/>
      <c r="F60" s="568"/>
      <c r="G60" s="568"/>
      <c r="H60" s="569">
        <f t="shared" si="13"/>
        <v>0</v>
      </c>
      <c r="I60" s="569"/>
      <c r="J60" s="567"/>
      <c r="K60" s="570"/>
      <c r="L60">
        <v>12</v>
      </c>
      <c r="M60" s="101">
        <v>2017</v>
      </c>
      <c r="N60"/>
      <c r="O60" s="103">
        <f t="shared" si="14"/>
        <v>43070</v>
      </c>
      <c r="P60" s="103">
        <f t="shared" si="15"/>
        <v>43100</v>
      </c>
    </row>
    <row r="61" spans="1:20" s="5" customFormat="1" ht="17.100000000000001" customHeight="1">
      <c r="A61" s="104">
        <f t="shared" si="18"/>
        <v>6</v>
      </c>
      <c r="B61" s="567" t="str">
        <f t="shared" si="16"/>
        <v>Tháng 01/2018</v>
      </c>
      <c r="C61" s="567"/>
      <c r="D61" s="568" t="str">
        <f t="shared" si="17"/>
        <v>Thép D6 tấm ốp ta luy</v>
      </c>
      <c r="E61" s="568"/>
      <c r="F61" s="568"/>
      <c r="G61" s="568"/>
      <c r="H61" s="569">
        <f t="shared" si="13"/>
        <v>0</v>
      </c>
      <c r="I61" s="569"/>
      <c r="J61" s="567"/>
      <c r="K61" s="570"/>
      <c r="L61">
        <v>1</v>
      </c>
      <c r="M61" s="101">
        <v>2018</v>
      </c>
      <c r="N61"/>
      <c r="O61" s="103">
        <f t="shared" si="14"/>
        <v>43101</v>
      </c>
      <c r="P61" s="103">
        <f t="shared" si="15"/>
        <v>43131</v>
      </c>
    </row>
    <row r="62" spans="1:20" s="5" customFormat="1" ht="17.100000000000001" customHeight="1">
      <c r="A62" s="104">
        <f t="shared" si="18"/>
        <v>7</v>
      </c>
      <c r="B62" s="567" t="str">
        <f t="shared" si="16"/>
        <v>Tháng 02/2018</v>
      </c>
      <c r="C62" s="567"/>
      <c r="D62" s="568" t="str">
        <f t="shared" si="17"/>
        <v>Thép D6 tấm ốp ta luy</v>
      </c>
      <c r="E62" s="568"/>
      <c r="F62" s="568"/>
      <c r="G62" s="568"/>
      <c r="H62" s="569">
        <f t="shared" si="13"/>
        <v>0</v>
      </c>
      <c r="I62" s="569"/>
      <c r="J62" s="567"/>
      <c r="K62" s="570"/>
      <c r="L62">
        <v>2</v>
      </c>
      <c r="M62" s="101">
        <v>2018</v>
      </c>
      <c r="N62"/>
      <c r="O62" s="103">
        <f t="shared" si="14"/>
        <v>43132</v>
      </c>
      <c r="P62" s="103">
        <f t="shared" si="15"/>
        <v>43159</v>
      </c>
    </row>
    <row r="63" spans="1:20" s="5" customFormat="1" ht="17.100000000000001" customHeight="1">
      <c r="A63" s="104">
        <f t="shared" si="18"/>
        <v>8</v>
      </c>
      <c r="B63" s="567" t="str">
        <f t="shared" si="16"/>
        <v>Tháng 03/2018</v>
      </c>
      <c r="C63" s="567"/>
      <c r="D63" s="568" t="str">
        <f t="shared" si="17"/>
        <v>Thép D6 tấm ốp ta luy</v>
      </c>
      <c r="E63" s="568"/>
      <c r="F63" s="568"/>
      <c r="G63" s="568"/>
      <c r="H63" s="569">
        <f t="shared" si="13"/>
        <v>0</v>
      </c>
      <c r="I63" s="569"/>
      <c r="J63" s="567"/>
      <c r="K63" s="570"/>
      <c r="L63">
        <v>3</v>
      </c>
      <c r="M63" s="101">
        <v>2018</v>
      </c>
      <c r="N63"/>
      <c r="O63" s="103">
        <f t="shared" si="14"/>
        <v>43160</v>
      </c>
      <c r="P63" s="103">
        <f t="shared" si="15"/>
        <v>43190</v>
      </c>
    </row>
    <row r="64" spans="1:20" s="5" customFormat="1" ht="17.100000000000001" customHeight="1">
      <c r="A64" s="104">
        <f t="shared" si="18"/>
        <v>9</v>
      </c>
      <c r="B64" s="567" t="str">
        <f t="shared" si="16"/>
        <v>Tháng 04/2018</v>
      </c>
      <c r="C64" s="567"/>
      <c r="D64" s="568" t="str">
        <f t="shared" si="17"/>
        <v>Thép D6 tấm ốp ta luy</v>
      </c>
      <c r="E64" s="568"/>
      <c r="F64" s="568"/>
      <c r="G64" s="568"/>
      <c r="H64" s="569">
        <f t="shared" si="13"/>
        <v>0</v>
      </c>
      <c r="I64" s="569"/>
      <c r="J64" s="567"/>
      <c r="K64" s="570"/>
      <c r="L64">
        <v>4</v>
      </c>
      <c r="M64" s="101">
        <v>2018</v>
      </c>
      <c r="N64"/>
      <c r="O64" s="103">
        <f t="shared" si="14"/>
        <v>43191</v>
      </c>
      <c r="P64" s="103">
        <f t="shared" si="15"/>
        <v>43220</v>
      </c>
    </row>
    <row r="65" spans="1:16" s="5" customFormat="1" ht="17.100000000000001" customHeight="1">
      <c r="A65" s="104">
        <f t="shared" si="18"/>
        <v>10</v>
      </c>
      <c r="B65" s="567" t="str">
        <f t="shared" si="16"/>
        <v>Tháng 05/2018</v>
      </c>
      <c r="C65" s="567"/>
      <c r="D65" s="568" t="str">
        <f t="shared" si="17"/>
        <v>Thép D6 tấm ốp ta luy</v>
      </c>
      <c r="E65" s="568"/>
      <c r="F65" s="568"/>
      <c r="G65" s="568"/>
      <c r="H65" s="569">
        <f t="shared" si="13"/>
        <v>0</v>
      </c>
      <c r="I65" s="569"/>
      <c r="J65" s="567"/>
      <c r="K65" s="570"/>
      <c r="L65">
        <v>5</v>
      </c>
      <c r="M65" s="101">
        <v>2018</v>
      </c>
      <c r="N65"/>
      <c r="O65" s="103">
        <f t="shared" si="14"/>
        <v>43221</v>
      </c>
      <c r="P65" s="103">
        <f t="shared" si="15"/>
        <v>43251</v>
      </c>
    </row>
    <row r="66" spans="1:16" s="5" customFormat="1" ht="17.100000000000001" customHeight="1">
      <c r="A66" s="104">
        <f t="shared" si="18"/>
        <v>11</v>
      </c>
      <c r="B66" s="567" t="str">
        <f t="shared" si="16"/>
        <v>Tháng 06/2018</v>
      </c>
      <c r="C66" s="567"/>
      <c r="D66" s="568" t="str">
        <f t="shared" si="17"/>
        <v>Thép D6 tấm ốp ta luy</v>
      </c>
      <c r="E66" s="568"/>
      <c r="F66" s="568"/>
      <c r="G66" s="568"/>
      <c r="H66" s="569">
        <f t="shared" si="13"/>
        <v>0</v>
      </c>
      <c r="I66" s="569"/>
      <c r="J66" s="567"/>
      <c r="K66" s="570"/>
      <c r="L66">
        <v>6</v>
      </c>
      <c r="M66" s="101">
        <v>2018</v>
      </c>
      <c r="N66"/>
      <c r="O66" s="103">
        <f t="shared" si="14"/>
        <v>43252</v>
      </c>
      <c r="P66" s="103">
        <f t="shared" si="15"/>
        <v>43281</v>
      </c>
    </row>
    <row r="67" spans="1:16" s="5" customFormat="1" ht="17.100000000000001" customHeight="1">
      <c r="A67" s="104">
        <f t="shared" si="18"/>
        <v>12</v>
      </c>
      <c r="B67" s="567" t="str">
        <f t="shared" si="16"/>
        <v>Tháng 07/2018</v>
      </c>
      <c r="C67" s="567"/>
      <c r="D67" s="568" t="str">
        <f t="shared" si="17"/>
        <v>Thép D6 tấm ốp ta luy</v>
      </c>
      <c r="E67" s="568"/>
      <c r="F67" s="568"/>
      <c r="G67" s="568"/>
      <c r="H67" s="569">
        <f t="shared" si="13"/>
        <v>0</v>
      </c>
      <c r="I67" s="569"/>
      <c r="J67" s="567"/>
      <c r="K67" s="570"/>
      <c r="L67">
        <v>7</v>
      </c>
      <c r="M67" s="101">
        <v>2018</v>
      </c>
      <c r="N67"/>
      <c r="O67" s="103">
        <f t="shared" si="14"/>
        <v>43282</v>
      </c>
      <c r="P67" s="103">
        <f t="shared" si="15"/>
        <v>43312</v>
      </c>
    </row>
    <row r="68" spans="1:16" s="5" customFormat="1" ht="17.100000000000001" customHeight="1">
      <c r="A68" s="104">
        <f t="shared" si="18"/>
        <v>13</v>
      </c>
      <c r="B68" s="567" t="str">
        <f t="shared" si="16"/>
        <v>Tháng 08/2018</v>
      </c>
      <c r="C68" s="567"/>
      <c r="D68" s="568" t="str">
        <f t="shared" si="17"/>
        <v>Thép D6 tấm ốp ta luy</v>
      </c>
      <c r="E68" s="568"/>
      <c r="F68" s="568"/>
      <c r="G68" s="568"/>
      <c r="H68" s="569">
        <f t="shared" si="13"/>
        <v>0</v>
      </c>
      <c r="I68" s="569"/>
      <c r="J68" s="567"/>
      <c r="K68" s="570"/>
      <c r="L68">
        <v>8</v>
      </c>
      <c r="M68" s="101">
        <v>2018</v>
      </c>
      <c r="N68"/>
      <c r="O68" s="103">
        <f t="shared" si="14"/>
        <v>43313</v>
      </c>
      <c r="P68" s="103">
        <f t="shared" si="15"/>
        <v>43343</v>
      </c>
    </row>
    <row r="69" spans="1:16" s="5" customFormat="1" ht="17.100000000000001" customHeight="1">
      <c r="A69" s="104">
        <f t="shared" si="18"/>
        <v>14</v>
      </c>
      <c r="B69" s="567" t="str">
        <f t="shared" si="16"/>
        <v>Tháng 09/2018</v>
      </c>
      <c r="C69" s="567"/>
      <c r="D69" s="568" t="str">
        <f t="shared" si="17"/>
        <v>Thép D6 tấm ốp ta luy</v>
      </c>
      <c r="E69" s="568"/>
      <c r="F69" s="568"/>
      <c r="G69" s="568"/>
      <c r="H69" s="569">
        <f t="shared" si="13"/>
        <v>0</v>
      </c>
      <c r="I69" s="569"/>
      <c r="J69" s="567"/>
      <c r="K69" s="570"/>
      <c r="L69">
        <v>9</v>
      </c>
      <c r="M69" s="101">
        <v>2018</v>
      </c>
      <c r="N69"/>
      <c r="O69" s="103">
        <f t="shared" si="14"/>
        <v>43344</v>
      </c>
      <c r="P69" s="103">
        <f t="shared" si="15"/>
        <v>43373</v>
      </c>
    </row>
    <row r="70" spans="1:16" s="5" customFormat="1" ht="17.100000000000001" customHeight="1">
      <c r="A70" s="104">
        <f t="shared" si="18"/>
        <v>15</v>
      </c>
      <c r="B70" s="567" t="str">
        <f t="shared" si="16"/>
        <v>Tháng 10/2018</v>
      </c>
      <c r="C70" s="567"/>
      <c r="D70" s="568" t="str">
        <f t="shared" si="17"/>
        <v>Thép D6 tấm ốp ta luy</v>
      </c>
      <c r="E70" s="568"/>
      <c r="F70" s="568"/>
      <c r="G70" s="568"/>
      <c r="H70" s="569">
        <f t="shared" si="13"/>
        <v>0</v>
      </c>
      <c r="I70" s="569"/>
      <c r="J70" s="567"/>
      <c r="K70" s="570"/>
      <c r="L70">
        <v>10</v>
      </c>
      <c r="M70" s="101">
        <v>2018</v>
      </c>
      <c r="N70"/>
      <c r="O70" s="103">
        <f t="shared" si="14"/>
        <v>43374</v>
      </c>
      <c r="P70" s="103">
        <f t="shared" si="15"/>
        <v>43404</v>
      </c>
    </row>
    <row r="71" spans="1:16" s="5" customFormat="1" ht="17.100000000000001" customHeight="1">
      <c r="A71" s="104">
        <f t="shared" si="18"/>
        <v>16</v>
      </c>
      <c r="B71" s="567" t="str">
        <f t="shared" si="16"/>
        <v>Tháng 11/2018</v>
      </c>
      <c r="C71" s="567"/>
      <c r="D71" s="568" t="str">
        <f t="shared" si="17"/>
        <v>Thép D6 tấm ốp ta luy</v>
      </c>
      <c r="E71" s="568"/>
      <c r="F71" s="568"/>
      <c r="G71" s="568"/>
      <c r="H71" s="569">
        <f t="shared" si="13"/>
        <v>0</v>
      </c>
      <c r="I71" s="569"/>
      <c r="J71" s="567"/>
      <c r="K71" s="570"/>
      <c r="L71">
        <v>11</v>
      </c>
      <c r="M71" s="101">
        <v>2018</v>
      </c>
      <c r="N71"/>
      <c r="O71" s="103">
        <f t="shared" si="14"/>
        <v>43405</v>
      </c>
      <c r="P71" s="103">
        <f t="shared" si="15"/>
        <v>43434</v>
      </c>
    </row>
    <row r="72" spans="1:16" s="5" customFormat="1" ht="17.100000000000001" customHeight="1">
      <c r="A72" s="104">
        <f t="shared" si="18"/>
        <v>17</v>
      </c>
      <c r="B72" s="567" t="str">
        <f t="shared" si="16"/>
        <v>Tháng 12/2018</v>
      </c>
      <c r="C72" s="567"/>
      <c r="D72" s="568" t="str">
        <f t="shared" si="17"/>
        <v>Thép D6 tấm ốp ta luy</v>
      </c>
      <c r="E72" s="568"/>
      <c r="F72" s="568"/>
      <c r="G72" s="568"/>
      <c r="H72" s="569">
        <f t="shared" si="13"/>
        <v>0</v>
      </c>
      <c r="I72" s="569"/>
      <c r="J72" s="567"/>
      <c r="K72" s="570"/>
      <c r="L72">
        <v>12</v>
      </c>
      <c r="M72" s="101">
        <v>2018</v>
      </c>
      <c r="N72"/>
      <c r="O72" s="103">
        <f t="shared" si="14"/>
        <v>43435</v>
      </c>
      <c r="P72" s="103">
        <f t="shared" si="15"/>
        <v>43465</v>
      </c>
    </row>
    <row r="73" spans="1:16" s="5" customFormat="1" ht="17.100000000000001" customHeight="1">
      <c r="A73" s="104">
        <f t="shared" si="18"/>
        <v>18</v>
      </c>
      <c r="B73" s="567" t="str">
        <f t="shared" si="16"/>
        <v>Tháng 01/2019</v>
      </c>
      <c r="C73" s="567"/>
      <c r="D73" s="568" t="str">
        <f t="shared" si="17"/>
        <v>Thép D6 tấm ốp ta luy</v>
      </c>
      <c r="E73" s="568"/>
      <c r="F73" s="568"/>
      <c r="G73" s="568"/>
      <c r="H73" s="569">
        <f t="shared" si="13"/>
        <v>0</v>
      </c>
      <c r="I73" s="569"/>
      <c r="J73" s="567"/>
      <c r="K73" s="570"/>
      <c r="L73">
        <v>1</v>
      </c>
      <c r="M73" s="101">
        <v>2019</v>
      </c>
      <c r="N73"/>
      <c r="O73" s="103">
        <f t="shared" si="14"/>
        <v>43466</v>
      </c>
      <c r="P73" s="103">
        <f t="shared" si="15"/>
        <v>43496</v>
      </c>
    </row>
    <row r="74" spans="1:16" s="5" customFormat="1" ht="17.100000000000001" customHeight="1">
      <c r="A74" s="104">
        <f t="shared" si="18"/>
        <v>19</v>
      </c>
      <c r="B74" s="567" t="str">
        <f t="shared" si="16"/>
        <v>Tháng 02/2019</v>
      </c>
      <c r="C74" s="567"/>
      <c r="D74" s="568" t="str">
        <f t="shared" si="17"/>
        <v>Thép D6 tấm ốp ta luy</v>
      </c>
      <c r="E74" s="568"/>
      <c r="F74" s="568"/>
      <c r="G74" s="568"/>
      <c r="H74" s="569">
        <f t="shared" si="13"/>
        <v>1.1721600000000001</v>
      </c>
      <c r="I74" s="569"/>
      <c r="J74" s="567"/>
      <c r="K74" s="570"/>
      <c r="L74">
        <v>2</v>
      </c>
      <c r="M74" s="101">
        <v>2019</v>
      </c>
      <c r="N74"/>
      <c r="O74" s="103">
        <f t="shared" si="14"/>
        <v>43497</v>
      </c>
      <c r="P74" s="103">
        <f t="shared" si="15"/>
        <v>43524</v>
      </c>
    </row>
    <row r="75" spans="1:16" s="5" customFormat="1" ht="17.100000000000001" customHeight="1">
      <c r="A75" s="104">
        <f t="shared" si="18"/>
        <v>20</v>
      </c>
      <c r="B75" s="567" t="str">
        <f t="shared" si="16"/>
        <v>Tháng 03/2019</v>
      </c>
      <c r="C75" s="567"/>
      <c r="D75" s="568" t="str">
        <f t="shared" si="17"/>
        <v>Thép D6 tấm ốp ta luy</v>
      </c>
      <c r="E75" s="568"/>
      <c r="F75" s="568"/>
      <c r="G75" s="568"/>
      <c r="H75" s="569">
        <f t="shared" si="13"/>
        <v>1.4652000000000001</v>
      </c>
      <c r="I75" s="569"/>
      <c r="J75" s="567"/>
      <c r="K75" s="570"/>
      <c r="L75">
        <v>3</v>
      </c>
      <c r="M75" s="101">
        <v>2019</v>
      </c>
      <c r="N75"/>
      <c r="O75" s="103">
        <f t="shared" si="14"/>
        <v>43525</v>
      </c>
      <c r="P75" s="103">
        <f t="shared" si="15"/>
        <v>43555</v>
      </c>
    </row>
    <row r="76" spans="1:16" s="5" customFormat="1" ht="17.100000000000001" customHeight="1">
      <c r="A76" s="104">
        <f t="shared" si="18"/>
        <v>21</v>
      </c>
      <c r="B76" s="567" t="str">
        <f t="shared" si="16"/>
        <v>Tháng 04/2019</v>
      </c>
      <c r="C76" s="567"/>
      <c r="D76" s="568" t="str">
        <f t="shared" si="17"/>
        <v>Thép D6 tấm ốp ta luy</v>
      </c>
      <c r="E76" s="568"/>
      <c r="F76" s="568"/>
      <c r="G76" s="568"/>
      <c r="H76" s="569">
        <f t="shared" si="13"/>
        <v>0.14652000000000001</v>
      </c>
      <c r="I76" s="569"/>
      <c r="J76" s="567"/>
      <c r="K76" s="570"/>
      <c r="L76">
        <v>4</v>
      </c>
      <c r="M76" s="101">
        <v>2019</v>
      </c>
      <c r="N76"/>
      <c r="O76" s="103">
        <f t="shared" si="14"/>
        <v>43556</v>
      </c>
      <c r="P76" s="103">
        <f t="shared" si="15"/>
        <v>43585</v>
      </c>
    </row>
    <row r="77" spans="1:16" s="5" customFormat="1" ht="17.100000000000001" customHeight="1">
      <c r="A77" s="104">
        <f t="shared" si="18"/>
        <v>22</v>
      </c>
      <c r="B77" s="567" t="str">
        <f t="shared" si="16"/>
        <v>Tháng 05/2019</v>
      </c>
      <c r="C77" s="567"/>
      <c r="D77" s="568" t="str">
        <f t="shared" si="17"/>
        <v>Thép D6 tấm ốp ta luy</v>
      </c>
      <c r="E77" s="568"/>
      <c r="F77" s="568"/>
      <c r="G77" s="568"/>
      <c r="H77" s="569">
        <f t="shared" si="13"/>
        <v>0</v>
      </c>
      <c r="I77" s="569"/>
      <c r="J77" s="567"/>
      <c r="K77" s="570"/>
      <c r="L77">
        <v>5</v>
      </c>
      <c r="M77" s="101">
        <v>2019</v>
      </c>
      <c r="N77"/>
      <c r="O77" s="103">
        <f t="shared" si="14"/>
        <v>43586</v>
      </c>
      <c r="P77" s="103">
        <f t="shared" si="15"/>
        <v>43616</v>
      </c>
    </row>
    <row r="78" spans="1:16" s="5" customFormat="1" ht="17.100000000000001" customHeight="1">
      <c r="A78" s="104">
        <f t="shared" si="18"/>
        <v>23</v>
      </c>
      <c r="B78" s="567" t="str">
        <f t="shared" si="16"/>
        <v>Tháng 06/2019</v>
      </c>
      <c r="C78" s="567"/>
      <c r="D78" s="568" t="str">
        <f t="shared" si="17"/>
        <v>Thép D6 tấm ốp ta luy</v>
      </c>
      <c r="E78" s="568"/>
      <c r="F78" s="568"/>
      <c r="G78" s="568"/>
      <c r="H78" s="569">
        <f t="shared" si="13"/>
        <v>0</v>
      </c>
      <c r="I78" s="569"/>
      <c r="J78" s="567"/>
      <c r="K78" s="570"/>
      <c r="L78">
        <v>6</v>
      </c>
      <c r="M78" s="101">
        <v>2019</v>
      </c>
      <c r="N78"/>
      <c r="O78" s="103">
        <f t="shared" si="14"/>
        <v>43617</v>
      </c>
      <c r="P78" s="103">
        <f t="shared" si="15"/>
        <v>43646</v>
      </c>
    </row>
    <row r="79" spans="1:16" s="5" customFormat="1" ht="17.100000000000001" customHeight="1">
      <c r="A79" s="104">
        <f t="shared" si="18"/>
        <v>24</v>
      </c>
      <c r="B79" s="567" t="str">
        <f t="shared" si="16"/>
        <v>Tháng 07/2019</v>
      </c>
      <c r="C79" s="567"/>
      <c r="D79" s="568" t="str">
        <f t="shared" si="17"/>
        <v>Thép D6 tấm ốp ta luy</v>
      </c>
      <c r="E79" s="568"/>
      <c r="F79" s="568"/>
      <c r="G79" s="568"/>
      <c r="H79" s="569">
        <f t="shared" si="13"/>
        <v>0</v>
      </c>
      <c r="I79" s="569"/>
      <c r="J79" s="567"/>
      <c r="K79" s="570"/>
      <c r="L79">
        <v>7</v>
      </c>
      <c r="M79" s="101">
        <v>2019</v>
      </c>
      <c r="N79"/>
      <c r="O79" s="103">
        <f t="shared" si="14"/>
        <v>43647</v>
      </c>
      <c r="P79" s="103">
        <f t="shared" si="15"/>
        <v>43677</v>
      </c>
    </row>
    <row r="80" spans="1:16" s="5" customFormat="1" ht="17.100000000000001" customHeight="1">
      <c r="A80" s="104">
        <f t="shared" si="18"/>
        <v>25</v>
      </c>
      <c r="B80" s="567" t="str">
        <f t="shared" si="16"/>
        <v>Tháng 08/2019</v>
      </c>
      <c r="C80" s="567"/>
      <c r="D80" s="568" t="str">
        <f t="shared" si="17"/>
        <v>Thép D6 tấm ốp ta luy</v>
      </c>
      <c r="E80" s="568"/>
      <c r="F80" s="568"/>
      <c r="G80" s="568"/>
      <c r="H80" s="569">
        <f t="shared" ref="H80:H81" si="19">+SUMIFS($I$12:$I$35,$B$12:$B$35,"&gt;="&amp;$O80,$B$12:$B$35,"&lt;="&amp;$P80)</f>
        <v>0</v>
      </c>
      <c r="I80" s="569"/>
      <c r="J80" s="567"/>
      <c r="K80" s="570"/>
      <c r="L80">
        <v>8</v>
      </c>
      <c r="M80" s="101">
        <v>2019</v>
      </c>
      <c r="N80"/>
      <c r="O80" s="103">
        <f t="shared" si="14"/>
        <v>43678</v>
      </c>
      <c r="P80" s="103">
        <f t="shared" si="15"/>
        <v>43708</v>
      </c>
    </row>
    <row r="81" spans="1:20" s="5" customFormat="1" ht="17.100000000000001" customHeight="1">
      <c r="A81" s="104">
        <f t="shared" si="18"/>
        <v>26</v>
      </c>
      <c r="B81" s="616" t="str">
        <f t="shared" si="16"/>
        <v>Tháng 09/2019</v>
      </c>
      <c r="C81" s="616"/>
      <c r="D81" s="652" t="str">
        <f>D79</f>
        <v>Thép D6 tấm ốp ta luy</v>
      </c>
      <c r="E81" s="652"/>
      <c r="F81" s="652"/>
      <c r="G81" s="652"/>
      <c r="H81" s="615">
        <f t="shared" si="19"/>
        <v>0</v>
      </c>
      <c r="I81" s="615"/>
      <c r="J81" s="616"/>
      <c r="K81" s="617"/>
      <c r="L81">
        <v>9</v>
      </c>
      <c r="M81" s="101">
        <v>2019</v>
      </c>
      <c r="N81"/>
      <c r="O81" s="103">
        <f>DATE(M81,L81,1)</f>
        <v>43709</v>
      </c>
      <c r="P81" s="103">
        <f>DATE(M81,L81+1,0)</f>
        <v>43738</v>
      </c>
    </row>
    <row r="82" spans="1:20" s="5" customFormat="1" ht="21.6" customHeight="1" thickBot="1">
      <c r="A82" s="618" t="s">
        <v>86</v>
      </c>
      <c r="B82" s="619"/>
      <c r="C82" s="619"/>
      <c r="D82" s="619"/>
      <c r="E82" s="619"/>
      <c r="F82" s="619"/>
      <c r="G82" s="620"/>
      <c r="H82" s="621">
        <f t="shared" ref="H82" si="20">SUM(H56:I81)</f>
        <v>2.7838800000000004</v>
      </c>
      <c r="I82" s="622"/>
      <c r="J82" s="621"/>
      <c r="K82" s="622"/>
      <c r="L82"/>
      <c r="M82"/>
      <c r="N82"/>
      <c r="O82"/>
      <c r="P82"/>
    </row>
    <row r="83" spans="1:20" s="5" customFormat="1" ht="18" customHeight="1" thickTop="1" thickBot="1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4"/>
      <c r="M83" s="4"/>
      <c r="N83" s="4"/>
      <c r="O83" s="4"/>
      <c r="P83" s="20"/>
    </row>
    <row r="84" spans="1:20" s="5" customFormat="1" ht="13.9" customHeight="1" thickTop="1">
      <c r="A84" s="647" t="s">
        <v>68</v>
      </c>
      <c r="B84" s="648"/>
      <c r="C84" s="648"/>
      <c r="D84" s="648"/>
      <c r="E84" s="648"/>
      <c r="F84" s="649" t="s">
        <v>69</v>
      </c>
      <c r="G84" s="649"/>
      <c r="H84" s="649"/>
      <c r="I84" s="650"/>
      <c r="J84" s="650"/>
      <c r="K84" s="651"/>
      <c r="L84" s="4"/>
      <c r="M84" s="4"/>
      <c r="N84" s="4"/>
      <c r="O84" s="4"/>
      <c r="P84" s="4"/>
    </row>
    <row r="85" spans="1:20" s="5" customFormat="1" ht="13.9" customHeight="1">
      <c r="A85" s="583" t="s">
        <v>5</v>
      </c>
      <c r="B85" s="584"/>
      <c r="C85" s="584"/>
      <c r="D85" s="584"/>
      <c r="E85" s="584"/>
      <c r="F85" s="585" t="s">
        <v>6</v>
      </c>
      <c r="G85" s="585"/>
      <c r="H85" s="585"/>
      <c r="I85" s="586"/>
      <c r="J85" s="586"/>
      <c r="K85" s="587"/>
      <c r="L85" s="4"/>
      <c r="M85" s="4"/>
      <c r="N85" s="4"/>
      <c r="O85" s="4"/>
      <c r="P85" s="4"/>
    </row>
    <row r="86" spans="1:20" s="5" customFormat="1" ht="13.9" customHeight="1">
      <c r="A86" s="583" t="s">
        <v>836</v>
      </c>
      <c r="B86" s="584"/>
      <c r="C86" s="584"/>
      <c r="D86" s="584"/>
      <c r="E86" s="584"/>
      <c r="F86" s="590" t="s">
        <v>837</v>
      </c>
      <c r="G86" s="590"/>
      <c r="H86" s="590"/>
      <c r="I86" s="591"/>
      <c r="J86" s="591"/>
      <c r="K86" s="592"/>
      <c r="L86" s="4"/>
      <c r="M86" s="4"/>
      <c r="N86" s="4"/>
      <c r="O86" s="4"/>
      <c r="P86" s="4"/>
    </row>
    <row r="87" spans="1:20" s="5" customFormat="1" ht="13.9" customHeight="1">
      <c r="A87" s="583"/>
      <c r="B87" s="584"/>
      <c r="C87" s="584"/>
      <c r="D87" s="584"/>
      <c r="E87" s="584"/>
      <c r="F87" s="590"/>
      <c r="G87" s="590"/>
      <c r="H87" s="590"/>
      <c r="I87" s="591"/>
      <c r="J87" s="591"/>
      <c r="K87" s="592"/>
      <c r="L87" s="4"/>
      <c r="M87" s="4"/>
      <c r="N87" s="4"/>
      <c r="O87" s="4"/>
      <c r="P87" s="4"/>
    </row>
    <row r="88" spans="1:20" s="5" customFormat="1" ht="13.9" customHeight="1">
      <c r="A88" s="583"/>
      <c r="B88" s="584"/>
      <c r="C88" s="584"/>
      <c r="D88" s="584"/>
      <c r="E88" s="584"/>
      <c r="F88" s="590"/>
      <c r="G88" s="590"/>
      <c r="H88" s="590"/>
      <c r="I88" s="591"/>
      <c r="J88" s="591"/>
      <c r="K88" s="592"/>
      <c r="L88" s="4"/>
      <c r="M88" s="4"/>
      <c r="N88" s="4"/>
      <c r="O88" s="4"/>
      <c r="P88" s="4"/>
    </row>
    <row r="89" spans="1:20" s="5" customFormat="1" ht="13.9" customHeight="1">
      <c r="A89" s="583"/>
      <c r="B89" s="584"/>
      <c r="C89" s="584"/>
      <c r="D89" s="584"/>
      <c r="E89" s="584"/>
      <c r="F89" s="590"/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20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20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20" s="5" customFormat="1" ht="13.9" customHeight="1" thickBot="1">
      <c r="A92" s="588"/>
      <c r="B92" s="589"/>
      <c r="C92" s="589"/>
      <c r="D92" s="589"/>
      <c r="E92" s="589"/>
      <c r="F92" s="593"/>
      <c r="G92" s="593"/>
      <c r="H92" s="593"/>
      <c r="I92" s="594"/>
      <c r="J92" s="594"/>
      <c r="K92" s="595"/>
      <c r="L92" s="4"/>
      <c r="M92" s="4"/>
      <c r="N92" s="4"/>
      <c r="O92" s="4"/>
      <c r="P92" s="4"/>
    </row>
    <row r="93" spans="1:20" s="5" customFormat="1" ht="15.75" thickTop="1">
      <c r="A93" s="4"/>
      <c r="B93" s="12"/>
      <c r="C93" s="10"/>
      <c r="D93" s="10"/>
      <c r="E93" s="10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R93" s="4"/>
      <c r="S93" s="4"/>
      <c r="T93" s="4"/>
    </row>
  </sheetData>
  <mergeCells count="165"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5:E15"/>
    <mergeCell ref="C16:E16"/>
    <mergeCell ref="C17:E17"/>
    <mergeCell ref="C18:E18"/>
    <mergeCell ref="C19:E19"/>
    <mergeCell ref="C20:E20"/>
    <mergeCell ref="I9:I11"/>
    <mergeCell ref="J9:J11"/>
    <mergeCell ref="K9:K11"/>
    <mergeCell ref="C12:E12"/>
    <mergeCell ref="C13:E13"/>
    <mergeCell ref="C14:E14"/>
    <mergeCell ref="C27:E27"/>
    <mergeCell ref="C28:E28"/>
    <mergeCell ref="C29:E29"/>
    <mergeCell ref="C30:E30"/>
    <mergeCell ref="C31:E31"/>
    <mergeCell ref="C32:E32"/>
    <mergeCell ref="C21:E21"/>
    <mergeCell ref="C22:E22"/>
    <mergeCell ref="C23:E23"/>
    <mergeCell ref="C24:E24"/>
    <mergeCell ref="C25:E25"/>
    <mergeCell ref="C26:E26"/>
    <mergeCell ref="A45:K45"/>
    <mergeCell ref="A46:K46"/>
    <mergeCell ref="A47:K47"/>
    <mergeCell ref="A48:K48"/>
    <mergeCell ref="A49:K49"/>
    <mergeCell ref="A52:D52"/>
    <mergeCell ref="A33:E33"/>
    <mergeCell ref="A35:E35"/>
    <mergeCell ref="F35:K35"/>
    <mergeCell ref="A36:E36"/>
    <mergeCell ref="F36:K36"/>
    <mergeCell ref="A37:E43"/>
    <mergeCell ref="F37:K43"/>
    <mergeCell ref="A54:A55"/>
    <mergeCell ref="B54:C55"/>
    <mergeCell ref="D54:G55"/>
    <mergeCell ref="H54:I55"/>
    <mergeCell ref="J54:K55"/>
    <mergeCell ref="B56:C56"/>
    <mergeCell ref="D56:G56"/>
    <mergeCell ref="H56:I56"/>
    <mergeCell ref="J56:K56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67:C67"/>
    <mergeCell ref="D67:G67"/>
    <mergeCell ref="H67:I67"/>
    <mergeCell ref="J67:K67"/>
    <mergeCell ref="B68:C68"/>
    <mergeCell ref="D68:G68"/>
    <mergeCell ref="H68:I68"/>
    <mergeCell ref="J68:K68"/>
    <mergeCell ref="B65:C65"/>
    <mergeCell ref="D65:G65"/>
    <mergeCell ref="H65:I65"/>
    <mergeCell ref="J65:K65"/>
    <mergeCell ref="B66:C66"/>
    <mergeCell ref="D66:G66"/>
    <mergeCell ref="H66:I66"/>
    <mergeCell ref="J66:K66"/>
    <mergeCell ref="B71:C71"/>
    <mergeCell ref="D71:G71"/>
    <mergeCell ref="H71:I71"/>
    <mergeCell ref="J71:K71"/>
    <mergeCell ref="B72:C72"/>
    <mergeCell ref="D72:G72"/>
    <mergeCell ref="H72:I72"/>
    <mergeCell ref="J72:K72"/>
    <mergeCell ref="B69:C69"/>
    <mergeCell ref="D69:G69"/>
    <mergeCell ref="H69:I69"/>
    <mergeCell ref="J69:K69"/>
    <mergeCell ref="B70:C70"/>
    <mergeCell ref="D70:G70"/>
    <mergeCell ref="H70:I70"/>
    <mergeCell ref="J70:K70"/>
    <mergeCell ref="B75:C75"/>
    <mergeCell ref="D75:G75"/>
    <mergeCell ref="H75:I75"/>
    <mergeCell ref="J75:K75"/>
    <mergeCell ref="B76:C76"/>
    <mergeCell ref="D76:G76"/>
    <mergeCell ref="H76:I76"/>
    <mergeCell ref="J76:K76"/>
    <mergeCell ref="B73:C73"/>
    <mergeCell ref="D73:G73"/>
    <mergeCell ref="H73:I73"/>
    <mergeCell ref="J73:K73"/>
    <mergeCell ref="B74:C74"/>
    <mergeCell ref="D74:G74"/>
    <mergeCell ref="H74:I74"/>
    <mergeCell ref="J74:K74"/>
    <mergeCell ref="B79:C79"/>
    <mergeCell ref="D79:G79"/>
    <mergeCell ref="H79:I79"/>
    <mergeCell ref="J79:K79"/>
    <mergeCell ref="B80:C80"/>
    <mergeCell ref="D80:G80"/>
    <mergeCell ref="H80:I80"/>
    <mergeCell ref="J80:K80"/>
    <mergeCell ref="B77:C77"/>
    <mergeCell ref="D77:G77"/>
    <mergeCell ref="H77:I77"/>
    <mergeCell ref="J77:K77"/>
    <mergeCell ref="B78:C78"/>
    <mergeCell ref="D78:G78"/>
    <mergeCell ref="H78:I78"/>
    <mergeCell ref="J78:K78"/>
    <mergeCell ref="B81:C81"/>
    <mergeCell ref="D81:G81"/>
    <mergeCell ref="H81:I81"/>
    <mergeCell ref="J81:K81"/>
    <mergeCell ref="A86:E92"/>
    <mergeCell ref="F86:K92"/>
    <mergeCell ref="A82:G82"/>
    <mergeCell ref="H82:I82"/>
    <mergeCell ref="J82:K82"/>
    <mergeCell ref="A84:E84"/>
    <mergeCell ref="F84:K84"/>
    <mergeCell ref="A85:E85"/>
    <mergeCell ref="F85:K85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44" max="10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>
    <tabColor rgb="FFFFFF00"/>
  </sheetPr>
  <dimension ref="A1:T75"/>
  <sheetViews>
    <sheetView view="pageBreakPreview" topLeftCell="A9" zoomScaleSheetLayoutView="100" workbookViewId="0">
      <selection activeCell="I13" sqref="I1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C.II.1.2.4. Đào đất chân khay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4</v>
      </c>
      <c r="N6" s="245" t="str">
        <f>THKLQT!C123</f>
        <v>Đào đất chân khay</v>
      </c>
      <c r="Q6" s="17"/>
    </row>
    <row r="7" spans="1:20" s="178" customFormat="1" ht="18.75" customHeight="1">
      <c r="A7" s="634">
        <f>I15</f>
        <v>143.96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THKLQT!D123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43573</v>
      </c>
      <c r="C12" s="571" t="str">
        <f>T12</f>
        <v>Đào đất chân khay A1</v>
      </c>
      <c r="D12" s="572"/>
      <c r="E12" s="573"/>
      <c r="F12" s="2">
        <f>P12</f>
        <v>68.64</v>
      </c>
      <c r="G12" s="1">
        <f>P12</f>
        <v>68.64</v>
      </c>
      <c r="H12" s="295">
        <f>P12</f>
        <v>68.64</v>
      </c>
      <c r="I12" s="107">
        <f>H12</f>
        <v>68.64</v>
      </c>
      <c r="J12" s="107">
        <f>P12</f>
        <v>68.64</v>
      </c>
      <c r="K12" s="82"/>
      <c r="N12" s="118"/>
      <c r="O12" s="118" t="s">
        <v>349</v>
      </c>
      <c r="P12" s="88">
        <v>68.64</v>
      </c>
      <c r="Q12" s="89">
        <v>43573</v>
      </c>
      <c r="R12" s="88"/>
      <c r="S12" s="88" t="e">
        <f>VLOOKUP($S$11,hamchuigoi3,M12,0)</f>
        <v>#VALUE!</v>
      </c>
      <c r="T12" s="3" t="str">
        <f t="shared" ref="T12:T13" si="0">$N$6&amp;" "&amp;O12</f>
        <v>Đào đất chân khay A1</v>
      </c>
    </row>
    <row r="13" spans="1:20" ht="14.25" outlineLevel="2">
      <c r="A13" s="81">
        <f>SUBTOTAL(103,$B$12:B13)</f>
        <v>2</v>
      </c>
      <c r="B13" s="78">
        <f t="shared" ref="B13" si="1">Q13</f>
        <v>43576</v>
      </c>
      <c r="C13" s="571" t="str">
        <f t="shared" ref="C13" si="2">T13</f>
        <v>Đào đất chân khay A2</v>
      </c>
      <c r="D13" s="572"/>
      <c r="E13" s="573"/>
      <c r="F13" s="2">
        <f t="shared" ref="F13" si="3">P13</f>
        <v>84.48</v>
      </c>
      <c r="G13" s="1">
        <f t="shared" ref="G13" si="4">P13</f>
        <v>84.48</v>
      </c>
      <c r="H13" s="295">
        <f>F15-H12</f>
        <v>75.320000000000007</v>
      </c>
      <c r="I13" s="107">
        <f>H13</f>
        <v>75.320000000000007</v>
      </c>
      <c r="J13" s="107">
        <f t="shared" ref="J13" si="5">P13</f>
        <v>84.48</v>
      </c>
      <c r="K13" s="82"/>
      <c r="N13" s="118"/>
      <c r="O13" s="118" t="s">
        <v>348</v>
      </c>
      <c r="P13" s="88">
        <v>84.48</v>
      </c>
      <c r="Q13" s="89">
        <v>43576</v>
      </c>
      <c r="R13" s="88"/>
      <c r="S13" s="88" t="e">
        <f>VLOOKUP($S$11,hamchuigoi3,M13,0)</f>
        <v>#VALUE!</v>
      </c>
      <c r="T13" s="3" t="str">
        <f t="shared" si="0"/>
        <v>Đào đất chân khay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'!$I$20</f>
        <v>143.96</v>
      </c>
      <c r="G15" s="79">
        <f>ROUND(SUM(G12:G14),2)</f>
        <v>153.12</v>
      </c>
      <c r="H15" s="79">
        <f>ROUND(SUM(H12:H14),2)</f>
        <v>143.96</v>
      </c>
      <c r="I15" s="79">
        <f>ROUND(SUM(I12:I14),2)</f>
        <v>143.96</v>
      </c>
      <c r="J15" s="79">
        <f>ROUND(SUM(J12:J14),2)</f>
        <v>153.12</v>
      </c>
      <c r="K15" s="80"/>
      <c r="N15" s="118"/>
      <c r="O15" s="118"/>
      <c r="P15" s="90">
        <f>SUM(P12:P12)</f>
        <v>68.64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C.II.1.2.4. Đào đất chân khay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143.96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Đào đất chân khay</v>
      </c>
      <c r="E38" s="624"/>
      <c r="F38" s="624"/>
      <c r="G38" s="624"/>
      <c r="H38" s="625">
        <f t="shared" ref="H38:H61" si="6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7">DATE(M38,L38,1)</f>
        <v>42948</v>
      </c>
      <c r="P38" s="103">
        <f t="shared" ref="P38:P62" si="8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9">"Tháng "&amp;IF(L39&lt;10,0&amp;L39&amp;"/"&amp;M39,L39&amp;"/"&amp;M39)</f>
        <v>Tháng 09/2017</v>
      </c>
      <c r="C39" s="567"/>
      <c r="D39" s="568" t="str">
        <f>D38</f>
        <v>Đào đất chân khay</v>
      </c>
      <c r="E39" s="568"/>
      <c r="F39" s="568"/>
      <c r="G39" s="568"/>
      <c r="H39" s="569">
        <f t="shared" si="6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7"/>
        <v>42979</v>
      </c>
      <c r="P39" s="103">
        <f t="shared" si="8"/>
        <v>43008</v>
      </c>
    </row>
    <row r="40" spans="1:20" s="5" customFormat="1" ht="17.100000000000001" customHeight="1">
      <c r="A40" s="104">
        <f>A39+1</f>
        <v>3</v>
      </c>
      <c r="B40" s="567" t="str">
        <f t="shared" si="9"/>
        <v>Tháng 10/2017</v>
      </c>
      <c r="C40" s="567"/>
      <c r="D40" s="568" t="str">
        <f t="shared" ref="D40:D62" si="10">D39</f>
        <v>Đào đất chân khay</v>
      </c>
      <c r="E40" s="568"/>
      <c r="F40" s="568"/>
      <c r="G40" s="568"/>
      <c r="H40" s="569">
        <f t="shared" si="6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7"/>
        <v>43009</v>
      </c>
      <c r="P40" s="103">
        <f t="shared" si="8"/>
        <v>43039</v>
      </c>
    </row>
    <row r="41" spans="1:20" s="5" customFormat="1" ht="17.100000000000001" customHeight="1">
      <c r="A41" s="104">
        <f t="shared" ref="A41:A63" si="11">A40+1</f>
        <v>4</v>
      </c>
      <c r="B41" s="567" t="str">
        <f t="shared" si="9"/>
        <v>Tháng 11/2017</v>
      </c>
      <c r="C41" s="567"/>
      <c r="D41" s="568" t="str">
        <f t="shared" si="10"/>
        <v>Đào đất chân khay</v>
      </c>
      <c r="E41" s="568"/>
      <c r="F41" s="568"/>
      <c r="G41" s="568"/>
      <c r="H41" s="569">
        <f t="shared" si="6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7"/>
        <v>43040</v>
      </c>
      <c r="P41" s="103">
        <f t="shared" si="8"/>
        <v>43069</v>
      </c>
    </row>
    <row r="42" spans="1:20" s="5" customFormat="1" ht="17.100000000000001" customHeight="1">
      <c r="A42" s="104">
        <f t="shared" si="11"/>
        <v>5</v>
      </c>
      <c r="B42" s="567" t="str">
        <f t="shared" si="9"/>
        <v>Tháng 12/2017</v>
      </c>
      <c r="C42" s="567"/>
      <c r="D42" s="568" t="str">
        <f t="shared" si="10"/>
        <v>Đào đất chân khay</v>
      </c>
      <c r="E42" s="568"/>
      <c r="F42" s="568"/>
      <c r="G42" s="568"/>
      <c r="H42" s="569">
        <f t="shared" si="6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7"/>
        <v>43070</v>
      </c>
      <c r="P42" s="103">
        <f t="shared" si="8"/>
        <v>43100</v>
      </c>
    </row>
    <row r="43" spans="1:20" s="5" customFormat="1" ht="17.100000000000001" customHeight="1">
      <c r="A43" s="104">
        <f t="shared" si="11"/>
        <v>6</v>
      </c>
      <c r="B43" s="567" t="str">
        <f t="shared" si="9"/>
        <v>Tháng 01/2018</v>
      </c>
      <c r="C43" s="567"/>
      <c r="D43" s="568" t="str">
        <f t="shared" si="10"/>
        <v>Đào đất chân khay</v>
      </c>
      <c r="E43" s="568"/>
      <c r="F43" s="568"/>
      <c r="G43" s="568"/>
      <c r="H43" s="569">
        <f t="shared" si="6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7"/>
        <v>43101</v>
      </c>
      <c r="P43" s="103">
        <f t="shared" si="8"/>
        <v>43131</v>
      </c>
    </row>
    <row r="44" spans="1:20" s="5" customFormat="1" ht="17.100000000000001" customHeight="1">
      <c r="A44" s="104">
        <f t="shared" si="11"/>
        <v>7</v>
      </c>
      <c r="B44" s="567" t="str">
        <f t="shared" si="9"/>
        <v>Tháng 02/2018</v>
      </c>
      <c r="C44" s="567"/>
      <c r="D44" s="568" t="str">
        <f t="shared" si="10"/>
        <v>Đào đất chân khay</v>
      </c>
      <c r="E44" s="568"/>
      <c r="F44" s="568"/>
      <c r="G44" s="568"/>
      <c r="H44" s="569">
        <f t="shared" si="6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7"/>
        <v>43132</v>
      </c>
      <c r="P44" s="103">
        <f t="shared" si="8"/>
        <v>43159</v>
      </c>
    </row>
    <row r="45" spans="1:20" s="5" customFormat="1" ht="17.100000000000001" customHeight="1">
      <c r="A45" s="104">
        <f t="shared" si="11"/>
        <v>8</v>
      </c>
      <c r="B45" s="567" t="str">
        <f t="shared" si="9"/>
        <v>Tháng 03/2018</v>
      </c>
      <c r="C45" s="567"/>
      <c r="D45" s="568" t="str">
        <f t="shared" si="10"/>
        <v>Đào đất chân khay</v>
      </c>
      <c r="E45" s="568"/>
      <c r="F45" s="568"/>
      <c r="G45" s="568"/>
      <c r="H45" s="569">
        <f t="shared" si="6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7"/>
        <v>43160</v>
      </c>
      <c r="P45" s="103">
        <f t="shared" si="8"/>
        <v>43190</v>
      </c>
    </row>
    <row r="46" spans="1:20" s="5" customFormat="1" ht="17.100000000000001" customHeight="1">
      <c r="A46" s="104">
        <f t="shared" si="11"/>
        <v>9</v>
      </c>
      <c r="B46" s="567" t="str">
        <f t="shared" si="9"/>
        <v>Tháng 04/2018</v>
      </c>
      <c r="C46" s="567"/>
      <c r="D46" s="568" t="str">
        <f t="shared" si="10"/>
        <v>Đào đất chân khay</v>
      </c>
      <c r="E46" s="568"/>
      <c r="F46" s="568"/>
      <c r="G46" s="568"/>
      <c r="H46" s="569">
        <f t="shared" si="6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7"/>
        <v>43191</v>
      </c>
      <c r="P46" s="103">
        <f t="shared" si="8"/>
        <v>43220</v>
      </c>
    </row>
    <row r="47" spans="1:20" s="5" customFormat="1" ht="17.100000000000001" customHeight="1">
      <c r="A47" s="104">
        <f t="shared" si="11"/>
        <v>10</v>
      </c>
      <c r="B47" s="567" t="str">
        <f t="shared" si="9"/>
        <v>Tháng 05/2018</v>
      </c>
      <c r="C47" s="567"/>
      <c r="D47" s="568" t="str">
        <f t="shared" si="10"/>
        <v>Đào đất chân khay</v>
      </c>
      <c r="E47" s="568"/>
      <c r="F47" s="568"/>
      <c r="G47" s="568"/>
      <c r="H47" s="569">
        <f t="shared" si="6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7"/>
        <v>43221</v>
      </c>
      <c r="P47" s="103">
        <f t="shared" si="8"/>
        <v>43251</v>
      </c>
    </row>
    <row r="48" spans="1:20" s="5" customFormat="1" ht="17.100000000000001" customHeight="1">
      <c r="A48" s="104">
        <f t="shared" si="11"/>
        <v>11</v>
      </c>
      <c r="B48" s="567" t="str">
        <f t="shared" si="9"/>
        <v>Tháng 06/2018</v>
      </c>
      <c r="C48" s="567"/>
      <c r="D48" s="568" t="str">
        <f t="shared" si="10"/>
        <v>Đào đất chân khay</v>
      </c>
      <c r="E48" s="568"/>
      <c r="F48" s="568"/>
      <c r="G48" s="568"/>
      <c r="H48" s="569">
        <f t="shared" si="6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7"/>
        <v>43252</v>
      </c>
      <c r="P48" s="103">
        <f t="shared" si="8"/>
        <v>43281</v>
      </c>
    </row>
    <row r="49" spans="1:16" s="5" customFormat="1" ht="17.100000000000001" customHeight="1">
      <c r="A49" s="104">
        <f t="shared" si="11"/>
        <v>12</v>
      </c>
      <c r="B49" s="567" t="str">
        <f t="shared" si="9"/>
        <v>Tháng 07/2018</v>
      </c>
      <c r="C49" s="567"/>
      <c r="D49" s="568" t="str">
        <f t="shared" si="10"/>
        <v>Đào đất chân khay</v>
      </c>
      <c r="E49" s="568"/>
      <c r="F49" s="568"/>
      <c r="G49" s="568"/>
      <c r="H49" s="569">
        <f t="shared" si="6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7"/>
        <v>43282</v>
      </c>
      <c r="P49" s="103">
        <f t="shared" si="8"/>
        <v>43312</v>
      </c>
    </row>
    <row r="50" spans="1:16" s="5" customFormat="1" ht="17.100000000000001" customHeight="1">
      <c r="A50" s="104">
        <f t="shared" si="11"/>
        <v>13</v>
      </c>
      <c r="B50" s="567" t="str">
        <f t="shared" si="9"/>
        <v>Tháng 08/2018</v>
      </c>
      <c r="C50" s="567"/>
      <c r="D50" s="568" t="str">
        <f t="shared" si="10"/>
        <v>Đào đất chân khay</v>
      </c>
      <c r="E50" s="568"/>
      <c r="F50" s="568"/>
      <c r="G50" s="568"/>
      <c r="H50" s="569">
        <f t="shared" si="6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7"/>
        <v>43313</v>
      </c>
      <c r="P50" s="103">
        <f t="shared" si="8"/>
        <v>43343</v>
      </c>
    </row>
    <row r="51" spans="1:16" s="5" customFormat="1" ht="17.100000000000001" customHeight="1">
      <c r="A51" s="104">
        <f t="shared" si="11"/>
        <v>14</v>
      </c>
      <c r="B51" s="567" t="str">
        <f t="shared" si="9"/>
        <v>Tháng 09/2018</v>
      </c>
      <c r="C51" s="567"/>
      <c r="D51" s="568" t="str">
        <f t="shared" si="10"/>
        <v>Đào đất chân khay</v>
      </c>
      <c r="E51" s="568"/>
      <c r="F51" s="568"/>
      <c r="G51" s="568"/>
      <c r="H51" s="569">
        <f t="shared" si="6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7"/>
        <v>43344</v>
      </c>
      <c r="P51" s="103">
        <f t="shared" si="8"/>
        <v>43373</v>
      </c>
    </row>
    <row r="52" spans="1:16" s="5" customFormat="1" ht="17.100000000000001" customHeight="1">
      <c r="A52" s="104">
        <f t="shared" si="11"/>
        <v>15</v>
      </c>
      <c r="B52" s="567" t="str">
        <f t="shared" si="9"/>
        <v>Tháng 10/2018</v>
      </c>
      <c r="C52" s="567"/>
      <c r="D52" s="568" t="str">
        <f t="shared" si="10"/>
        <v>Đào đất chân khay</v>
      </c>
      <c r="E52" s="568"/>
      <c r="F52" s="568"/>
      <c r="G52" s="568"/>
      <c r="H52" s="569">
        <f t="shared" si="6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7"/>
        <v>43374</v>
      </c>
      <c r="P52" s="103">
        <f t="shared" si="8"/>
        <v>43404</v>
      </c>
    </row>
    <row r="53" spans="1:16" s="5" customFormat="1" ht="17.100000000000001" customHeight="1">
      <c r="A53" s="104">
        <f t="shared" si="11"/>
        <v>16</v>
      </c>
      <c r="B53" s="567" t="str">
        <f t="shared" si="9"/>
        <v>Tháng 11/2018</v>
      </c>
      <c r="C53" s="567"/>
      <c r="D53" s="568" t="str">
        <f t="shared" si="10"/>
        <v>Đào đất chân khay</v>
      </c>
      <c r="E53" s="568"/>
      <c r="F53" s="568"/>
      <c r="G53" s="568"/>
      <c r="H53" s="569">
        <f t="shared" si="6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7"/>
        <v>43405</v>
      </c>
      <c r="P53" s="103">
        <f t="shared" si="8"/>
        <v>43434</v>
      </c>
    </row>
    <row r="54" spans="1:16" s="5" customFormat="1" ht="17.100000000000001" customHeight="1">
      <c r="A54" s="104">
        <f t="shared" si="11"/>
        <v>17</v>
      </c>
      <c r="B54" s="567" t="str">
        <f t="shared" si="9"/>
        <v>Tháng 12/2018</v>
      </c>
      <c r="C54" s="567"/>
      <c r="D54" s="568" t="str">
        <f t="shared" si="10"/>
        <v>Đào đất chân khay</v>
      </c>
      <c r="E54" s="568"/>
      <c r="F54" s="568"/>
      <c r="G54" s="568"/>
      <c r="H54" s="569">
        <f t="shared" si="6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7"/>
        <v>43435</v>
      </c>
      <c r="P54" s="103">
        <f t="shared" si="8"/>
        <v>43465</v>
      </c>
    </row>
    <row r="55" spans="1:16" s="5" customFormat="1" ht="17.100000000000001" customHeight="1">
      <c r="A55" s="104">
        <f t="shared" si="11"/>
        <v>18</v>
      </c>
      <c r="B55" s="567" t="str">
        <f t="shared" si="9"/>
        <v>Tháng 01/2019</v>
      </c>
      <c r="C55" s="567"/>
      <c r="D55" s="568" t="str">
        <f t="shared" si="10"/>
        <v>Đào đất chân khay</v>
      </c>
      <c r="E55" s="568"/>
      <c r="F55" s="568"/>
      <c r="G55" s="568"/>
      <c r="H55" s="569">
        <f t="shared" si="6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7"/>
        <v>43466</v>
      </c>
      <c r="P55" s="103">
        <f t="shared" si="8"/>
        <v>43496</v>
      </c>
    </row>
    <row r="56" spans="1:16" s="5" customFormat="1" ht="17.100000000000001" customHeight="1">
      <c r="A56" s="104">
        <f t="shared" si="11"/>
        <v>19</v>
      </c>
      <c r="B56" s="567" t="str">
        <f t="shared" si="9"/>
        <v>Tháng 02/2019</v>
      </c>
      <c r="C56" s="567"/>
      <c r="D56" s="568" t="str">
        <f t="shared" si="10"/>
        <v>Đào đất chân khay</v>
      </c>
      <c r="E56" s="568"/>
      <c r="F56" s="568"/>
      <c r="G56" s="568"/>
      <c r="H56" s="569">
        <f t="shared" si="6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7"/>
        <v>43497</v>
      </c>
      <c r="P56" s="103">
        <f t="shared" si="8"/>
        <v>43524</v>
      </c>
    </row>
    <row r="57" spans="1:16" s="5" customFormat="1" ht="17.100000000000001" customHeight="1">
      <c r="A57" s="104">
        <f t="shared" si="11"/>
        <v>20</v>
      </c>
      <c r="B57" s="567" t="str">
        <f t="shared" si="9"/>
        <v>Tháng 03/2019</v>
      </c>
      <c r="C57" s="567"/>
      <c r="D57" s="568" t="str">
        <f t="shared" si="10"/>
        <v>Đào đất chân khay</v>
      </c>
      <c r="E57" s="568"/>
      <c r="F57" s="568"/>
      <c r="G57" s="568"/>
      <c r="H57" s="569">
        <f t="shared" si="6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7"/>
        <v>43525</v>
      </c>
      <c r="P57" s="103">
        <f t="shared" si="8"/>
        <v>43555</v>
      </c>
    </row>
    <row r="58" spans="1:16" s="5" customFormat="1" ht="17.100000000000001" customHeight="1">
      <c r="A58" s="104">
        <f t="shared" si="11"/>
        <v>21</v>
      </c>
      <c r="B58" s="567" t="str">
        <f t="shared" si="9"/>
        <v>Tháng 04/2019</v>
      </c>
      <c r="C58" s="567"/>
      <c r="D58" s="568" t="str">
        <f t="shared" si="10"/>
        <v>Đào đất chân khay</v>
      </c>
      <c r="E58" s="568"/>
      <c r="F58" s="568"/>
      <c r="G58" s="568"/>
      <c r="H58" s="569">
        <f t="shared" si="6"/>
        <v>143.96</v>
      </c>
      <c r="I58" s="569"/>
      <c r="J58" s="567"/>
      <c r="K58" s="570"/>
      <c r="L58">
        <v>4</v>
      </c>
      <c r="M58" s="101">
        <v>2019</v>
      </c>
      <c r="N58"/>
      <c r="O58" s="103">
        <f t="shared" si="7"/>
        <v>43556</v>
      </c>
      <c r="P58" s="103">
        <f t="shared" si="8"/>
        <v>43585</v>
      </c>
    </row>
    <row r="59" spans="1:16" s="5" customFormat="1" ht="17.100000000000001" customHeight="1">
      <c r="A59" s="104">
        <f t="shared" si="11"/>
        <v>22</v>
      </c>
      <c r="B59" s="567" t="str">
        <f t="shared" si="9"/>
        <v>Tháng 05/2019</v>
      </c>
      <c r="C59" s="567"/>
      <c r="D59" s="568" t="str">
        <f t="shared" si="10"/>
        <v>Đào đất chân khay</v>
      </c>
      <c r="E59" s="568"/>
      <c r="F59" s="568"/>
      <c r="G59" s="568"/>
      <c r="H59" s="569">
        <f t="shared" si="6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7"/>
        <v>43586</v>
      </c>
      <c r="P59" s="103">
        <f t="shared" si="8"/>
        <v>43616</v>
      </c>
    </row>
    <row r="60" spans="1:16" s="5" customFormat="1" ht="17.100000000000001" customHeight="1">
      <c r="A60" s="104">
        <f t="shared" si="11"/>
        <v>23</v>
      </c>
      <c r="B60" s="567" t="str">
        <f t="shared" si="9"/>
        <v>Tháng 06/2019</v>
      </c>
      <c r="C60" s="567"/>
      <c r="D60" s="568" t="str">
        <f t="shared" si="10"/>
        <v>Đào đất chân khay</v>
      </c>
      <c r="E60" s="568"/>
      <c r="F60" s="568"/>
      <c r="G60" s="568"/>
      <c r="H60" s="569">
        <f t="shared" si="6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7"/>
        <v>43617</v>
      </c>
      <c r="P60" s="103">
        <f t="shared" si="8"/>
        <v>43646</v>
      </c>
    </row>
    <row r="61" spans="1:16" s="5" customFormat="1" ht="17.100000000000001" customHeight="1">
      <c r="A61" s="104">
        <f t="shared" si="11"/>
        <v>24</v>
      </c>
      <c r="B61" s="567" t="str">
        <f t="shared" si="9"/>
        <v>Tháng 07/2019</v>
      </c>
      <c r="C61" s="567"/>
      <c r="D61" s="568" t="str">
        <f t="shared" si="10"/>
        <v>Đào đất chân khay</v>
      </c>
      <c r="E61" s="568"/>
      <c r="F61" s="568"/>
      <c r="G61" s="568"/>
      <c r="H61" s="569">
        <f t="shared" si="6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7"/>
        <v>43647</v>
      </c>
      <c r="P61" s="103">
        <f t="shared" si="8"/>
        <v>43677</v>
      </c>
    </row>
    <row r="62" spans="1:16" s="5" customFormat="1" ht="17.100000000000001" customHeight="1">
      <c r="A62" s="104">
        <f t="shared" si="11"/>
        <v>25</v>
      </c>
      <c r="B62" s="567" t="str">
        <f t="shared" si="9"/>
        <v>Tháng 08/2019</v>
      </c>
      <c r="C62" s="567"/>
      <c r="D62" s="568" t="str">
        <f t="shared" si="10"/>
        <v>Đào đất chân khay</v>
      </c>
      <c r="E62" s="568"/>
      <c r="F62" s="568"/>
      <c r="G62" s="568"/>
      <c r="H62" s="569">
        <f t="shared" ref="H62:H63" si="12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7"/>
        <v>43678</v>
      </c>
      <c r="P62" s="103">
        <f t="shared" si="8"/>
        <v>43708</v>
      </c>
    </row>
    <row r="63" spans="1:16" s="5" customFormat="1" ht="17.100000000000001" customHeight="1">
      <c r="A63" s="104">
        <f t="shared" si="11"/>
        <v>26</v>
      </c>
      <c r="B63" s="616" t="str">
        <f t="shared" si="9"/>
        <v>Tháng 09/2019</v>
      </c>
      <c r="C63" s="616"/>
      <c r="D63" s="652" t="str">
        <f>D61</f>
        <v>Đào đất chân khay</v>
      </c>
      <c r="E63" s="652"/>
      <c r="F63" s="652"/>
      <c r="G63" s="652"/>
      <c r="H63" s="615">
        <f t="shared" si="12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3">SUM(H38:I63)</f>
        <v>143.96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C14:E14"/>
    <mergeCell ref="I9:I11"/>
    <mergeCell ref="J9:J11"/>
    <mergeCell ref="K9:K11"/>
    <mergeCell ref="C12:E12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>
    <tabColor rgb="FFFFFF00"/>
  </sheetPr>
  <dimension ref="A1:T75"/>
  <sheetViews>
    <sheetView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71093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C.II.1.2.5. Đắp đất chân khay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5</v>
      </c>
      <c r="N6" s="245" t="str">
        <f>THKLQT!C124</f>
        <v>Đắp đất chân khay</v>
      </c>
      <c r="Q6" s="17"/>
    </row>
    <row r="7" spans="1:20" s="178" customFormat="1" ht="18.75" customHeight="1">
      <c r="A7" s="634">
        <f>I15</f>
        <v>102.41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THKLQT!D124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43573</v>
      </c>
      <c r="C12" s="571" t="str">
        <f>T12</f>
        <v>Đắp đất chân khay A1</v>
      </c>
      <c r="D12" s="572"/>
      <c r="E12" s="573"/>
      <c r="F12" s="383">
        <v>45.53</v>
      </c>
      <c r="G12" s="1">
        <f>P12</f>
        <v>45.529600000000002</v>
      </c>
      <c r="H12" s="295">
        <f>P12</f>
        <v>45.529600000000002</v>
      </c>
      <c r="I12" s="107">
        <f>P12</f>
        <v>45.529600000000002</v>
      </c>
      <c r="J12" s="107">
        <f>P12</f>
        <v>45.529600000000002</v>
      </c>
      <c r="K12" s="603" t="s">
        <v>692</v>
      </c>
      <c r="N12" s="118"/>
      <c r="O12" s="118" t="s">
        <v>349</v>
      </c>
      <c r="P12" s="88">
        <f>1.925*15.5+1.56*1.95+8.49*(1.95+1.03)/2</f>
        <v>45.529600000000002</v>
      </c>
      <c r="Q12" s="89">
        <v>43573</v>
      </c>
      <c r="R12" s="88"/>
      <c r="S12" s="88" t="e">
        <f>VLOOKUP($S$11,hamchuigoi3,M12,0)</f>
        <v>#VALUE!</v>
      </c>
      <c r="T12" s="3" t="str">
        <f t="shared" ref="T12:T13" si="0">$N$6&amp;" "&amp;O12</f>
        <v>Đắp đất chân khay A1</v>
      </c>
    </row>
    <row r="13" spans="1:20" ht="14.25" outlineLevel="2">
      <c r="A13" s="81">
        <f>SUBTOTAL(103,$B$12:B13)</f>
        <v>2</v>
      </c>
      <c r="B13" s="78">
        <f t="shared" ref="B13" si="1">Q13</f>
        <v>43576</v>
      </c>
      <c r="C13" s="571" t="str">
        <f t="shared" ref="C13" si="2">T13</f>
        <v>Đắp đất chân khay A2</v>
      </c>
      <c r="D13" s="572"/>
      <c r="E13" s="573"/>
      <c r="F13" s="383">
        <v>56.89</v>
      </c>
      <c r="G13" s="1">
        <f t="shared" ref="G13" si="3">P13</f>
        <v>56.882850000000005</v>
      </c>
      <c r="H13" s="295">
        <f t="shared" ref="H13" si="4">P13</f>
        <v>56.882850000000005</v>
      </c>
      <c r="I13" s="107">
        <f t="shared" ref="I13" si="5">P13</f>
        <v>56.882850000000005</v>
      </c>
      <c r="J13" s="107">
        <f t="shared" ref="J13" si="6">P13</f>
        <v>56.882850000000005</v>
      </c>
      <c r="K13" s="605"/>
      <c r="N13" s="118"/>
      <c r="O13" s="118" t="s">
        <v>348</v>
      </c>
      <c r="P13" s="88">
        <f>1.925*22.13+1.27*(1.81+1.71)/2+8.73*(1.71+1.05)/2</f>
        <v>56.882850000000005</v>
      </c>
      <c r="Q13" s="89">
        <v>43576</v>
      </c>
      <c r="R13" s="88"/>
      <c r="S13" s="88" t="e">
        <f>VLOOKUP($S$11,hamchuigoi3,M13,0)</f>
        <v>#VALUE!</v>
      </c>
      <c r="T13" s="3" t="str">
        <f t="shared" si="0"/>
        <v>Đắp đất chân khay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'!$I$21</f>
        <v>102.42</v>
      </c>
      <c r="G15" s="79">
        <f>ROUND(SUM(G12:G14),2)</f>
        <v>102.41</v>
      </c>
      <c r="H15" s="79">
        <f>ROUND(SUM(H12:H14),2)</f>
        <v>102.41</v>
      </c>
      <c r="I15" s="79">
        <f>ROUND(SUM(I12:I14),2)</f>
        <v>102.41</v>
      </c>
      <c r="J15" s="79">
        <f>ROUND(SUM(J12:J14),2)</f>
        <v>102.41</v>
      </c>
      <c r="K15" s="80"/>
      <c r="N15" s="118"/>
      <c r="O15" s="118"/>
      <c r="P15" s="90">
        <f>SUM(P12:P12)</f>
        <v>45.529600000000002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C.II.1.2.5. Đắp đất chân khay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102.41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Đắp đất chân khay</v>
      </c>
      <c r="E38" s="624"/>
      <c r="F38" s="624"/>
      <c r="G38" s="624"/>
      <c r="H38" s="625">
        <f t="shared" ref="H38:H61" si="7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8">DATE(M38,L38,1)</f>
        <v>42948</v>
      </c>
      <c r="P38" s="103">
        <f t="shared" ref="P38:P62" si="9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0">"Tháng "&amp;IF(L39&lt;10,0&amp;L39&amp;"/"&amp;M39,L39&amp;"/"&amp;M39)</f>
        <v>Tháng 09/2017</v>
      </c>
      <c r="C39" s="567"/>
      <c r="D39" s="568" t="str">
        <f>D38</f>
        <v>Đắp đất chân khay</v>
      </c>
      <c r="E39" s="568"/>
      <c r="F39" s="568"/>
      <c r="G39" s="568"/>
      <c r="H39" s="569">
        <f t="shared" si="7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8"/>
        <v>42979</v>
      </c>
      <c r="P39" s="103">
        <f t="shared" si="9"/>
        <v>43008</v>
      </c>
    </row>
    <row r="40" spans="1:20" s="5" customFormat="1" ht="17.100000000000001" customHeight="1">
      <c r="A40" s="104">
        <f>A39+1</f>
        <v>3</v>
      </c>
      <c r="B40" s="567" t="str">
        <f t="shared" si="10"/>
        <v>Tháng 10/2017</v>
      </c>
      <c r="C40" s="567"/>
      <c r="D40" s="568" t="str">
        <f t="shared" ref="D40:D62" si="11">D39</f>
        <v>Đắp đất chân khay</v>
      </c>
      <c r="E40" s="568"/>
      <c r="F40" s="568"/>
      <c r="G40" s="568"/>
      <c r="H40" s="569">
        <f t="shared" si="7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8"/>
        <v>43009</v>
      </c>
      <c r="P40" s="103">
        <f t="shared" si="9"/>
        <v>43039</v>
      </c>
    </row>
    <row r="41" spans="1:20" s="5" customFormat="1" ht="17.100000000000001" customHeight="1">
      <c r="A41" s="104">
        <f t="shared" ref="A41:A63" si="12">A40+1</f>
        <v>4</v>
      </c>
      <c r="B41" s="567" t="str">
        <f t="shared" si="10"/>
        <v>Tháng 11/2017</v>
      </c>
      <c r="C41" s="567"/>
      <c r="D41" s="568" t="str">
        <f t="shared" si="11"/>
        <v>Đắp đất chân khay</v>
      </c>
      <c r="E41" s="568"/>
      <c r="F41" s="568"/>
      <c r="G41" s="568"/>
      <c r="H41" s="569">
        <f t="shared" si="7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8"/>
        <v>43040</v>
      </c>
      <c r="P41" s="103">
        <f t="shared" si="9"/>
        <v>43069</v>
      </c>
    </row>
    <row r="42" spans="1:20" s="5" customFormat="1" ht="17.100000000000001" customHeight="1">
      <c r="A42" s="104">
        <f t="shared" si="12"/>
        <v>5</v>
      </c>
      <c r="B42" s="567" t="str">
        <f t="shared" si="10"/>
        <v>Tháng 12/2017</v>
      </c>
      <c r="C42" s="567"/>
      <c r="D42" s="568" t="str">
        <f t="shared" si="11"/>
        <v>Đắp đất chân khay</v>
      </c>
      <c r="E42" s="568"/>
      <c r="F42" s="568"/>
      <c r="G42" s="568"/>
      <c r="H42" s="569">
        <f t="shared" si="7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8"/>
        <v>43070</v>
      </c>
      <c r="P42" s="103">
        <f t="shared" si="9"/>
        <v>43100</v>
      </c>
    </row>
    <row r="43" spans="1:20" s="5" customFormat="1" ht="17.100000000000001" customHeight="1">
      <c r="A43" s="104">
        <f t="shared" si="12"/>
        <v>6</v>
      </c>
      <c r="B43" s="567" t="str">
        <f t="shared" si="10"/>
        <v>Tháng 01/2018</v>
      </c>
      <c r="C43" s="567"/>
      <c r="D43" s="568" t="str">
        <f t="shared" si="11"/>
        <v>Đắp đất chân khay</v>
      </c>
      <c r="E43" s="568"/>
      <c r="F43" s="568"/>
      <c r="G43" s="568"/>
      <c r="H43" s="569">
        <f t="shared" si="7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8"/>
        <v>43101</v>
      </c>
      <c r="P43" s="103">
        <f t="shared" si="9"/>
        <v>43131</v>
      </c>
    </row>
    <row r="44" spans="1:20" s="5" customFormat="1" ht="17.100000000000001" customHeight="1">
      <c r="A44" s="104">
        <f t="shared" si="12"/>
        <v>7</v>
      </c>
      <c r="B44" s="567" t="str">
        <f t="shared" si="10"/>
        <v>Tháng 02/2018</v>
      </c>
      <c r="C44" s="567"/>
      <c r="D44" s="568" t="str">
        <f t="shared" si="11"/>
        <v>Đắp đất chân khay</v>
      </c>
      <c r="E44" s="568"/>
      <c r="F44" s="568"/>
      <c r="G44" s="568"/>
      <c r="H44" s="569">
        <f t="shared" si="7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8"/>
        <v>43132</v>
      </c>
      <c r="P44" s="103">
        <f t="shared" si="9"/>
        <v>43159</v>
      </c>
    </row>
    <row r="45" spans="1:20" s="5" customFormat="1" ht="17.100000000000001" customHeight="1">
      <c r="A45" s="104">
        <f t="shared" si="12"/>
        <v>8</v>
      </c>
      <c r="B45" s="567" t="str">
        <f t="shared" si="10"/>
        <v>Tháng 03/2018</v>
      </c>
      <c r="C45" s="567"/>
      <c r="D45" s="568" t="str">
        <f t="shared" si="11"/>
        <v>Đắp đất chân khay</v>
      </c>
      <c r="E45" s="568"/>
      <c r="F45" s="568"/>
      <c r="G45" s="568"/>
      <c r="H45" s="569">
        <f t="shared" si="7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8"/>
        <v>43160</v>
      </c>
      <c r="P45" s="103">
        <f t="shared" si="9"/>
        <v>43190</v>
      </c>
    </row>
    <row r="46" spans="1:20" s="5" customFormat="1" ht="17.100000000000001" customHeight="1">
      <c r="A46" s="104">
        <f t="shared" si="12"/>
        <v>9</v>
      </c>
      <c r="B46" s="567" t="str">
        <f t="shared" si="10"/>
        <v>Tháng 04/2018</v>
      </c>
      <c r="C46" s="567"/>
      <c r="D46" s="568" t="str">
        <f t="shared" si="11"/>
        <v>Đắp đất chân khay</v>
      </c>
      <c r="E46" s="568"/>
      <c r="F46" s="568"/>
      <c r="G46" s="568"/>
      <c r="H46" s="569">
        <f t="shared" si="7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8"/>
        <v>43191</v>
      </c>
      <c r="P46" s="103">
        <f t="shared" si="9"/>
        <v>43220</v>
      </c>
    </row>
    <row r="47" spans="1:20" s="5" customFormat="1" ht="17.100000000000001" customHeight="1">
      <c r="A47" s="104">
        <f t="shared" si="12"/>
        <v>10</v>
      </c>
      <c r="B47" s="567" t="str">
        <f t="shared" si="10"/>
        <v>Tháng 05/2018</v>
      </c>
      <c r="C47" s="567"/>
      <c r="D47" s="568" t="str">
        <f t="shared" si="11"/>
        <v>Đắp đất chân khay</v>
      </c>
      <c r="E47" s="568"/>
      <c r="F47" s="568"/>
      <c r="G47" s="568"/>
      <c r="H47" s="569">
        <f t="shared" si="7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8"/>
        <v>43221</v>
      </c>
      <c r="P47" s="103">
        <f t="shared" si="9"/>
        <v>43251</v>
      </c>
    </row>
    <row r="48" spans="1:20" s="5" customFormat="1" ht="17.100000000000001" customHeight="1">
      <c r="A48" s="104">
        <f t="shared" si="12"/>
        <v>11</v>
      </c>
      <c r="B48" s="567" t="str">
        <f t="shared" si="10"/>
        <v>Tháng 06/2018</v>
      </c>
      <c r="C48" s="567"/>
      <c r="D48" s="568" t="str">
        <f t="shared" si="11"/>
        <v>Đắp đất chân khay</v>
      </c>
      <c r="E48" s="568"/>
      <c r="F48" s="568"/>
      <c r="G48" s="568"/>
      <c r="H48" s="569">
        <f t="shared" si="7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8"/>
        <v>43252</v>
      </c>
      <c r="P48" s="103">
        <f t="shared" si="9"/>
        <v>43281</v>
      </c>
    </row>
    <row r="49" spans="1:16" s="5" customFormat="1" ht="17.100000000000001" customHeight="1">
      <c r="A49" s="104">
        <f t="shared" si="12"/>
        <v>12</v>
      </c>
      <c r="B49" s="567" t="str">
        <f t="shared" si="10"/>
        <v>Tháng 07/2018</v>
      </c>
      <c r="C49" s="567"/>
      <c r="D49" s="568" t="str">
        <f t="shared" si="11"/>
        <v>Đắp đất chân khay</v>
      </c>
      <c r="E49" s="568"/>
      <c r="F49" s="568"/>
      <c r="G49" s="568"/>
      <c r="H49" s="569">
        <f t="shared" si="7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8"/>
        <v>43282</v>
      </c>
      <c r="P49" s="103">
        <f t="shared" si="9"/>
        <v>43312</v>
      </c>
    </row>
    <row r="50" spans="1:16" s="5" customFormat="1" ht="17.100000000000001" customHeight="1">
      <c r="A50" s="104">
        <f t="shared" si="12"/>
        <v>13</v>
      </c>
      <c r="B50" s="567" t="str">
        <f t="shared" si="10"/>
        <v>Tháng 08/2018</v>
      </c>
      <c r="C50" s="567"/>
      <c r="D50" s="568" t="str">
        <f t="shared" si="11"/>
        <v>Đắp đất chân khay</v>
      </c>
      <c r="E50" s="568"/>
      <c r="F50" s="568"/>
      <c r="G50" s="568"/>
      <c r="H50" s="569">
        <f t="shared" si="7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8"/>
        <v>43313</v>
      </c>
      <c r="P50" s="103">
        <f t="shared" si="9"/>
        <v>43343</v>
      </c>
    </row>
    <row r="51" spans="1:16" s="5" customFormat="1" ht="17.100000000000001" customHeight="1">
      <c r="A51" s="104">
        <f t="shared" si="12"/>
        <v>14</v>
      </c>
      <c r="B51" s="567" t="str">
        <f t="shared" si="10"/>
        <v>Tháng 09/2018</v>
      </c>
      <c r="C51" s="567"/>
      <c r="D51" s="568" t="str">
        <f t="shared" si="11"/>
        <v>Đắp đất chân khay</v>
      </c>
      <c r="E51" s="568"/>
      <c r="F51" s="568"/>
      <c r="G51" s="568"/>
      <c r="H51" s="569">
        <f t="shared" si="7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8"/>
        <v>43344</v>
      </c>
      <c r="P51" s="103">
        <f t="shared" si="9"/>
        <v>43373</v>
      </c>
    </row>
    <row r="52" spans="1:16" s="5" customFormat="1" ht="17.100000000000001" customHeight="1">
      <c r="A52" s="104">
        <f t="shared" si="12"/>
        <v>15</v>
      </c>
      <c r="B52" s="567" t="str">
        <f t="shared" si="10"/>
        <v>Tháng 10/2018</v>
      </c>
      <c r="C52" s="567"/>
      <c r="D52" s="568" t="str">
        <f t="shared" si="11"/>
        <v>Đắp đất chân khay</v>
      </c>
      <c r="E52" s="568"/>
      <c r="F52" s="568"/>
      <c r="G52" s="568"/>
      <c r="H52" s="569">
        <f t="shared" si="7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8"/>
        <v>43374</v>
      </c>
      <c r="P52" s="103">
        <f t="shared" si="9"/>
        <v>43404</v>
      </c>
    </row>
    <row r="53" spans="1:16" s="5" customFormat="1" ht="17.100000000000001" customHeight="1">
      <c r="A53" s="104">
        <f t="shared" si="12"/>
        <v>16</v>
      </c>
      <c r="B53" s="567" t="str">
        <f t="shared" si="10"/>
        <v>Tháng 11/2018</v>
      </c>
      <c r="C53" s="567"/>
      <c r="D53" s="568" t="str">
        <f t="shared" si="11"/>
        <v>Đắp đất chân khay</v>
      </c>
      <c r="E53" s="568"/>
      <c r="F53" s="568"/>
      <c r="G53" s="568"/>
      <c r="H53" s="569">
        <f t="shared" si="7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8"/>
        <v>43405</v>
      </c>
      <c r="P53" s="103">
        <f t="shared" si="9"/>
        <v>43434</v>
      </c>
    </row>
    <row r="54" spans="1:16" s="5" customFormat="1" ht="17.100000000000001" customHeight="1">
      <c r="A54" s="104">
        <f t="shared" si="12"/>
        <v>17</v>
      </c>
      <c r="B54" s="567" t="str">
        <f t="shared" si="10"/>
        <v>Tháng 12/2018</v>
      </c>
      <c r="C54" s="567"/>
      <c r="D54" s="568" t="str">
        <f t="shared" si="11"/>
        <v>Đắp đất chân khay</v>
      </c>
      <c r="E54" s="568"/>
      <c r="F54" s="568"/>
      <c r="G54" s="568"/>
      <c r="H54" s="569">
        <f t="shared" si="7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8"/>
        <v>43435</v>
      </c>
      <c r="P54" s="103">
        <f t="shared" si="9"/>
        <v>43465</v>
      </c>
    </row>
    <row r="55" spans="1:16" s="5" customFormat="1" ht="17.100000000000001" customHeight="1">
      <c r="A55" s="104">
        <f t="shared" si="12"/>
        <v>18</v>
      </c>
      <c r="B55" s="567" t="str">
        <f t="shared" si="10"/>
        <v>Tháng 01/2019</v>
      </c>
      <c r="C55" s="567"/>
      <c r="D55" s="568" t="str">
        <f t="shared" si="11"/>
        <v>Đắp đất chân khay</v>
      </c>
      <c r="E55" s="568"/>
      <c r="F55" s="568"/>
      <c r="G55" s="568"/>
      <c r="H55" s="569">
        <f t="shared" si="7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8"/>
        <v>43466</v>
      </c>
      <c r="P55" s="103">
        <f t="shared" si="9"/>
        <v>43496</v>
      </c>
    </row>
    <row r="56" spans="1:16" s="5" customFormat="1" ht="17.100000000000001" customHeight="1">
      <c r="A56" s="104">
        <f t="shared" si="12"/>
        <v>19</v>
      </c>
      <c r="B56" s="567" t="str">
        <f t="shared" si="10"/>
        <v>Tháng 02/2019</v>
      </c>
      <c r="C56" s="567"/>
      <c r="D56" s="568" t="str">
        <f t="shared" si="11"/>
        <v>Đắp đất chân khay</v>
      </c>
      <c r="E56" s="568"/>
      <c r="F56" s="568"/>
      <c r="G56" s="568"/>
      <c r="H56" s="569">
        <f t="shared" si="7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8"/>
        <v>43497</v>
      </c>
      <c r="P56" s="103">
        <f t="shared" si="9"/>
        <v>43524</v>
      </c>
    </row>
    <row r="57" spans="1:16" s="5" customFormat="1" ht="17.100000000000001" customHeight="1">
      <c r="A57" s="104">
        <f t="shared" si="12"/>
        <v>20</v>
      </c>
      <c r="B57" s="567" t="str">
        <f t="shared" si="10"/>
        <v>Tháng 03/2019</v>
      </c>
      <c r="C57" s="567"/>
      <c r="D57" s="568" t="str">
        <f t="shared" si="11"/>
        <v>Đắp đất chân khay</v>
      </c>
      <c r="E57" s="568"/>
      <c r="F57" s="568"/>
      <c r="G57" s="568"/>
      <c r="H57" s="569">
        <f t="shared" si="7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8"/>
        <v>43525</v>
      </c>
      <c r="P57" s="103">
        <f t="shared" si="9"/>
        <v>43555</v>
      </c>
    </row>
    <row r="58" spans="1:16" s="5" customFormat="1" ht="17.100000000000001" customHeight="1">
      <c r="A58" s="104">
        <f t="shared" si="12"/>
        <v>21</v>
      </c>
      <c r="B58" s="567" t="str">
        <f t="shared" si="10"/>
        <v>Tháng 04/2019</v>
      </c>
      <c r="C58" s="567"/>
      <c r="D58" s="568" t="str">
        <f t="shared" si="11"/>
        <v>Đắp đất chân khay</v>
      </c>
      <c r="E58" s="568"/>
      <c r="F58" s="568"/>
      <c r="G58" s="568"/>
      <c r="H58" s="569">
        <f t="shared" si="7"/>
        <v>102.41245000000001</v>
      </c>
      <c r="I58" s="569"/>
      <c r="J58" s="567"/>
      <c r="K58" s="570"/>
      <c r="L58">
        <v>4</v>
      </c>
      <c r="M58" s="101">
        <v>2019</v>
      </c>
      <c r="N58"/>
      <c r="O58" s="103">
        <f t="shared" si="8"/>
        <v>43556</v>
      </c>
      <c r="P58" s="103">
        <f t="shared" si="9"/>
        <v>43585</v>
      </c>
    </row>
    <row r="59" spans="1:16" s="5" customFormat="1" ht="17.100000000000001" customHeight="1">
      <c r="A59" s="104">
        <f t="shared" si="12"/>
        <v>22</v>
      </c>
      <c r="B59" s="567" t="str">
        <f t="shared" si="10"/>
        <v>Tháng 05/2019</v>
      </c>
      <c r="C59" s="567"/>
      <c r="D59" s="568" t="str">
        <f t="shared" si="11"/>
        <v>Đắp đất chân khay</v>
      </c>
      <c r="E59" s="568"/>
      <c r="F59" s="568"/>
      <c r="G59" s="568"/>
      <c r="H59" s="569">
        <f t="shared" si="7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8"/>
        <v>43586</v>
      </c>
      <c r="P59" s="103">
        <f t="shared" si="9"/>
        <v>43616</v>
      </c>
    </row>
    <row r="60" spans="1:16" s="5" customFormat="1" ht="17.100000000000001" customHeight="1">
      <c r="A60" s="104">
        <f t="shared" si="12"/>
        <v>23</v>
      </c>
      <c r="B60" s="567" t="str">
        <f t="shared" si="10"/>
        <v>Tháng 06/2019</v>
      </c>
      <c r="C60" s="567"/>
      <c r="D60" s="568" t="str">
        <f t="shared" si="11"/>
        <v>Đắp đất chân khay</v>
      </c>
      <c r="E60" s="568"/>
      <c r="F60" s="568"/>
      <c r="G60" s="568"/>
      <c r="H60" s="569">
        <f t="shared" si="7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8"/>
        <v>43617</v>
      </c>
      <c r="P60" s="103">
        <f t="shared" si="9"/>
        <v>43646</v>
      </c>
    </row>
    <row r="61" spans="1:16" s="5" customFormat="1" ht="17.100000000000001" customHeight="1">
      <c r="A61" s="104">
        <f t="shared" si="12"/>
        <v>24</v>
      </c>
      <c r="B61" s="567" t="str">
        <f t="shared" si="10"/>
        <v>Tháng 07/2019</v>
      </c>
      <c r="C61" s="567"/>
      <c r="D61" s="568" t="str">
        <f t="shared" si="11"/>
        <v>Đắp đất chân khay</v>
      </c>
      <c r="E61" s="568"/>
      <c r="F61" s="568"/>
      <c r="G61" s="568"/>
      <c r="H61" s="569">
        <f t="shared" si="7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8"/>
        <v>43647</v>
      </c>
      <c r="P61" s="103">
        <f t="shared" si="9"/>
        <v>43677</v>
      </c>
    </row>
    <row r="62" spans="1:16" s="5" customFormat="1" ht="17.100000000000001" customHeight="1">
      <c r="A62" s="104">
        <f t="shared" si="12"/>
        <v>25</v>
      </c>
      <c r="B62" s="567" t="str">
        <f t="shared" si="10"/>
        <v>Tháng 08/2019</v>
      </c>
      <c r="C62" s="567"/>
      <c r="D62" s="568" t="str">
        <f t="shared" si="11"/>
        <v>Đắp đất chân khay</v>
      </c>
      <c r="E62" s="568"/>
      <c r="F62" s="568"/>
      <c r="G62" s="568"/>
      <c r="H62" s="569">
        <f t="shared" ref="H62:H63" si="13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8"/>
        <v>43678</v>
      </c>
      <c r="P62" s="103">
        <f t="shared" si="9"/>
        <v>43708</v>
      </c>
    </row>
    <row r="63" spans="1:16" s="5" customFormat="1" ht="17.100000000000001" customHeight="1">
      <c r="A63" s="104">
        <f t="shared" si="12"/>
        <v>26</v>
      </c>
      <c r="B63" s="616" t="str">
        <f t="shared" si="10"/>
        <v>Tháng 09/2019</v>
      </c>
      <c r="C63" s="616"/>
      <c r="D63" s="652" t="str">
        <f>D61</f>
        <v>Đắp đất chân khay</v>
      </c>
      <c r="E63" s="652"/>
      <c r="F63" s="652"/>
      <c r="G63" s="652"/>
      <c r="H63" s="615">
        <f t="shared" si="13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4">SUM(H38:I63)</f>
        <v>102.41245000000001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>
    <tabColor rgb="FFFFFF00"/>
  </sheetPr>
  <dimension ref="A1:T75"/>
  <sheetViews>
    <sheetView view="pageBreakPreview" topLeftCell="A61" zoomScaleSheetLayoutView="100" workbookViewId="0">
      <selection activeCell="A68" sqref="A68:K7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C.II.1.2.6. Đá dăm đệm móng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6</v>
      </c>
      <c r="N6" s="245" t="str">
        <f>THKLQT!C125</f>
        <v>Đá dăm đệm móng</v>
      </c>
      <c r="Q6" s="17"/>
    </row>
    <row r="7" spans="1:20" s="178" customFormat="1" ht="18.75" customHeight="1">
      <c r="A7" s="634">
        <f>I15</f>
        <v>6.09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THKLQT!D125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43573</v>
      </c>
      <c r="C12" s="571" t="str">
        <f>T12</f>
        <v>Đá dăm đệm móng A1</v>
      </c>
      <c r="D12" s="572"/>
      <c r="E12" s="573"/>
      <c r="F12" s="2">
        <f>P12</f>
        <v>2.73</v>
      </c>
      <c r="G12" s="1">
        <f>P12</f>
        <v>2.73</v>
      </c>
      <c r="H12" s="295">
        <f>P12</f>
        <v>2.73</v>
      </c>
      <c r="I12" s="107">
        <f>P12</f>
        <v>2.73</v>
      </c>
      <c r="J12" s="107">
        <f>P12</f>
        <v>2.73</v>
      </c>
      <c r="K12" s="82"/>
      <c r="N12" s="118"/>
      <c r="O12" s="118" t="s">
        <v>349</v>
      </c>
      <c r="P12" s="88">
        <v>2.73</v>
      </c>
      <c r="Q12" s="89">
        <v>43573</v>
      </c>
      <c r="R12" s="88"/>
      <c r="S12" s="88" t="e">
        <f>VLOOKUP($S$11,hamchuigoi3,M12,0)</f>
        <v>#VALUE!</v>
      </c>
      <c r="T12" s="3" t="str">
        <f t="shared" ref="T12:T13" si="0">$N$6&amp;" "&amp;O12</f>
        <v>Đá dăm đệm móng A1</v>
      </c>
    </row>
    <row r="13" spans="1:20" ht="14.25" outlineLevel="2">
      <c r="A13" s="81">
        <f>SUBTOTAL(103,$B$12:B13)</f>
        <v>2</v>
      </c>
      <c r="B13" s="78">
        <f t="shared" ref="B13" si="1">Q13</f>
        <v>43576</v>
      </c>
      <c r="C13" s="571" t="str">
        <f t="shared" ref="C13" si="2">T13</f>
        <v>Đá dăm đệm móng A2</v>
      </c>
      <c r="D13" s="572"/>
      <c r="E13" s="573"/>
      <c r="F13" s="2">
        <f t="shared" ref="F13" si="3">P13</f>
        <v>3.36</v>
      </c>
      <c r="G13" s="1">
        <f t="shared" ref="G13" si="4">P13</f>
        <v>3.36</v>
      </c>
      <c r="H13" s="295">
        <f t="shared" ref="H13" si="5">P13</f>
        <v>3.36</v>
      </c>
      <c r="I13" s="107">
        <f t="shared" ref="I13" si="6">P13</f>
        <v>3.36</v>
      </c>
      <c r="J13" s="107">
        <f t="shared" ref="J13" si="7">P13</f>
        <v>3.36</v>
      </c>
      <c r="K13" s="82"/>
      <c r="N13" s="118"/>
      <c r="O13" s="118" t="s">
        <v>348</v>
      </c>
      <c r="P13" s="88">
        <v>3.36</v>
      </c>
      <c r="Q13" s="89">
        <v>43576</v>
      </c>
      <c r="R13" s="88"/>
      <c r="S13" s="88" t="e">
        <f>VLOOKUP($S$11,hamchuigoi3,M13,0)</f>
        <v>#VALUE!</v>
      </c>
      <c r="T13" s="3" t="str">
        <f t="shared" si="0"/>
        <v>Đá dăm đệm móng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ROUND(SUM(F12:F14),2)</f>
        <v>6.09</v>
      </c>
      <c r="G15" s="79">
        <f>ROUND(SUM(G12:G14),2)</f>
        <v>6.09</v>
      </c>
      <c r="H15" s="79">
        <f>ROUND(SUM(H12:H14),2)</f>
        <v>6.09</v>
      </c>
      <c r="I15" s="79">
        <f>ROUND(SUM(I12:I14),2)</f>
        <v>6.09</v>
      </c>
      <c r="J15" s="79">
        <f>ROUND(SUM(J12:J14),2)</f>
        <v>6.09</v>
      </c>
      <c r="K15" s="80"/>
      <c r="N15" s="118"/>
      <c r="O15" s="118"/>
      <c r="P15" s="90">
        <f>SUM(P12:P12)</f>
        <v>2.73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C.II.1.2.6. Đá dăm đệm móng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6.09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Đá dăm đệm móng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Đá dăm đệm móng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Đá dăm đệm móng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Đá dăm đệm móng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Đá dăm đệm móng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Đá dăm đệm móng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Đá dăm đệm móng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Đá dăm đệm móng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Đá dăm đệm móng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Đá dăm đệm móng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Đá dăm đệm móng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Đá dăm đệm móng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Đá dăm đệm móng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Đá dăm đệm móng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Đá dăm đệm móng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Đá dăm đệm móng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Đá dăm đệm móng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Đá dăm đệm móng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Đá dăm đệm móng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Đá dăm đệm móng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Đá dăm đệm móng</v>
      </c>
      <c r="E58" s="568"/>
      <c r="F58" s="568"/>
      <c r="G58" s="568"/>
      <c r="H58" s="569">
        <f t="shared" si="8"/>
        <v>6.09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Đá dăm đệm móng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Đá dăm đệm móng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Đá dăm đệm móng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Đá dăm đệm móng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Đá dăm đệm móng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6.09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>
    <tabColor rgb="FFFFFF00"/>
  </sheetPr>
  <dimension ref="A1:T75"/>
  <sheetViews>
    <sheetView view="pageBreakPreview" zoomScaleSheetLayoutView="100" workbookViewId="0">
      <selection activeCell="I13" sqref="I1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C.II.1.2.7. Đá hộc xây vữa C16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7</v>
      </c>
      <c r="N6" s="245" t="str">
        <f>THKLQT!C126</f>
        <v>Đá hộc xây vữa C16</v>
      </c>
      <c r="Q6" s="17"/>
    </row>
    <row r="7" spans="1:20" s="178" customFormat="1" ht="18.75" customHeight="1">
      <c r="A7" s="634">
        <f>I15</f>
        <v>41.33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THKLQT!D126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43573</v>
      </c>
      <c r="C12" s="571" t="str">
        <f>T12</f>
        <v>Đá hộc xây vữa C16 A1</v>
      </c>
      <c r="D12" s="572"/>
      <c r="E12" s="573"/>
      <c r="F12" s="2">
        <f>P12</f>
        <v>18.600000000000001</v>
      </c>
      <c r="G12" s="1">
        <f>P12</f>
        <v>18.600000000000001</v>
      </c>
      <c r="H12" s="295">
        <f>P12</f>
        <v>18.600000000000001</v>
      </c>
      <c r="I12" s="107">
        <f>H12</f>
        <v>18.600000000000001</v>
      </c>
      <c r="J12" s="107">
        <f>P12</f>
        <v>18.600000000000001</v>
      </c>
      <c r="K12" s="700" t="s">
        <v>693</v>
      </c>
      <c r="L12" s="4" t="s">
        <v>771</v>
      </c>
      <c r="N12" s="118"/>
      <c r="O12" s="118" t="s">
        <v>349</v>
      </c>
      <c r="P12" s="88">
        <v>18.600000000000001</v>
      </c>
      <c r="Q12" s="89">
        <v>43573</v>
      </c>
      <c r="R12" s="88"/>
      <c r="S12" s="88" t="e">
        <f>VLOOKUP($S$11,hamchuigoi3,M12,0)</f>
        <v>#VALUE!</v>
      </c>
      <c r="T12" s="3" t="str">
        <f t="shared" ref="T12:T13" si="0">$N$6&amp;" "&amp;O12</f>
        <v>Đá hộc xây vữa C16 A1</v>
      </c>
    </row>
    <row r="13" spans="1:20" ht="14.25" outlineLevel="2">
      <c r="A13" s="81">
        <f>SUBTOTAL(103,$B$12:B13)</f>
        <v>2</v>
      </c>
      <c r="B13" s="78">
        <f t="shared" ref="B13" si="1">Q13</f>
        <v>43576</v>
      </c>
      <c r="C13" s="571" t="str">
        <f t="shared" ref="C13" si="2">T13</f>
        <v>Đá hộc xây vữa C16 A2</v>
      </c>
      <c r="D13" s="572"/>
      <c r="E13" s="573"/>
      <c r="F13" s="2">
        <f t="shared" ref="F13" si="3">P13</f>
        <v>22.9</v>
      </c>
      <c r="G13" s="1">
        <f t="shared" ref="G13" si="4">P13</f>
        <v>22.9</v>
      </c>
      <c r="H13" s="295">
        <f>F15-H12</f>
        <v>22.729999999999997</v>
      </c>
      <c r="I13" s="107">
        <f>H13</f>
        <v>22.729999999999997</v>
      </c>
      <c r="J13" s="107">
        <f t="shared" ref="J13" si="5">P13</f>
        <v>22.9</v>
      </c>
      <c r="K13" s="702"/>
      <c r="N13" s="118"/>
      <c r="O13" s="118" t="s">
        <v>348</v>
      </c>
      <c r="P13" s="88">
        <v>22.9</v>
      </c>
      <c r="Q13" s="89">
        <v>43576</v>
      </c>
      <c r="R13" s="88"/>
      <c r="S13" s="88" t="e">
        <f>VLOOKUP($S$11,hamchuigoi3,M13,0)</f>
        <v>#VALUE!</v>
      </c>
      <c r="T13" s="3" t="str">
        <f t="shared" si="0"/>
        <v>Đá hộc xây vữa C16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'!$I$11</f>
        <v>41.33</v>
      </c>
      <c r="G15" s="79">
        <f>ROUND(SUM(G12:G14),2)</f>
        <v>41.5</v>
      </c>
      <c r="H15" s="79">
        <f>ROUND(SUM(H12:H14),2)</f>
        <v>41.33</v>
      </c>
      <c r="I15" s="79">
        <f>ROUND(SUM(I12:I14),2)</f>
        <v>41.33</v>
      </c>
      <c r="J15" s="79">
        <f>ROUND(SUM(J12:J14),2)</f>
        <v>41.5</v>
      </c>
      <c r="K15" s="80"/>
      <c r="N15" s="118"/>
      <c r="O15" s="118"/>
      <c r="P15" s="90">
        <f>SUM(P12:P12)</f>
        <v>18.600000000000001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C.II.1.2.7. Đá hộc xây vữa C16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41.33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Đá hộc xây vữa C16</v>
      </c>
      <c r="E38" s="624"/>
      <c r="F38" s="624"/>
      <c r="G38" s="624"/>
      <c r="H38" s="625">
        <f t="shared" ref="H38:H61" si="6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7">DATE(M38,L38,1)</f>
        <v>42948</v>
      </c>
      <c r="P38" s="103">
        <f t="shared" ref="P38:P62" si="8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9">"Tháng "&amp;IF(L39&lt;10,0&amp;L39&amp;"/"&amp;M39,L39&amp;"/"&amp;M39)</f>
        <v>Tháng 09/2017</v>
      </c>
      <c r="C39" s="567"/>
      <c r="D39" s="568" t="str">
        <f>D38</f>
        <v>Đá hộc xây vữa C16</v>
      </c>
      <c r="E39" s="568"/>
      <c r="F39" s="568"/>
      <c r="G39" s="568"/>
      <c r="H39" s="569">
        <f t="shared" si="6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7"/>
        <v>42979</v>
      </c>
      <c r="P39" s="103">
        <f t="shared" si="8"/>
        <v>43008</v>
      </c>
    </row>
    <row r="40" spans="1:20" s="5" customFormat="1" ht="17.100000000000001" customHeight="1">
      <c r="A40" s="104">
        <f>A39+1</f>
        <v>3</v>
      </c>
      <c r="B40" s="567" t="str">
        <f t="shared" si="9"/>
        <v>Tháng 10/2017</v>
      </c>
      <c r="C40" s="567"/>
      <c r="D40" s="568" t="str">
        <f t="shared" ref="D40:D62" si="10">D39</f>
        <v>Đá hộc xây vữa C16</v>
      </c>
      <c r="E40" s="568"/>
      <c r="F40" s="568"/>
      <c r="G40" s="568"/>
      <c r="H40" s="569">
        <f t="shared" si="6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7"/>
        <v>43009</v>
      </c>
      <c r="P40" s="103">
        <f t="shared" si="8"/>
        <v>43039</v>
      </c>
    </row>
    <row r="41" spans="1:20" s="5" customFormat="1" ht="17.100000000000001" customHeight="1">
      <c r="A41" s="104">
        <f t="shared" ref="A41:A63" si="11">A40+1</f>
        <v>4</v>
      </c>
      <c r="B41" s="567" t="str">
        <f t="shared" si="9"/>
        <v>Tháng 11/2017</v>
      </c>
      <c r="C41" s="567"/>
      <c r="D41" s="568" t="str">
        <f t="shared" si="10"/>
        <v>Đá hộc xây vữa C16</v>
      </c>
      <c r="E41" s="568"/>
      <c r="F41" s="568"/>
      <c r="G41" s="568"/>
      <c r="H41" s="569">
        <f t="shared" si="6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7"/>
        <v>43040</v>
      </c>
      <c r="P41" s="103">
        <f t="shared" si="8"/>
        <v>43069</v>
      </c>
    </row>
    <row r="42" spans="1:20" s="5" customFormat="1" ht="17.100000000000001" customHeight="1">
      <c r="A42" s="104">
        <f t="shared" si="11"/>
        <v>5</v>
      </c>
      <c r="B42" s="567" t="str">
        <f t="shared" si="9"/>
        <v>Tháng 12/2017</v>
      </c>
      <c r="C42" s="567"/>
      <c r="D42" s="568" t="str">
        <f t="shared" si="10"/>
        <v>Đá hộc xây vữa C16</v>
      </c>
      <c r="E42" s="568"/>
      <c r="F42" s="568"/>
      <c r="G42" s="568"/>
      <c r="H42" s="569">
        <f t="shared" si="6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7"/>
        <v>43070</v>
      </c>
      <c r="P42" s="103">
        <f t="shared" si="8"/>
        <v>43100</v>
      </c>
    </row>
    <row r="43" spans="1:20" s="5" customFormat="1" ht="17.100000000000001" customHeight="1">
      <c r="A43" s="104">
        <f t="shared" si="11"/>
        <v>6</v>
      </c>
      <c r="B43" s="567" t="str">
        <f t="shared" si="9"/>
        <v>Tháng 01/2018</v>
      </c>
      <c r="C43" s="567"/>
      <c r="D43" s="568" t="str">
        <f t="shared" si="10"/>
        <v>Đá hộc xây vữa C16</v>
      </c>
      <c r="E43" s="568"/>
      <c r="F43" s="568"/>
      <c r="G43" s="568"/>
      <c r="H43" s="569">
        <f t="shared" si="6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7"/>
        <v>43101</v>
      </c>
      <c r="P43" s="103">
        <f t="shared" si="8"/>
        <v>43131</v>
      </c>
    </row>
    <row r="44" spans="1:20" s="5" customFormat="1" ht="17.100000000000001" customHeight="1">
      <c r="A44" s="104">
        <f t="shared" si="11"/>
        <v>7</v>
      </c>
      <c r="B44" s="567" t="str">
        <f t="shared" si="9"/>
        <v>Tháng 02/2018</v>
      </c>
      <c r="C44" s="567"/>
      <c r="D44" s="568" t="str">
        <f t="shared" si="10"/>
        <v>Đá hộc xây vữa C16</v>
      </c>
      <c r="E44" s="568"/>
      <c r="F44" s="568"/>
      <c r="G44" s="568"/>
      <c r="H44" s="569">
        <f t="shared" si="6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7"/>
        <v>43132</v>
      </c>
      <c r="P44" s="103">
        <f t="shared" si="8"/>
        <v>43159</v>
      </c>
    </row>
    <row r="45" spans="1:20" s="5" customFormat="1" ht="17.100000000000001" customHeight="1">
      <c r="A45" s="104">
        <f t="shared" si="11"/>
        <v>8</v>
      </c>
      <c r="B45" s="567" t="str">
        <f t="shared" si="9"/>
        <v>Tháng 03/2018</v>
      </c>
      <c r="C45" s="567"/>
      <c r="D45" s="568" t="str">
        <f t="shared" si="10"/>
        <v>Đá hộc xây vữa C16</v>
      </c>
      <c r="E45" s="568"/>
      <c r="F45" s="568"/>
      <c r="G45" s="568"/>
      <c r="H45" s="569">
        <f t="shared" si="6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7"/>
        <v>43160</v>
      </c>
      <c r="P45" s="103">
        <f t="shared" si="8"/>
        <v>43190</v>
      </c>
    </row>
    <row r="46" spans="1:20" s="5" customFormat="1" ht="17.100000000000001" customHeight="1">
      <c r="A46" s="104">
        <f t="shared" si="11"/>
        <v>9</v>
      </c>
      <c r="B46" s="567" t="str">
        <f t="shared" si="9"/>
        <v>Tháng 04/2018</v>
      </c>
      <c r="C46" s="567"/>
      <c r="D46" s="568" t="str">
        <f t="shared" si="10"/>
        <v>Đá hộc xây vữa C16</v>
      </c>
      <c r="E46" s="568"/>
      <c r="F46" s="568"/>
      <c r="G46" s="568"/>
      <c r="H46" s="569">
        <f t="shared" si="6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7"/>
        <v>43191</v>
      </c>
      <c r="P46" s="103">
        <f t="shared" si="8"/>
        <v>43220</v>
      </c>
    </row>
    <row r="47" spans="1:20" s="5" customFormat="1" ht="17.100000000000001" customHeight="1">
      <c r="A47" s="104">
        <f t="shared" si="11"/>
        <v>10</v>
      </c>
      <c r="B47" s="567" t="str">
        <f t="shared" si="9"/>
        <v>Tháng 05/2018</v>
      </c>
      <c r="C47" s="567"/>
      <c r="D47" s="568" t="str">
        <f t="shared" si="10"/>
        <v>Đá hộc xây vữa C16</v>
      </c>
      <c r="E47" s="568"/>
      <c r="F47" s="568"/>
      <c r="G47" s="568"/>
      <c r="H47" s="569">
        <f t="shared" si="6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7"/>
        <v>43221</v>
      </c>
      <c r="P47" s="103">
        <f t="shared" si="8"/>
        <v>43251</v>
      </c>
    </row>
    <row r="48" spans="1:20" s="5" customFormat="1" ht="17.100000000000001" customHeight="1">
      <c r="A48" s="104">
        <f t="shared" si="11"/>
        <v>11</v>
      </c>
      <c r="B48" s="567" t="str">
        <f t="shared" si="9"/>
        <v>Tháng 06/2018</v>
      </c>
      <c r="C48" s="567"/>
      <c r="D48" s="568" t="str">
        <f t="shared" si="10"/>
        <v>Đá hộc xây vữa C16</v>
      </c>
      <c r="E48" s="568"/>
      <c r="F48" s="568"/>
      <c r="G48" s="568"/>
      <c r="H48" s="569">
        <f t="shared" si="6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7"/>
        <v>43252</v>
      </c>
      <c r="P48" s="103">
        <f t="shared" si="8"/>
        <v>43281</v>
      </c>
    </row>
    <row r="49" spans="1:16" s="5" customFormat="1" ht="17.100000000000001" customHeight="1">
      <c r="A49" s="104">
        <f t="shared" si="11"/>
        <v>12</v>
      </c>
      <c r="B49" s="567" t="str">
        <f t="shared" si="9"/>
        <v>Tháng 07/2018</v>
      </c>
      <c r="C49" s="567"/>
      <c r="D49" s="568" t="str">
        <f t="shared" si="10"/>
        <v>Đá hộc xây vữa C16</v>
      </c>
      <c r="E49" s="568"/>
      <c r="F49" s="568"/>
      <c r="G49" s="568"/>
      <c r="H49" s="569">
        <f t="shared" si="6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7"/>
        <v>43282</v>
      </c>
      <c r="P49" s="103">
        <f t="shared" si="8"/>
        <v>43312</v>
      </c>
    </row>
    <row r="50" spans="1:16" s="5" customFormat="1" ht="17.100000000000001" customHeight="1">
      <c r="A50" s="104">
        <f t="shared" si="11"/>
        <v>13</v>
      </c>
      <c r="B50" s="567" t="str">
        <f t="shared" si="9"/>
        <v>Tháng 08/2018</v>
      </c>
      <c r="C50" s="567"/>
      <c r="D50" s="568" t="str">
        <f t="shared" si="10"/>
        <v>Đá hộc xây vữa C16</v>
      </c>
      <c r="E50" s="568"/>
      <c r="F50" s="568"/>
      <c r="G50" s="568"/>
      <c r="H50" s="569">
        <f t="shared" si="6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7"/>
        <v>43313</v>
      </c>
      <c r="P50" s="103">
        <f t="shared" si="8"/>
        <v>43343</v>
      </c>
    </row>
    <row r="51" spans="1:16" s="5" customFormat="1" ht="17.100000000000001" customHeight="1">
      <c r="A51" s="104">
        <f t="shared" si="11"/>
        <v>14</v>
      </c>
      <c r="B51" s="567" t="str">
        <f t="shared" si="9"/>
        <v>Tháng 09/2018</v>
      </c>
      <c r="C51" s="567"/>
      <c r="D51" s="568" t="str">
        <f t="shared" si="10"/>
        <v>Đá hộc xây vữa C16</v>
      </c>
      <c r="E51" s="568"/>
      <c r="F51" s="568"/>
      <c r="G51" s="568"/>
      <c r="H51" s="569">
        <f t="shared" si="6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7"/>
        <v>43344</v>
      </c>
      <c r="P51" s="103">
        <f t="shared" si="8"/>
        <v>43373</v>
      </c>
    </row>
    <row r="52" spans="1:16" s="5" customFormat="1" ht="17.100000000000001" customHeight="1">
      <c r="A52" s="104">
        <f t="shared" si="11"/>
        <v>15</v>
      </c>
      <c r="B52" s="567" t="str">
        <f t="shared" si="9"/>
        <v>Tháng 10/2018</v>
      </c>
      <c r="C52" s="567"/>
      <c r="D52" s="568" t="str">
        <f t="shared" si="10"/>
        <v>Đá hộc xây vữa C16</v>
      </c>
      <c r="E52" s="568"/>
      <c r="F52" s="568"/>
      <c r="G52" s="568"/>
      <c r="H52" s="569">
        <f t="shared" si="6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7"/>
        <v>43374</v>
      </c>
      <c r="P52" s="103">
        <f t="shared" si="8"/>
        <v>43404</v>
      </c>
    </row>
    <row r="53" spans="1:16" s="5" customFormat="1" ht="17.100000000000001" customHeight="1">
      <c r="A53" s="104">
        <f t="shared" si="11"/>
        <v>16</v>
      </c>
      <c r="B53" s="567" t="str">
        <f t="shared" si="9"/>
        <v>Tháng 11/2018</v>
      </c>
      <c r="C53" s="567"/>
      <c r="D53" s="568" t="str">
        <f t="shared" si="10"/>
        <v>Đá hộc xây vữa C16</v>
      </c>
      <c r="E53" s="568"/>
      <c r="F53" s="568"/>
      <c r="G53" s="568"/>
      <c r="H53" s="569">
        <f t="shared" si="6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7"/>
        <v>43405</v>
      </c>
      <c r="P53" s="103">
        <f t="shared" si="8"/>
        <v>43434</v>
      </c>
    </row>
    <row r="54" spans="1:16" s="5" customFormat="1" ht="17.100000000000001" customHeight="1">
      <c r="A54" s="104">
        <f t="shared" si="11"/>
        <v>17</v>
      </c>
      <c r="B54" s="567" t="str">
        <f t="shared" si="9"/>
        <v>Tháng 12/2018</v>
      </c>
      <c r="C54" s="567"/>
      <c r="D54" s="568" t="str">
        <f t="shared" si="10"/>
        <v>Đá hộc xây vữa C16</v>
      </c>
      <c r="E54" s="568"/>
      <c r="F54" s="568"/>
      <c r="G54" s="568"/>
      <c r="H54" s="569">
        <f t="shared" si="6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7"/>
        <v>43435</v>
      </c>
      <c r="P54" s="103">
        <f t="shared" si="8"/>
        <v>43465</v>
      </c>
    </row>
    <row r="55" spans="1:16" s="5" customFormat="1" ht="17.100000000000001" customHeight="1">
      <c r="A55" s="104">
        <f t="shared" si="11"/>
        <v>18</v>
      </c>
      <c r="B55" s="567" t="str">
        <f t="shared" si="9"/>
        <v>Tháng 01/2019</v>
      </c>
      <c r="C55" s="567"/>
      <c r="D55" s="568" t="str">
        <f t="shared" si="10"/>
        <v>Đá hộc xây vữa C16</v>
      </c>
      <c r="E55" s="568"/>
      <c r="F55" s="568"/>
      <c r="G55" s="568"/>
      <c r="H55" s="569">
        <f t="shared" si="6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7"/>
        <v>43466</v>
      </c>
      <c r="P55" s="103">
        <f t="shared" si="8"/>
        <v>43496</v>
      </c>
    </row>
    <row r="56" spans="1:16" s="5" customFormat="1" ht="17.100000000000001" customHeight="1">
      <c r="A56" s="104">
        <f t="shared" si="11"/>
        <v>19</v>
      </c>
      <c r="B56" s="567" t="str">
        <f t="shared" si="9"/>
        <v>Tháng 02/2019</v>
      </c>
      <c r="C56" s="567"/>
      <c r="D56" s="568" t="str">
        <f t="shared" si="10"/>
        <v>Đá hộc xây vữa C16</v>
      </c>
      <c r="E56" s="568"/>
      <c r="F56" s="568"/>
      <c r="G56" s="568"/>
      <c r="H56" s="569">
        <f t="shared" si="6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7"/>
        <v>43497</v>
      </c>
      <c r="P56" s="103">
        <f t="shared" si="8"/>
        <v>43524</v>
      </c>
    </row>
    <row r="57" spans="1:16" s="5" customFormat="1" ht="17.100000000000001" customHeight="1">
      <c r="A57" s="104">
        <f t="shared" si="11"/>
        <v>20</v>
      </c>
      <c r="B57" s="567" t="str">
        <f t="shared" si="9"/>
        <v>Tháng 03/2019</v>
      </c>
      <c r="C57" s="567"/>
      <c r="D57" s="568" t="str">
        <f t="shared" si="10"/>
        <v>Đá hộc xây vữa C16</v>
      </c>
      <c r="E57" s="568"/>
      <c r="F57" s="568"/>
      <c r="G57" s="568"/>
      <c r="H57" s="569">
        <f t="shared" si="6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7"/>
        <v>43525</v>
      </c>
      <c r="P57" s="103">
        <f t="shared" si="8"/>
        <v>43555</v>
      </c>
    </row>
    <row r="58" spans="1:16" s="5" customFormat="1" ht="17.100000000000001" customHeight="1">
      <c r="A58" s="104">
        <f t="shared" si="11"/>
        <v>21</v>
      </c>
      <c r="B58" s="567" t="str">
        <f t="shared" si="9"/>
        <v>Tháng 04/2019</v>
      </c>
      <c r="C58" s="567"/>
      <c r="D58" s="568" t="str">
        <f t="shared" si="10"/>
        <v>Đá hộc xây vữa C16</v>
      </c>
      <c r="E58" s="568"/>
      <c r="F58" s="568"/>
      <c r="G58" s="568"/>
      <c r="H58" s="569">
        <f t="shared" si="6"/>
        <v>41.33</v>
      </c>
      <c r="I58" s="569"/>
      <c r="J58" s="567"/>
      <c r="K58" s="570"/>
      <c r="L58">
        <v>4</v>
      </c>
      <c r="M58" s="101">
        <v>2019</v>
      </c>
      <c r="N58"/>
      <c r="O58" s="103">
        <f t="shared" si="7"/>
        <v>43556</v>
      </c>
      <c r="P58" s="103">
        <f t="shared" si="8"/>
        <v>43585</v>
      </c>
    </row>
    <row r="59" spans="1:16" s="5" customFormat="1" ht="17.100000000000001" customHeight="1">
      <c r="A59" s="104">
        <f t="shared" si="11"/>
        <v>22</v>
      </c>
      <c r="B59" s="567" t="str">
        <f t="shared" si="9"/>
        <v>Tháng 05/2019</v>
      </c>
      <c r="C59" s="567"/>
      <c r="D59" s="568" t="str">
        <f t="shared" si="10"/>
        <v>Đá hộc xây vữa C16</v>
      </c>
      <c r="E59" s="568"/>
      <c r="F59" s="568"/>
      <c r="G59" s="568"/>
      <c r="H59" s="569">
        <f t="shared" si="6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7"/>
        <v>43586</v>
      </c>
      <c r="P59" s="103">
        <f t="shared" si="8"/>
        <v>43616</v>
      </c>
    </row>
    <row r="60" spans="1:16" s="5" customFormat="1" ht="17.100000000000001" customHeight="1">
      <c r="A60" s="104">
        <f t="shared" si="11"/>
        <v>23</v>
      </c>
      <c r="B60" s="567" t="str">
        <f t="shared" si="9"/>
        <v>Tháng 06/2019</v>
      </c>
      <c r="C60" s="567"/>
      <c r="D60" s="568" t="str">
        <f t="shared" si="10"/>
        <v>Đá hộc xây vữa C16</v>
      </c>
      <c r="E60" s="568"/>
      <c r="F60" s="568"/>
      <c r="G60" s="568"/>
      <c r="H60" s="569">
        <f t="shared" si="6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7"/>
        <v>43617</v>
      </c>
      <c r="P60" s="103">
        <f t="shared" si="8"/>
        <v>43646</v>
      </c>
    </row>
    <row r="61" spans="1:16" s="5" customFormat="1" ht="17.100000000000001" customHeight="1">
      <c r="A61" s="104">
        <f t="shared" si="11"/>
        <v>24</v>
      </c>
      <c r="B61" s="567" t="str">
        <f t="shared" si="9"/>
        <v>Tháng 07/2019</v>
      </c>
      <c r="C61" s="567"/>
      <c r="D61" s="568" t="str">
        <f t="shared" si="10"/>
        <v>Đá hộc xây vữa C16</v>
      </c>
      <c r="E61" s="568"/>
      <c r="F61" s="568"/>
      <c r="G61" s="568"/>
      <c r="H61" s="569">
        <f t="shared" si="6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7"/>
        <v>43647</v>
      </c>
      <c r="P61" s="103">
        <f t="shared" si="8"/>
        <v>43677</v>
      </c>
    </row>
    <row r="62" spans="1:16" s="5" customFormat="1" ht="17.100000000000001" customHeight="1">
      <c r="A62" s="104">
        <f t="shared" si="11"/>
        <v>25</v>
      </c>
      <c r="B62" s="567" t="str">
        <f t="shared" si="9"/>
        <v>Tháng 08/2019</v>
      </c>
      <c r="C62" s="567"/>
      <c r="D62" s="568" t="str">
        <f t="shared" si="10"/>
        <v>Đá hộc xây vữa C16</v>
      </c>
      <c r="E62" s="568"/>
      <c r="F62" s="568"/>
      <c r="G62" s="568"/>
      <c r="H62" s="569">
        <f t="shared" ref="H62:H63" si="12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7"/>
        <v>43678</v>
      </c>
      <c r="P62" s="103">
        <f t="shared" si="8"/>
        <v>43708</v>
      </c>
    </row>
    <row r="63" spans="1:16" s="5" customFormat="1" ht="17.100000000000001" customHeight="1">
      <c r="A63" s="104">
        <f t="shared" si="11"/>
        <v>26</v>
      </c>
      <c r="B63" s="616" t="str">
        <f t="shared" si="9"/>
        <v>Tháng 09/2019</v>
      </c>
      <c r="C63" s="616"/>
      <c r="D63" s="652" t="str">
        <f>D61</f>
        <v>Đá hộc xây vữa C16</v>
      </c>
      <c r="E63" s="652"/>
      <c r="F63" s="652"/>
      <c r="G63" s="652"/>
      <c r="H63" s="615">
        <f t="shared" si="12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3">SUM(H38:I63)</f>
        <v>41.33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>
    <tabColor rgb="FFFFFF00"/>
  </sheetPr>
  <dimension ref="A1:T75"/>
  <sheetViews>
    <sheetView view="pageBreakPreview" zoomScaleSheetLayoutView="100" workbookViewId="0">
      <selection activeCell="I14" sqref="I1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C.II.1.2. Gia cố mái taluy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262</v>
      </c>
      <c r="N5" s="245" t="str">
        <f>'PHAN KHAI'!C118</f>
        <v>Gia cố mái taluy</v>
      </c>
      <c r="Q5" s="17"/>
    </row>
    <row r="6" spans="1:20" s="16" customFormat="1" ht="15.75" customHeight="1">
      <c r="A6" s="91" t="str">
        <f>L6&amp;M6&amp;". "&amp;N6</f>
        <v>Mục C.II.1.2.8. Lắp đặt ống nhựa D50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C.II.1.2.</v>
      </c>
      <c r="M6" s="16">
        <v>8</v>
      </c>
      <c r="N6" s="245" t="str">
        <f>THKLQT!C128</f>
        <v>Lắp đặt ống nhựa D50</v>
      </c>
      <c r="Q6" s="17"/>
    </row>
    <row r="7" spans="1:20" s="178" customFormat="1" ht="18.75" customHeight="1">
      <c r="A7" s="634">
        <f>I15</f>
        <v>21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THKLQT!D128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43573</v>
      </c>
      <c r="C12" s="571" t="str">
        <f>T12</f>
        <v>Lắp đặt ống nhựa D50 A1</v>
      </c>
      <c r="D12" s="572"/>
      <c r="E12" s="573"/>
      <c r="F12" s="2">
        <v>10</v>
      </c>
      <c r="G12" s="1">
        <f>F12</f>
        <v>10</v>
      </c>
      <c r="H12" s="295">
        <f>G12</f>
        <v>10</v>
      </c>
      <c r="I12" s="107">
        <f>H12</f>
        <v>10</v>
      </c>
      <c r="J12" s="107">
        <f>P12</f>
        <v>26</v>
      </c>
      <c r="K12" s="82"/>
      <c r="N12" s="118"/>
      <c r="O12" s="118" t="s">
        <v>349</v>
      </c>
      <c r="P12" s="88">
        <v>26</v>
      </c>
      <c r="Q12" s="89">
        <v>43573</v>
      </c>
      <c r="R12" s="88"/>
      <c r="S12" s="88" t="e">
        <f>VLOOKUP($S$11,hamchuigoi3,M12,0)</f>
        <v>#VALUE!</v>
      </c>
      <c r="T12" s="3" t="str">
        <f t="shared" ref="T12:T13" si="0">$N$6&amp;" "&amp;O12</f>
        <v>Lắp đặt ống nhựa D50 A1</v>
      </c>
    </row>
    <row r="13" spans="1:20" ht="14.25" outlineLevel="2">
      <c r="A13" s="81">
        <f>SUBTOTAL(103,$B$12:B13)</f>
        <v>2</v>
      </c>
      <c r="B13" s="78">
        <f t="shared" ref="B13" si="1">Q13</f>
        <v>43576</v>
      </c>
      <c r="C13" s="571" t="str">
        <f t="shared" ref="C13" si="2">T13</f>
        <v>Lắp đặt ống nhựa D50 A2</v>
      </c>
      <c r="D13" s="572"/>
      <c r="E13" s="573"/>
      <c r="F13" s="2">
        <v>11</v>
      </c>
      <c r="G13" s="1">
        <f>F13</f>
        <v>11</v>
      </c>
      <c r="H13" s="295">
        <f>G13</f>
        <v>11</v>
      </c>
      <c r="I13" s="107">
        <f>H13</f>
        <v>11</v>
      </c>
      <c r="J13" s="107">
        <f t="shared" ref="J13" si="3">P13</f>
        <v>26</v>
      </c>
      <c r="K13" s="82"/>
      <c r="N13" s="118"/>
      <c r="O13" s="118" t="s">
        <v>348</v>
      </c>
      <c r="P13" s="88">
        <v>26</v>
      </c>
      <c r="Q13" s="89">
        <v>43576</v>
      </c>
      <c r="R13" s="88"/>
      <c r="S13" s="88" t="e">
        <f>VLOOKUP($S$11,hamchuigoi3,M13,0)</f>
        <v>#VALUE!</v>
      </c>
      <c r="T13" s="3" t="str">
        <f t="shared" si="0"/>
        <v>Lắp đặt ống nhựa D50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'!$I$13</f>
        <v>21</v>
      </c>
      <c r="G15" s="79">
        <f>ROUND(SUM(G12:G14),2)</f>
        <v>21</v>
      </c>
      <c r="H15" s="79">
        <f>ROUND(SUM(H12:H14),2)</f>
        <v>21</v>
      </c>
      <c r="I15" s="79">
        <f>ROUND(SUM(I12:I14),2)</f>
        <v>21</v>
      </c>
      <c r="J15" s="79">
        <f>ROUND(SUM(J12:J14),2)</f>
        <v>52</v>
      </c>
      <c r="K15" s="80"/>
      <c r="N15" s="118"/>
      <c r="O15" s="118"/>
      <c r="P15" s="90">
        <f>SUM(P12:P12)</f>
        <v>26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C.II.1.2. Gia cố mái taluy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C.II.1.2.8. Lắp đặt ống nhựa D50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21</v>
      </c>
      <c r="B34" s="640"/>
      <c r="C34" s="640"/>
      <c r="D34" s="640"/>
      <c r="E34" s="131" t="str">
        <f>E7</f>
        <v>(m)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Lắp đặt ống nhựa D50</v>
      </c>
      <c r="E38" s="624"/>
      <c r="F38" s="624"/>
      <c r="G38" s="624"/>
      <c r="H38" s="625">
        <f t="shared" ref="H38:H61" si="4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5">DATE(M38,L38,1)</f>
        <v>42948</v>
      </c>
      <c r="P38" s="103">
        <f t="shared" ref="P38:P62" si="6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7">"Tháng "&amp;IF(L39&lt;10,0&amp;L39&amp;"/"&amp;M39,L39&amp;"/"&amp;M39)</f>
        <v>Tháng 09/2017</v>
      </c>
      <c r="C39" s="567"/>
      <c r="D39" s="568" t="str">
        <f>D38</f>
        <v>Lắp đặt ống nhựa D50</v>
      </c>
      <c r="E39" s="568"/>
      <c r="F39" s="568"/>
      <c r="G39" s="568"/>
      <c r="H39" s="569">
        <f t="shared" si="4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5"/>
        <v>42979</v>
      </c>
      <c r="P39" s="103">
        <f t="shared" si="6"/>
        <v>43008</v>
      </c>
    </row>
    <row r="40" spans="1:20" s="5" customFormat="1" ht="17.100000000000001" customHeight="1">
      <c r="A40" s="104">
        <f>A39+1</f>
        <v>3</v>
      </c>
      <c r="B40" s="567" t="str">
        <f t="shared" si="7"/>
        <v>Tháng 10/2017</v>
      </c>
      <c r="C40" s="567"/>
      <c r="D40" s="568" t="str">
        <f t="shared" ref="D40:D62" si="8">D39</f>
        <v>Lắp đặt ống nhựa D50</v>
      </c>
      <c r="E40" s="568"/>
      <c r="F40" s="568"/>
      <c r="G40" s="568"/>
      <c r="H40" s="569">
        <f t="shared" si="4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5"/>
        <v>43009</v>
      </c>
      <c r="P40" s="103">
        <f t="shared" si="6"/>
        <v>43039</v>
      </c>
    </row>
    <row r="41" spans="1:20" s="5" customFormat="1" ht="17.100000000000001" customHeight="1">
      <c r="A41" s="104">
        <f t="shared" ref="A41:A63" si="9">A40+1</f>
        <v>4</v>
      </c>
      <c r="B41" s="567" t="str">
        <f t="shared" si="7"/>
        <v>Tháng 11/2017</v>
      </c>
      <c r="C41" s="567"/>
      <c r="D41" s="568" t="str">
        <f t="shared" si="8"/>
        <v>Lắp đặt ống nhựa D50</v>
      </c>
      <c r="E41" s="568"/>
      <c r="F41" s="568"/>
      <c r="G41" s="568"/>
      <c r="H41" s="569">
        <f t="shared" si="4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5"/>
        <v>43040</v>
      </c>
      <c r="P41" s="103">
        <f t="shared" si="6"/>
        <v>43069</v>
      </c>
    </row>
    <row r="42" spans="1:20" s="5" customFormat="1" ht="17.100000000000001" customHeight="1">
      <c r="A42" s="104">
        <f t="shared" si="9"/>
        <v>5</v>
      </c>
      <c r="B42" s="567" t="str">
        <f t="shared" si="7"/>
        <v>Tháng 12/2017</v>
      </c>
      <c r="C42" s="567"/>
      <c r="D42" s="568" t="str">
        <f t="shared" si="8"/>
        <v>Lắp đặt ống nhựa D50</v>
      </c>
      <c r="E42" s="568"/>
      <c r="F42" s="568"/>
      <c r="G42" s="568"/>
      <c r="H42" s="569">
        <f t="shared" si="4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5"/>
        <v>43070</v>
      </c>
      <c r="P42" s="103">
        <f t="shared" si="6"/>
        <v>43100</v>
      </c>
    </row>
    <row r="43" spans="1:20" s="5" customFormat="1" ht="17.100000000000001" customHeight="1">
      <c r="A43" s="104">
        <f t="shared" si="9"/>
        <v>6</v>
      </c>
      <c r="B43" s="567" t="str">
        <f t="shared" si="7"/>
        <v>Tháng 01/2018</v>
      </c>
      <c r="C43" s="567"/>
      <c r="D43" s="568" t="str">
        <f t="shared" si="8"/>
        <v>Lắp đặt ống nhựa D50</v>
      </c>
      <c r="E43" s="568"/>
      <c r="F43" s="568"/>
      <c r="G43" s="568"/>
      <c r="H43" s="569">
        <f t="shared" si="4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5"/>
        <v>43101</v>
      </c>
      <c r="P43" s="103">
        <f t="shared" si="6"/>
        <v>43131</v>
      </c>
    </row>
    <row r="44" spans="1:20" s="5" customFormat="1" ht="17.100000000000001" customHeight="1">
      <c r="A44" s="104">
        <f t="shared" si="9"/>
        <v>7</v>
      </c>
      <c r="B44" s="567" t="str">
        <f t="shared" si="7"/>
        <v>Tháng 02/2018</v>
      </c>
      <c r="C44" s="567"/>
      <c r="D44" s="568" t="str">
        <f t="shared" si="8"/>
        <v>Lắp đặt ống nhựa D50</v>
      </c>
      <c r="E44" s="568"/>
      <c r="F44" s="568"/>
      <c r="G44" s="568"/>
      <c r="H44" s="569">
        <f t="shared" si="4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5"/>
        <v>43132</v>
      </c>
      <c r="P44" s="103">
        <f t="shared" si="6"/>
        <v>43159</v>
      </c>
    </row>
    <row r="45" spans="1:20" s="5" customFormat="1" ht="17.100000000000001" customHeight="1">
      <c r="A45" s="104">
        <f t="shared" si="9"/>
        <v>8</v>
      </c>
      <c r="B45" s="567" t="str">
        <f t="shared" si="7"/>
        <v>Tháng 03/2018</v>
      </c>
      <c r="C45" s="567"/>
      <c r="D45" s="568" t="str">
        <f t="shared" si="8"/>
        <v>Lắp đặt ống nhựa D50</v>
      </c>
      <c r="E45" s="568"/>
      <c r="F45" s="568"/>
      <c r="G45" s="568"/>
      <c r="H45" s="569">
        <f t="shared" si="4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5"/>
        <v>43160</v>
      </c>
      <c r="P45" s="103">
        <f t="shared" si="6"/>
        <v>43190</v>
      </c>
    </row>
    <row r="46" spans="1:20" s="5" customFormat="1" ht="17.100000000000001" customHeight="1">
      <c r="A46" s="104">
        <f t="shared" si="9"/>
        <v>9</v>
      </c>
      <c r="B46" s="567" t="str">
        <f t="shared" si="7"/>
        <v>Tháng 04/2018</v>
      </c>
      <c r="C46" s="567"/>
      <c r="D46" s="568" t="str">
        <f t="shared" si="8"/>
        <v>Lắp đặt ống nhựa D50</v>
      </c>
      <c r="E46" s="568"/>
      <c r="F46" s="568"/>
      <c r="G46" s="568"/>
      <c r="H46" s="569">
        <f t="shared" si="4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5"/>
        <v>43191</v>
      </c>
      <c r="P46" s="103">
        <f t="shared" si="6"/>
        <v>43220</v>
      </c>
    </row>
    <row r="47" spans="1:20" s="5" customFormat="1" ht="17.100000000000001" customHeight="1">
      <c r="A47" s="104">
        <f t="shared" si="9"/>
        <v>10</v>
      </c>
      <c r="B47" s="567" t="str">
        <f t="shared" si="7"/>
        <v>Tháng 05/2018</v>
      </c>
      <c r="C47" s="567"/>
      <c r="D47" s="568" t="str">
        <f t="shared" si="8"/>
        <v>Lắp đặt ống nhựa D50</v>
      </c>
      <c r="E47" s="568"/>
      <c r="F47" s="568"/>
      <c r="G47" s="568"/>
      <c r="H47" s="569">
        <f t="shared" si="4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5"/>
        <v>43221</v>
      </c>
      <c r="P47" s="103">
        <f t="shared" si="6"/>
        <v>43251</v>
      </c>
    </row>
    <row r="48" spans="1:20" s="5" customFormat="1" ht="17.100000000000001" customHeight="1">
      <c r="A48" s="104">
        <f t="shared" si="9"/>
        <v>11</v>
      </c>
      <c r="B48" s="567" t="str">
        <f t="shared" si="7"/>
        <v>Tháng 06/2018</v>
      </c>
      <c r="C48" s="567"/>
      <c r="D48" s="568" t="str">
        <f t="shared" si="8"/>
        <v>Lắp đặt ống nhựa D50</v>
      </c>
      <c r="E48" s="568"/>
      <c r="F48" s="568"/>
      <c r="G48" s="568"/>
      <c r="H48" s="569">
        <f t="shared" si="4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5"/>
        <v>43252</v>
      </c>
      <c r="P48" s="103">
        <f t="shared" si="6"/>
        <v>43281</v>
      </c>
    </row>
    <row r="49" spans="1:16" s="5" customFormat="1" ht="17.100000000000001" customHeight="1">
      <c r="A49" s="104">
        <f t="shared" si="9"/>
        <v>12</v>
      </c>
      <c r="B49" s="567" t="str">
        <f t="shared" si="7"/>
        <v>Tháng 07/2018</v>
      </c>
      <c r="C49" s="567"/>
      <c r="D49" s="568" t="str">
        <f t="shared" si="8"/>
        <v>Lắp đặt ống nhựa D50</v>
      </c>
      <c r="E49" s="568"/>
      <c r="F49" s="568"/>
      <c r="G49" s="568"/>
      <c r="H49" s="569">
        <f t="shared" si="4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5"/>
        <v>43282</v>
      </c>
      <c r="P49" s="103">
        <f t="shared" si="6"/>
        <v>43312</v>
      </c>
    </row>
    <row r="50" spans="1:16" s="5" customFormat="1" ht="17.100000000000001" customHeight="1">
      <c r="A50" s="104">
        <f t="shared" si="9"/>
        <v>13</v>
      </c>
      <c r="B50" s="567" t="str">
        <f t="shared" si="7"/>
        <v>Tháng 08/2018</v>
      </c>
      <c r="C50" s="567"/>
      <c r="D50" s="568" t="str">
        <f t="shared" si="8"/>
        <v>Lắp đặt ống nhựa D50</v>
      </c>
      <c r="E50" s="568"/>
      <c r="F50" s="568"/>
      <c r="G50" s="568"/>
      <c r="H50" s="569">
        <f t="shared" si="4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5"/>
        <v>43313</v>
      </c>
      <c r="P50" s="103">
        <f t="shared" si="6"/>
        <v>43343</v>
      </c>
    </row>
    <row r="51" spans="1:16" s="5" customFormat="1" ht="17.100000000000001" customHeight="1">
      <c r="A51" s="104">
        <f t="shared" si="9"/>
        <v>14</v>
      </c>
      <c r="B51" s="567" t="str">
        <f t="shared" si="7"/>
        <v>Tháng 09/2018</v>
      </c>
      <c r="C51" s="567"/>
      <c r="D51" s="568" t="str">
        <f t="shared" si="8"/>
        <v>Lắp đặt ống nhựa D50</v>
      </c>
      <c r="E51" s="568"/>
      <c r="F51" s="568"/>
      <c r="G51" s="568"/>
      <c r="H51" s="569">
        <f t="shared" si="4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5"/>
        <v>43344</v>
      </c>
      <c r="P51" s="103">
        <f t="shared" si="6"/>
        <v>43373</v>
      </c>
    </row>
    <row r="52" spans="1:16" s="5" customFormat="1" ht="17.100000000000001" customHeight="1">
      <c r="A52" s="104">
        <f t="shared" si="9"/>
        <v>15</v>
      </c>
      <c r="B52" s="567" t="str">
        <f t="shared" si="7"/>
        <v>Tháng 10/2018</v>
      </c>
      <c r="C52" s="567"/>
      <c r="D52" s="568" t="str">
        <f t="shared" si="8"/>
        <v>Lắp đặt ống nhựa D50</v>
      </c>
      <c r="E52" s="568"/>
      <c r="F52" s="568"/>
      <c r="G52" s="568"/>
      <c r="H52" s="569">
        <f t="shared" si="4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5"/>
        <v>43374</v>
      </c>
      <c r="P52" s="103">
        <f t="shared" si="6"/>
        <v>43404</v>
      </c>
    </row>
    <row r="53" spans="1:16" s="5" customFormat="1" ht="17.100000000000001" customHeight="1">
      <c r="A53" s="104">
        <f t="shared" si="9"/>
        <v>16</v>
      </c>
      <c r="B53" s="567" t="str">
        <f t="shared" si="7"/>
        <v>Tháng 11/2018</v>
      </c>
      <c r="C53" s="567"/>
      <c r="D53" s="568" t="str">
        <f t="shared" si="8"/>
        <v>Lắp đặt ống nhựa D50</v>
      </c>
      <c r="E53" s="568"/>
      <c r="F53" s="568"/>
      <c r="G53" s="568"/>
      <c r="H53" s="569">
        <f t="shared" si="4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5"/>
        <v>43405</v>
      </c>
      <c r="P53" s="103">
        <f t="shared" si="6"/>
        <v>43434</v>
      </c>
    </row>
    <row r="54" spans="1:16" s="5" customFormat="1" ht="17.100000000000001" customHeight="1">
      <c r="A54" s="104">
        <f t="shared" si="9"/>
        <v>17</v>
      </c>
      <c r="B54" s="567" t="str">
        <f t="shared" si="7"/>
        <v>Tháng 12/2018</v>
      </c>
      <c r="C54" s="567"/>
      <c r="D54" s="568" t="str">
        <f t="shared" si="8"/>
        <v>Lắp đặt ống nhựa D50</v>
      </c>
      <c r="E54" s="568"/>
      <c r="F54" s="568"/>
      <c r="G54" s="568"/>
      <c r="H54" s="569">
        <f t="shared" si="4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5"/>
        <v>43435</v>
      </c>
      <c r="P54" s="103">
        <f t="shared" si="6"/>
        <v>43465</v>
      </c>
    </row>
    <row r="55" spans="1:16" s="5" customFormat="1" ht="17.100000000000001" customHeight="1">
      <c r="A55" s="104">
        <f t="shared" si="9"/>
        <v>18</v>
      </c>
      <c r="B55" s="567" t="str">
        <f t="shared" si="7"/>
        <v>Tháng 01/2019</v>
      </c>
      <c r="C55" s="567"/>
      <c r="D55" s="568" t="str">
        <f t="shared" si="8"/>
        <v>Lắp đặt ống nhựa D50</v>
      </c>
      <c r="E55" s="568"/>
      <c r="F55" s="568"/>
      <c r="G55" s="568"/>
      <c r="H55" s="569">
        <f t="shared" si="4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5"/>
        <v>43466</v>
      </c>
      <c r="P55" s="103">
        <f t="shared" si="6"/>
        <v>43496</v>
      </c>
    </row>
    <row r="56" spans="1:16" s="5" customFormat="1" ht="17.100000000000001" customHeight="1">
      <c r="A56" s="104">
        <f t="shared" si="9"/>
        <v>19</v>
      </c>
      <c r="B56" s="567" t="str">
        <f t="shared" si="7"/>
        <v>Tháng 02/2019</v>
      </c>
      <c r="C56" s="567"/>
      <c r="D56" s="568" t="str">
        <f t="shared" si="8"/>
        <v>Lắp đặt ống nhựa D50</v>
      </c>
      <c r="E56" s="568"/>
      <c r="F56" s="568"/>
      <c r="G56" s="568"/>
      <c r="H56" s="569">
        <f t="shared" si="4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5"/>
        <v>43497</v>
      </c>
      <c r="P56" s="103">
        <f t="shared" si="6"/>
        <v>43524</v>
      </c>
    </row>
    <row r="57" spans="1:16" s="5" customFormat="1" ht="17.100000000000001" customHeight="1">
      <c r="A57" s="104">
        <f t="shared" si="9"/>
        <v>20</v>
      </c>
      <c r="B57" s="567" t="str">
        <f t="shared" si="7"/>
        <v>Tháng 03/2019</v>
      </c>
      <c r="C57" s="567"/>
      <c r="D57" s="568" t="str">
        <f t="shared" si="8"/>
        <v>Lắp đặt ống nhựa D50</v>
      </c>
      <c r="E57" s="568"/>
      <c r="F57" s="568"/>
      <c r="G57" s="568"/>
      <c r="H57" s="569">
        <f t="shared" si="4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5"/>
        <v>43525</v>
      </c>
      <c r="P57" s="103">
        <f t="shared" si="6"/>
        <v>43555</v>
      </c>
    </row>
    <row r="58" spans="1:16" s="5" customFormat="1" ht="17.100000000000001" customHeight="1">
      <c r="A58" s="104">
        <f t="shared" si="9"/>
        <v>21</v>
      </c>
      <c r="B58" s="567" t="str">
        <f t="shared" si="7"/>
        <v>Tháng 04/2019</v>
      </c>
      <c r="C58" s="567"/>
      <c r="D58" s="568" t="str">
        <f t="shared" si="8"/>
        <v>Lắp đặt ống nhựa D50</v>
      </c>
      <c r="E58" s="568"/>
      <c r="F58" s="568"/>
      <c r="G58" s="568"/>
      <c r="H58" s="569">
        <f t="shared" si="4"/>
        <v>21</v>
      </c>
      <c r="I58" s="569"/>
      <c r="J58" s="567"/>
      <c r="K58" s="570"/>
      <c r="L58">
        <v>4</v>
      </c>
      <c r="M58" s="101">
        <v>2019</v>
      </c>
      <c r="N58"/>
      <c r="O58" s="103">
        <f t="shared" si="5"/>
        <v>43556</v>
      </c>
      <c r="P58" s="103">
        <f t="shared" si="6"/>
        <v>43585</v>
      </c>
    </row>
    <row r="59" spans="1:16" s="5" customFormat="1" ht="17.100000000000001" customHeight="1">
      <c r="A59" s="104">
        <f t="shared" si="9"/>
        <v>22</v>
      </c>
      <c r="B59" s="567" t="str">
        <f t="shared" si="7"/>
        <v>Tháng 05/2019</v>
      </c>
      <c r="C59" s="567"/>
      <c r="D59" s="568" t="str">
        <f t="shared" si="8"/>
        <v>Lắp đặt ống nhựa D50</v>
      </c>
      <c r="E59" s="568"/>
      <c r="F59" s="568"/>
      <c r="G59" s="568"/>
      <c r="H59" s="569">
        <f t="shared" si="4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5"/>
        <v>43586</v>
      </c>
      <c r="P59" s="103">
        <f t="shared" si="6"/>
        <v>43616</v>
      </c>
    </row>
    <row r="60" spans="1:16" s="5" customFormat="1" ht="17.100000000000001" customHeight="1">
      <c r="A60" s="104">
        <f t="shared" si="9"/>
        <v>23</v>
      </c>
      <c r="B60" s="567" t="str">
        <f t="shared" si="7"/>
        <v>Tháng 06/2019</v>
      </c>
      <c r="C60" s="567"/>
      <c r="D60" s="568" t="str">
        <f t="shared" si="8"/>
        <v>Lắp đặt ống nhựa D50</v>
      </c>
      <c r="E60" s="568"/>
      <c r="F60" s="568"/>
      <c r="G60" s="568"/>
      <c r="H60" s="569">
        <f t="shared" si="4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5"/>
        <v>43617</v>
      </c>
      <c r="P60" s="103">
        <f t="shared" si="6"/>
        <v>43646</v>
      </c>
    </row>
    <row r="61" spans="1:16" s="5" customFormat="1" ht="17.100000000000001" customHeight="1">
      <c r="A61" s="104">
        <f t="shared" si="9"/>
        <v>24</v>
      </c>
      <c r="B61" s="567" t="str">
        <f t="shared" si="7"/>
        <v>Tháng 07/2019</v>
      </c>
      <c r="C61" s="567"/>
      <c r="D61" s="568" t="str">
        <f t="shared" si="8"/>
        <v>Lắp đặt ống nhựa D50</v>
      </c>
      <c r="E61" s="568"/>
      <c r="F61" s="568"/>
      <c r="G61" s="568"/>
      <c r="H61" s="569">
        <f t="shared" si="4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5"/>
        <v>43647</v>
      </c>
      <c r="P61" s="103">
        <f t="shared" si="6"/>
        <v>43677</v>
      </c>
    </row>
    <row r="62" spans="1:16" s="5" customFormat="1" ht="17.100000000000001" customHeight="1">
      <c r="A62" s="104">
        <f t="shared" si="9"/>
        <v>25</v>
      </c>
      <c r="B62" s="567" t="str">
        <f t="shared" si="7"/>
        <v>Tháng 08/2019</v>
      </c>
      <c r="C62" s="567"/>
      <c r="D62" s="568" t="str">
        <f t="shared" si="8"/>
        <v>Lắp đặt ống nhựa D50</v>
      </c>
      <c r="E62" s="568"/>
      <c r="F62" s="568"/>
      <c r="G62" s="568"/>
      <c r="H62" s="569">
        <f t="shared" ref="H62:H63" si="10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5"/>
        <v>43678</v>
      </c>
      <c r="P62" s="103">
        <f t="shared" si="6"/>
        <v>43708</v>
      </c>
    </row>
    <row r="63" spans="1:16" s="5" customFormat="1" ht="17.100000000000001" customHeight="1">
      <c r="A63" s="104">
        <f t="shared" si="9"/>
        <v>26</v>
      </c>
      <c r="B63" s="616" t="str">
        <f t="shared" si="7"/>
        <v>Tháng 09/2019</v>
      </c>
      <c r="C63" s="616"/>
      <c r="D63" s="652" t="str">
        <f>D61</f>
        <v>Lắp đặt ống nhựa D50</v>
      </c>
      <c r="E63" s="652"/>
      <c r="F63" s="652"/>
      <c r="G63" s="652"/>
      <c r="H63" s="615">
        <f t="shared" si="10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1">SUM(H38:I63)</f>
        <v>21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>
    <tabColor theme="0" tint="-0.14999847407452621"/>
  </sheetPr>
  <dimension ref="A1:T75"/>
  <sheetViews>
    <sheetView view="pageBreakPreview" topLeftCell="A61" zoomScaleSheetLayoutView="100" workbookViewId="0">
      <selection activeCell="A68" sqref="A68:K7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C.II.1.3. Dải phân cách giữa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275</v>
      </c>
      <c r="N5" s="245" t="str">
        <f>'PHAN KHAI'!C130</f>
        <v>Dải phân cách giữa</v>
      </c>
      <c r="Q5" s="17"/>
    </row>
    <row r="6" spans="1:20" s="16" customFormat="1" ht="15.75" customHeight="1">
      <c r="A6" s="91" t="str">
        <f>L6&amp;M6&amp;". "&amp;N6</f>
        <v>Mục C.II.1.3.1. Dải phân cách giữa BTĐS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C.II.1.3.</v>
      </c>
      <c r="M6" s="16">
        <v>1</v>
      </c>
      <c r="N6" s="245" t="str">
        <f>THKLQT!C131</f>
        <v>Dải phân cách giữa BTĐS</v>
      </c>
      <c r="Q6" s="17"/>
    </row>
    <row r="7" spans="1:20" s="178" customFormat="1" ht="18.75" customHeight="1">
      <c r="A7" s="634">
        <f>I15</f>
        <v>36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THKLQT!D131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43577</v>
      </c>
      <c r="C12" s="571" t="str">
        <f>T12</f>
        <v>Dải phân cách giữa BTĐS Phải tuyến</v>
      </c>
      <c r="D12" s="572"/>
      <c r="E12" s="573"/>
      <c r="F12" s="2">
        <f>P12</f>
        <v>18</v>
      </c>
      <c r="G12" s="1">
        <f>P12</f>
        <v>18</v>
      </c>
      <c r="H12" s="297">
        <f>P12</f>
        <v>18</v>
      </c>
      <c r="I12" s="107">
        <f>P12</f>
        <v>18</v>
      </c>
      <c r="J12" s="107">
        <f>P12</f>
        <v>18</v>
      </c>
      <c r="K12" s="603"/>
      <c r="N12" s="118"/>
      <c r="O12" s="118" t="s">
        <v>395</v>
      </c>
      <c r="P12" s="88">
        <v>18</v>
      </c>
      <c r="Q12" s="89">
        <v>43577</v>
      </c>
      <c r="R12" s="88"/>
      <c r="S12" s="88" t="e">
        <f>VLOOKUP($S$11,hamchuigoi3,M12,0)</f>
        <v>#VALUE!</v>
      </c>
      <c r="T12" s="3" t="str">
        <f t="shared" ref="T12" si="0">$N$6&amp;" "&amp;O12</f>
        <v>Dải phân cách giữa BTĐS Phải tuyến</v>
      </c>
    </row>
    <row r="13" spans="1:20" ht="14.25" outlineLevel="2">
      <c r="A13" s="81">
        <f>SUBTOTAL(103,$B$12:B13)</f>
        <v>2</v>
      </c>
      <c r="B13" s="78">
        <f>Q13</f>
        <v>43578</v>
      </c>
      <c r="C13" s="571" t="str">
        <f>T13</f>
        <v>Dải phân cách giữa BTĐS Trái tuyến</v>
      </c>
      <c r="D13" s="572"/>
      <c r="E13" s="573"/>
      <c r="F13" s="2">
        <f>P13</f>
        <v>18</v>
      </c>
      <c r="G13" s="1">
        <f>P13</f>
        <v>18</v>
      </c>
      <c r="H13" s="297">
        <f>P13</f>
        <v>18</v>
      </c>
      <c r="I13" s="107">
        <f>P13</f>
        <v>18</v>
      </c>
      <c r="J13" s="107">
        <f>P13</f>
        <v>18</v>
      </c>
      <c r="K13" s="605"/>
      <c r="N13" s="118"/>
      <c r="O13" s="118" t="s">
        <v>396</v>
      </c>
      <c r="P13" s="88">
        <v>18</v>
      </c>
      <c r="Q13" s="89">
        <v>43578</v>
      </c>
      <c r="R13" s="88"/>
      <c r="S13" s="88" t="e">
        <f>VLOOKUP($S$11,hamchuigoi3,M13,0)</f>
        <v>#VALUE!</v>
      </c>
      <c r="T13" s="3" t="str">
        <f t="shared" ref="T13" si="1">$N$6&amp;" "&amp;O13</f>
        <v>Dải phân cách giữa BTĐS Trái tuyến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ROUND(SUM(F12:F14),2)</f>
        <v>36</v>
      </c>
      <c r="G15" s="79">
        <f>ROUND(SUM(G12:G14),2)</f>
        <v>36</v>
      </c>
      <c r="H15" s="79">
        <f>ROUND(SUM(H12:H14),2)</f>
        <v>36</v>
      </c>
      <c r="I15" s="79">
        <f>ROUND(SUM(I12:I14),2)</f>
        <v>36</v>
      </c>
      <c r="J15" s="79">
        <f>ROUND(SUM(J12:J14),2)</f>
        <v>36</v>
      </c>
      <c r="K15" s="80"/>
      <c r="N15" s="118"/>
      <c r="O15" s="118"/>
      <c r="P15" s="90">
        <f>SUM(P12:P12)</f>
        <v>18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 t="s">
        <v>353</v>
      </c>
      <c r="N16" s="118" t="s">
        <v>354</v>
      </c>
      <c r="O16" s="118" t="s">
        <v>351</v>
      </c>
      <c r="P16" s="119" t="s">
        <v>352</v>
      </c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>
        <v>149.16999999999999</v>
      </c>
      <c r="N17" s="4">
        <v>149.11699999999999</v>
      </c>
      <c r="O17" s="4">
        <v>0</v>
      </c>
      <c r="P17" s="4">
        <v>0</v>
      </c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>
        <v>0</v>
      </c>
      <c r="N18" s="4">
        <v>8.4559999999999995</v>
      </c>
      <c r="O18" s="4">
        <v>10.151999999999999</v>
      </c>
      <c r="P18" s="4">
        <v>0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>
        <v>0</v>
      </c>
      <c r="N19" s="4">
        <v>0</v>
      </c>
      <c r="O19" s="4">
        <v>9.2609999999999992</v>
      </c>
      <c r="P19" s="4">
        <v>0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>
        <v>4</v>
      </c>
      <c r="N20" s="4">
        <v>4</v>
      </c>
      <c r="O20" s="4">
        <v>4</v>
      </c>
      <c r="P20" s="4">
        <v>4</v>
      </c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>
        <v>0</v>
      </c>
      <c r="N21" s="4">
        <v>0</v>
      </c>
      <c r="O21" s="4">
        <v>309</v>
      </c>
      <c r="P21" s="4">
        <v>309</v>
      </c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>
        <v>2300.7199999999998</v>
      </c>
      <c r="N22" s="4">
        <v>3002.72</v>
      </c>
      <c r="O22" s="4">
        <v>562.11</v>
      </c>
      <c r="P22" s="4">
        <v>562.11</v>
      </c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>
        <v>6369.45</v>
      </c>
      <c r="N23" s="4">
        <v>6905.47</v>
      </c>
      <c r="O23" s="4">
        <v>6119.16</v>
      </c>
      <c r="P23" s="4">
        <v>9046.5499999999993</v>
      </c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>
        <v>7896.36</v>
      </c>
      <c r="N24" s="4">
        <v>7805.84</v>
      </c>
      <c r="O24" s="4">
        <v>1921.33</v>
      </c>
      <c r="P24" s="4">
        <v>13505.69</v>
      </c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>
        <v>140</v>
      </c>
      <c r="N25" s="4">
        <v>139.6</v>
      </c>
      <c r="O25" s="4">
        <v>218.6</v>
      </c>
      <c r="P25" s="4">
        <v>209.5</v>
      </c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C.II.1.3. Dải phân cách giữa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C.II.1.3.1. Dải phân cách giữa BTĐS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36</v>
      </c>
      <c r="B34" s="640"/>
      <c r="C34" s="640"/>
      <c r="D34" s="640"/>
      <c r="E34" s="131" t="str">
        <f>E7</f>
        <v>(m)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Dải phân cách giữa BTĐS</v>
      </c>
      <c r="E38" s="624"/>
      <c r="F38" s="624"/>
      <c r="G38" s="624"/>
      <c r="H38" s="625">
        <f t="shared" ref="H38:H61" si="2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3">DATE(M38,L38,1)</f>
        <v>42948</v>
      </c>
      <c r="P38" s="103">
        <f t="shared" ref="P38:P62" si="4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5">"Tháng "&amp;IF(L39&lt;10,0&amp;L39&amp;"/"&amp;M39,L39&amp;"/"&amp;M39)</f>
        <v>Tháng 09/2017</v>
      </c>
      <c r="C39" s="567"/>
      <c r="D39" s="568" t="str">
        <f>D38</f>
        <v>Dải phân cách giữa BTĐS</v>
      </c>
      <c r="E39" s="568"/>
      <c r="F39" s="568"/>
      <c r="G39" s="568"/>
      <c r="H39" s="569">
        <f t="shared" si="2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3"/>
        <v>42979</v>
      </c>
      <c r="P39" s="103">
        <f t="shared" si="4"/>
        <v>43008</v>
      </c>
    </row>
    <row r="40" spans="1:20" s="5" customFormat="1" ht="17.100000000000001" customHeight="1">
      <c r="A40" s="104">
        <f>A39+1</f>
        <v>3</v>
      </c>
      <c r="B40" s="567" t="str">
        <f t="shared" si="5"/>
        <v>Tháng 10/2017</v>
      </c>
      <c r="C40" s="567"/>
      <c r="D40" s="568" t="str">
        <f t="shared" ref="D40:D62" si="6">D39</f>
        <v>Dải phân cách giữa BTĐS</v>
      </c>
      <c r="E40" s="568"/>
      <c r="F40" s="568"/>
      <c r="G40" s="568"/>
      <c r="H40" s="569">
        <f t="shared" si="2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3"/>
        <v>43009</v>
      </c>
      <c r="P40" s="103">
        <f t="shared" si="4"/>
        <v>43039</v>
      </c>
    </row>
    <row r="41" spans="1:20" s="5" customFormat="1" ht="17.100000000000001" customHeight="1">
      <c r="A41" s="104">
        <f t="shared" ref="A41:A63" si="7">A40+1</f>
        <v>4</v>
      </c>
      <c r="B41" s="567" t="str">
        <f t="shared" si="5"/>
        <v>Tháng 11/2017</v>
      </c>
      <c r="C41" s="567"/>
      <c r="D41" s="568" t="str">
        <f t="shared" si="6"/>
        <v>Dải phân cách giữa BTĐS</v>
      </c>
      <c r="E41" s="568"/>
      <c r="F41" s="568"/>
      <c r="G41" s="568"/>
      <c r="H41" s="569">
        <f t="shared" si="2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3"/>
        <v>43040</v>
      </c>
      <c r="P41" s="103">
        <f t="shared" si="4"/>
        <v>43069</v>
      </c>
    </row>
    <row r="42" spans="1:20" s="5" customFormat="1" ht="17.100000000000001" customHeight="1">
      <c r="A42" s="104">
        <f t="shared" si="7"/>
        <v>5</v>
      </c>
      <c r="B42" s="567" t="str">
        <f t="shared" si="5"/>
        <v>Tháng 12/2017</v>
      </c>
      <c r="C42" s="567"/>
      <c r="D42" s="568" t="str">
        <f t="shared" si="6"/>
        <v>Dải phân cách giữa BTĐS</v>
      </c>
      <c r="E42" s="568"/>
      <c r="F42" s="568"/>
      <c r="G42" s="568"/>
      <c r="H42" s="569">
        <f t="shared" si="2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3"/>
        <v>43070</v>
      </c>
      <c r="P42" s="103">
        <f t="shared" si="4"/>
        <v>43100</v>
      </c>
    </row>
    <row r="43" spans="1:20" s="5" customFormat="1" ht="17.100000000000001" customHeight="1">
      <c r="A43" s="104">
        <f t="shared" si="7"/>
        <v>6</v>
      </c>
      <c r="B43" s="567" t="str">
        <f t="shared" si="5"/>
        <v>Tháng 01/2018</v>
      </c>
      <c r="C43" s="567"/>
      <c r="D43" s="568" t="str">
        <f t="shared" si="6"/>
        <v>Dải phân cách giữa BTĐS</v>
      </c>
      <c r="E43" s="568"/>
      <c r="F43" s="568"/>
      <c r="G43" s="568"/>
      <c r="H43" s="569">
        <f t="shared" si="2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3"/>
        <v>43101</v>
      </c>
      <c r="P43" s="103">
        <f t="shared" si="4"/>
        <v>43131</v>
      </c>
    </row>
    <row r="44" spans="1:20" s="5" customFormat="1" ht="17.100000000000001" customHeight="1">
      <c r="A44" s="104">
        <f t="shared" si="7"/>
        <v>7</v>
      </c>
      <c r="B44" s="567" t="str">
        <f t="shared" si="5"/>
        <v>Tháng 02/2018</v>
      </c>
      <c r="C44" s="567"/>
      <c r="D44" s="568" t="str">
        <f t="shared" si="6"/>
        <v>Dải phân cách giữa BTĐS</v>
      </c>
      <c r="E44" s="568"/>
      <c r="F44" s="568"/>
      <c r="G44" s="568"/>
      <c r="H44" s="569">
        <f t="shared" si="2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3"/>
        <v>43132</v>
      </c>
      <c r="P44" s="103">
        <f t="shared" si="4"/>
        <v>43159</v>
      </c>
    </row>
    <row r="45" spans="1:20" s="5" customFormat="1" ht="17.100000000000001" customHeight="1">
      <c r="A45" s="104">
        <f t="shared" si="7"/>
        <v>8</v>
      </c>
      <c r="B45" s="567" t="str">
        <f t="shared" si="5"/>
        <v>Tháng 03/2018</v>
      </c>
      <c r="C45" s="567"/>
      <c r="D45" s="568" t="str">
        <f t="shared" si="6"/>
        <v>Dải phân cách giữa BTĐS</v>
      </c>
      <c r="E45" s="568"/>
      <c r="F45" s="568"/>
      <c r="G45" s="568"/>
      <c r="H45" s="569">
        <f t="shared" si="2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3"/>
        <v>43160</v>
      </c>
      <c r="P45" s="103">
        <f t="shared" si="4"/>
        <v>43190</v>
      </c>
    </row>
    <row r="46" spans="1:20" s="5" customFormat="1" ht="17.100000000000001" customHeight="1">
      <c r="A46" s="104">
        <f t="shared" si="7"/>
        <v>9</v>
      </c>
      <c r="B46" s="567" t="str">
        <f t="shared" si="5"/>
        <v>Tháng 04/2018</v>
      </c>
      <c r="C46" s="567"/>
      <c r="D46" s="568" t="str">
        <f t="shared" si="6"/>
        <v>Dải phân cách giữa BTĐS</v>
      </c>
      <c r="E46" s="568"/>
      <c r="F46" s="568"/>
      <c r="G46" s="568"/>
      <c r="H46" s="569">
        <f t="shared" si="2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3"/>
        <v>43191</v>
      </c>
      <c r="P46" s="103">
        <f t="shared" si="4"/>
        <v>43220</v>
      </c>
    </row>
    <row r="47" spans="1:20" s="5" customFormat="1" ht="17.100000000000001" customHeight="1">
      <c r="A47" s="104">
        <f t="shared" si="7"/>
        <v>10</v>
      </c>
      <c r="B47" s="567" t="str">
        <f t="shared" si="5"/>
        <v>Tháng 05/2018</v>
      </c>
      <c r="C47" s="567"/>
      <c r="D47" s="568" t="str">
        <f t="shared" si="6"/>
        <v>Dải phân cách giữa BTĐS</v>
      </c>
      <c r="E47" s="568"/>
      <c r="F47" s="568"/>
      <c r="G47" s="568"/>
      <c r="H47" s="569">
        <f t="shared" si="2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3"/>
        <v>43221</v>
      </c>
      <c r="P47" s="103">
        <f t="shared" si="4"/>
        <v>43251</v>
      </c>
    </row>
    <row r="48" spans="1:20" s="5" customFormat="1" ht="17.100000000000001" customHeight="1">
      <c r="A48" s="104">
        <f t="shared" si="7"/>
        <v>11</v>
      </c>
      <c r="B48" s="567" t="str">
        <f t="shared" si="5"/>
        <v>Tháng 06/2018</v>
      </c>
      <c r="C48" s="567"/>
      <c r="D48" s="568" t="str">
        <f t="shared" si="6"/>
        <v>Dải phân cách giữa BTĐS</v>
      </c>
      <c r="E48" s="568"/>
      <c r="F48" s="568"/>
      <c r="G48" s="568"/>
      <c r="H48" s="569">
        <f t="shared" si="2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3"/>
        <v>43252</v>
      </c>
      <c r="P48" s="103">
        <f t="shared" si="4"/>
        <v>43281</v>
      </c>
    </row>
    <row r="49" spans="1:16" s="5" customFormat="1" ht="17.100000000000001" customHeight="1">
      <c r="A49" s="104">
        <f t="shared" si="7"/>
        <v>12</v>
      </c>
      <c r="B49" s="567" t="str">
        <f t="shared" si="5"/>
        <v>Tháng 07/2018</v>
      </c>
      <c r="C49" s="567"/>
      <c r="D49" s="568" t="str">
        <f t="shared" si="6"/>
        <v>Dải phân cách giữa BTĐS</v>
      </c>
      <c r="E49" s="568"/>
      <c r="F49" s="568"/>
      <c r="G49" s="568"/>
      <c r="H49" s="569">
        <f t="shared" si="2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3"/>
        <v>43282</v>
      </c>
      <c r="P49" s="103">
        <f t="shared" si="4"/>
        <v>43312</v>
      </c>
    </row>
    <row r="50" spans="1:16" s="5" customFormat="1" ht="17.100000000000001" customHeight="1">
      <c r="A50" s="104">
        <f t="shared" si="7"/>
        <v>13</v>
      </c>
      <c r="B50" s="567" t="str">
        <f t="shared" si="5"/>
        <v>Tháng 08/2018</v>
      </c>
      <c r="C50" s="567"/>
      <c r="D50" s="568" t="str">
        <f t="shared" si="6"/>
        <v>Dải phân cách giữa BTĐS</v>
      </c>
      <c r="E50" s="568"/>
      <c r="F50" s="568"/>
      <c r="G50" s="568"/>
      <c r="H50" s="569">
        <f t="shared" si="2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3"/>
        <v>43313</v>
      </c>
      <c r="P50" s="103">
        <f t="shared" si="4"/>
        <v>43343</v>
      </c>
    </row>
    <row r="51" spans="1:16" s="5" customFormat="1" ht="17.100000000000001" customHeight="1">
      <c r="A51" s="104">
        <f t="shared" si="7"/>
        <v>14</v>
      </c>
      <c r="B51" s="567" t="str">
        <f t="shared" si="5"/>
        <v>Tháng 09/2018</v>
      </c>
      <c r="C51" s="567"/>
      <c r="D51" s="568" t="str">
        <f t="shared" si="6"/>
        <v>Dải phân cách giữa BTĐS</v>
      </c>
      <c r="E51" s="568"/>
      <c r="F51" s="568"/>
      <c r="G51" s="568"/>
      <c r="H51" s="569">
        <f t="shared" si="2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3"/>
        <v>43344</v>
      </c>
      <c r="P51" s="103">
        <f t="shared" si="4"/>
        <v>43373</v>
      </c>
    </row>
    <row r="52" spans="1:16" s="5" customFormat="1" ht="17.100000000000001" customHeight="1">
      <c r="A52" s="104">
        <f t="shared" si="7"/>
        <v>15</v>
      </c>
      <c r="B52" s="567" t="str">
        <f t="shared" si="5"/>
        <v>Tháng 10/2018</v>
      </c>
      <c r="C52" s="567"/>
      <c r="D52" s="568" t="str">
        <f t="shared" si="6"/>
        <v>Dải phân cách giữa BTĐS</v>
      </c>
      <c r="E52" s="568"/>
      <c r="F52" s="568"/>
      <c r="G52" s="568"/>
      <c r="H52" s="569">
        <f t="shared" si="2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3"/>
        <v>43374</v>
      </c>
      <c r="P52" s="103">
        <f t="shared" si="4"/>
        <v>43404</v>
      </c>
    </row>
    <row r="53" spans="1:16" s="5" customFormat="1" ht="17.100000000000001" customHeight="1">
      <c r="A53" s="104">
        <f t="shared" si="7"/>
        <v>16</v>
      </c>
      <c r="B53" s="567" t="str">
        <f t="shared" si="5"/>
        <v>Tháng 11/2018</v>
      </c>
      <c r="C53" s="567"/>
      <c r="D53" s="568" t="str">
        <f t="shared" si="6"/>
        <v>Dải phân cách giữa BTĐS</v>
      </c>
      <c r="E53" s="568"/>
      <c r="F53" s="568"/>
      <c r="G53" s="568"/>
      <c r="H53" s="569">
        <f t="shared" si="2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3"/>
        <v>43405</v>
      </c>
      <c r="P53" s="103">
        <f t="shared" si="4"/>
        <v>43434</v>
      </c>
    </row>
    <row r="54" spans="1:16" s="5" customFormat="1" ht="17.100000000000001" customHeight="1">
      <c r="A54" s="104">
        <f t="shared" si="7"/>
        <v>17</v>
      </c>
      <c r="B54" s="567" t="str">
        <f t="shared" si="5"/>
        <v>Tháng 12/2018</v>
      </c>
      <c r="C54" s="567"/>
      <c r="D54" s="568" t="str">
        <f t="shared" si="6"/>
        <v>Dải phân cách giữa BTĐS</v>
      </c>
      <c r="E54" s="568"/>
      <c r="F54" s="568"/>
      <c r="G54" s="568"/>
      <c r="H54" s="569">
        <f t="shared" si="2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3"/>
        <v>43435</v>
      </c>
      <c r="P54" s="103">
        <f t="shared" si="4"/>
        <v>43465</v>
      </c>
    </row>
    <row r="55" spans="1:16" s="5" customFormat="1" ht="17.100000000000001" customHeight="1">
      <c r="A55" s="104">
        <f t="shared" si="7"/>
        <v>18</v>
      </c>
      <c r="B55" s="567" t="str">
        <f t="shared" si="5"/>
        <v>Tháng 01/2019</v>
      </c>
      <c r="C55" s="567"/>
      <c r="D55" s="568" t="str">
        <f t="shared" si="6"/>
        <v>Dải phân cách giữa BTĐS</v>
      </c>
      <c r="E55" s="568"/>
      <c r="F55" s="568"/>
      <c r="G55" s="568"/>
      <c r="H55" s="569">
        <f t="shared" si="2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3"/>
        <v>43466</v>
      </c>
      <c r="P55" s="103">
        <f t="shared" si="4"/>
        <v>43496</v>
      </c>
    </row>
    <row r="56" spans="1:16" s="5" customFormat="1" ht="17.100000000000001" customHeight="1">
      <c r="A56" s="104">
        <f t="shared" si="7"/>
        <v>19</v>
      </c>
      <c r="B56" s="567" t="str">
        <f t="shared" si="5"/>
        <v>Tháng 02/2019</v>
      </c>
      <c r="C56" s="567"/>
      <c r="D56" s="568" t="str">
        <f t="shared" si="6"/>
        <v>Dải phân cách giữa BTĐS</v>
      </c>
      <c r="E56" s="568"/>
      <c r="F56" s="568"/>
      <c r="G56" s="568"/>
      <c r="H56" s="569">
        <f t="shared" si="2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3"/>
        <v>43497</v>
      </c>
      <c r="P56" s="103">
        <f t="shared" si="4"/>
        <v>43524</v>
      </c>
    </row>
    <row r="57" spans="1:16" s="5" customFormat="1" ht="17.100000000000001" customHeight="1">
      <c r="A57" s="104">
        <f t="shared" si="7"/>
        <v>20</v>
      </c>
      <c r="B57" s="567" t="str">
        <f t="shared" si="5"/>
        <v>Tháng 03/2019</v>
      </c>
      <c r="C57" s="567"/>
      <c r="D57" s="568" t="str">
        <f t="shared" si="6"/>
        <v>Dải phân cách giữa BTĐS</v>
      </c>
      <c r="E57" s="568"/>
      <c r="F57" s="568"/>
      <c r="G57" s="568"/>
      <c r="H57" s="569">
        <f t="shared" si="2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3"/>
        <v>43525</v>
      </c>
      <c r="P57" s="103">
        <f t="shared" si="4"/>
        <v>43555</v>
      </c>
    </row>
    <row r="58" spans="1:16" s="5" customFormat="1" ht="17.100000000000001" customHeight="1">
      <c r="A58" s="104">
        <f t="shared" si="7"/>
        <v>21</v>
      </c>
      <c r="B58" s="567" t="str">
        <f t="shared" si="5"/>
        <v>Tháng 04/2019</v>
      </c>
      <c r="C58" s="567"/>
      <c r="D58" s="568" t="str">
        <f t="shared" si="6"/>
        <v>Dải phân cách giữa BTĐS</v>
      </c>
      <c r="E58" s="568"/>
      <c r="F58" s="568"/>
      <c r="G58" s="568"/>
      <c r="H58" s="569">
        <f t="shared" si="2"/>
        <v>36</v>
      </c>
      <c r="I58" s="569"/>
      <c r="J58" s="567"/>
      <c r="K58" s="570"/>
      <c r="L58">
        <v>4</v>
      </c>
      <c r="M58" s="101">
        <v>2019</v>
      </c>
      <c r="N58"/>
      <c r="O58" s="103">
        <f t="shared" si="3"/>
        <v>43556</v>
      </c>
      <c r="P58" s="103">
        <f t="shared" si="4"/>
        <v>43585</v>
      </c>
    </row>
    <row r="59" spans="1:16" s="5" customFormat="1" ht="17.100000000000001" customHeight="1">
      <c r="A59" s="104">
        <f t="shared" si="7"/>
        <v>22</v>
      </c>
      <c r="B59" s="567" t="str">
        <f t="shared" si="5"/>
        <v>Tháng 05/2019</v>
      </c>
      <c r="C59" s="567"/>
      <c r="D59" s="568" t="str">
        <f t="shared" si="6"/>
        <v>Dải phân cách giữa BTĐS</v>
      </c>
      <c r="E59" s="568"/>
      <c r="F59" s="568"/>
      <c r="G59" s="568"/>
      <c r="H59" s="569">
        <f t="shared" si="2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3"/>
        <v>43586</v>
      </c>
      <c r="P59" s="103">
        <f t="shared" si="4"/>
        <v>43616</v>
      </c>
    </row>
    <row r="60" spans="1:16" s="5" customFormat="1" ht="17.100000000000001" customHeight="1">
      <c r="A60" s="104">
        <f t="shared" si="7"/>
        <v>23</v>
      </c>
      <c r="B60" s="567" t="str">
        <f t="shared" si="5"/>
        <v>Tháng 06/2019</v>
      </c>
      <c r="C60" s="567"/>
      <c r="D60" s="568" t="str">
        <f t="shared" si="6"/>
        <v>Dải phân cách giữa BTĐS</v>
      </c>
      <c r="E60" s="568"/>
      <c r="F60" s="568"/>
      <c r="G60" s="568"/>
      <c r="H60" s="569">
        <f t="shared" si="2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3"/>
        <v>43617</v>
      </c>
      <c r="P60" s="103">
        <f t="shared" si="4"/>
        <v>43646</v>
      </c>
    </row>
    <row r="61" spans="1:16" s="5" customFormat="1" ht="17.100000000000001" customHeight="1">
      <c r="A61" s="104">
        <f t="shared" si="7"/>
        <v>24</v>
      </c>
      <c r="B61" s="567" t="str">
        <f t="shared" si="5"/>
        <v>Tháng 07/2019</v>
      </c>
      <c r="C61" s="567"/>
      <c r="D61" s="568" t="str">
        <f t="shared" si="6"/>
        <v>Dải phân cách giữa BTĐS</v>
      </c>
      <c r="E61" s="568"/>
      <c r="F61" s="568"/>
      <c r="G61" s="568"/>
      <c r="H61" s="569">
        <f t="shared" si="2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3"/>
        <v>43647</v>
      </c>
      <c r="P61" s="103">
        <f t="shared" si="4"/>
        <v>43677</v>
      </c>
    </row>
    <row r="62" spans="1:16" s="5" customFormat="1" ht="17.100000000000001" customHeight="1">
      <c r="A62" s="104">
        <f t="shared" si="7"/>
        <v>25</v>
      </c>
      <c r="B62" s="567" t="str">
        <f t="shared" si="5"/>
        <v>Tháng 08/2019</v>
      </c>
      <c r="C62" s="567"/>
      <c r="D62" s="568" t="str">
        <f t="shared" si="6"/>
        <v>Dải phân cách giữa BTĐS</v>
      </c>
      <c r="E62" s="568"/>
      <c r="F62" s="568"/>
      <c r="G62" s="568"/>
      <c r="H62" s="569">
        <f t="shared" ref="H62:H63" si="8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3"/>
        <v>43678</v>
      </c>
      <c r="P62" s="103">
        <f t="shared" si="4"/>
        <v>43708</v>
      </c>
    </row>
    <row r="63" spans="1:16" s="5" customFormat="1" ht="17.100000000000001" customHeight="1">
      <c r="A63" s="104">
        <f t="shared" si="7"/>
        <v>26</v>
      </c>
      <c r="B63" s="616" t="str">
        <f t="shared" si="5"/>
        <v>Tháng 09/2019</v>
      </c>
      <c r="C63" s="616"/>
      <c r="D63" s="652" t="str">
        <f>D61</f>
        <v>Dải phân cách giữa BTĐS</v>
      </c>
      <c r="E63" s="652"/>
      <c r="F63" s="652"/>
      <c r="G63" s="652"/>
      <c r="H63" s="615">
        <f t="shared" si="8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9">SUM(H38:I63)</f>
        <v>36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C14:E14"/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B39:C39"/>
    <mergeCell ref="D39:G39"/>
    <mergeCell ref="H39:I39"/>
    <mergeCell ref="J39:K39"/>
    <mergeCell ref="B40:C40"/>
    <mergeCell ref="D40:G40"/>
    <mergeCell ref="H40:I40"/>
    <mergeCell ref="J40:K40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63:C63"/>
    <mergeCell ref="D63:G63"/>
    <mergeCell ref="H63:I63"/>
    <mergeCell ref="J63:K63"/>
    <mergeCell ref="A68:E74"/>
    <mergeCell ref="F68:K74"/>
    <mergeCell ref="C13:E13"/>
    <mergeCell ref="A64:G64"/>
    <mergeCell ref="H64:I64"/>
    <mergeCell ref="J64:K64"/>
    <mergeCell ref="A66:E66"/>
    <mergeCell ref="F66:K66"/>
    <mergeCell ref="A67:E67"/>
    <mergeCell ref="F67:K67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>
    <tabColor theme="0" tint="-0.14999847407452621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C.II.1.4. Tường chắn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280</v>
      </c>
      <c r="N5" s="245" t="str">
        <f>'PHAN KHAI'!C134</f>
        <v>Tường chắn</v>
      </c>
      <c r="Q5" s="17"/>
    </row>
    <row r="6" spans="1:20" s="16" customFormat="1" ht="15.75" customHeight="1">
      <c r="A6" s="91" t="str">
        <f>L6&amp;M6&amp;". "&amp;N6</f>
        <v xml:space="preserve">Mục C.II.1.4.1. Đào đất 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C.II.1.4.</v>
      </c>
      <c r="M6" s="16">
        <v>1</v>
      </c>
      <c r="N6" s="245" t="str">
        <f>THKLQT!C135</f>
        <v xml:space="preserve">Đào đất </v>
      </c>
      <c r="Q6" s="17"/>
    </row>
    <row r="7" spans="1:20" s="178" customFormat="1" ht="18.75" customHeight="1">
      <c r="A7" s="634">
        <f>I15</f>
        <v>267.97000000000003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THKLQT!D135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v>43568</v>
      </c>
      <c r="C12" s="571" t="str">
        <f>T12</f>
        <v>Đào đất  A1</v>
      </c>
      <c r="D12" s="572"/>
      <c r="E12" s="573"/>
      <c r="F12" s="2">
        <f>'[6]TONG KL '!$G$36</f>
        <v>140.07</v>
      </c>
      <c r="G12" s="1">
        <v>140.07</v>
      </c>
      <c r="H12" s="295">
        <f>MIN(F12:G12)</f>
        <v>140.07</v>
      </c>
      <c r="I12" s="107">
        <f>H12</f>
        <v>140.07</v>
      </c>
      <c r="J12" s="107">
        <f>P12</f>
        <v>140.04</v>
      </c>
      <c r="K12" s="82"/>
      <c r="N12" s="118"/>
      <c r="O12" s="118" t="s">
        <v>349</v>
      </c>
      <c r="P12" s="88">
        <v>140.04</v>
      </c>
      <c r="Q12" s="89">
        <v>43622</v>
      </c>
      <c r="R12" s="88"/>
      <c r="S12" s="88" t="e">
        <f>VLOOKUP($S$11,hamchuigoi3,M12,0)</f>
        <v>#VALUE!</v>
      </c>
      <c r="T12" s="3" t="str">
        <f t="shared" ref="T12:T13" si="0">$N$6&amp;" "&amp;O12</f>
        <v>Đào đất  A1</v>
      </c>
    </row>
    <row r="13" spans="1:20" ht="14.25" outlineLevel="2">
      <c r="A13" s="81">
        <f>SUBTOTAL(103,$B$12:B13)</f>
        <v>2</v>
      </c>
      <c r="B13" s="78">
        <v>43571</v>
      </c>
      <c r="C13" s="571" t="str">
        <f>T13</f>
        <v>Đào đất  A2</v>
      </c>
      <c r="D13" s="572"/>
      <c r="E13" s="573"/>
      <c r="F13" s="2">
        <f>'[6]TONG KL '!$H$36</f>
        <v>127.9</v>
      </c>
      <c r="G13" s="1">
        <v>127.9</v>
      </c>
      <c r="H13" s="295">
        <f>MIN(F13:G13)</f>
        <v>127.9</v>
      </c>
      <c r="I13" s="107">
        <f>H13</f>
        <v>127.9</v>
      </c>
      <c r="J13" s="107">
        <f>P13</f>
        <v>127.9</v>
      </c>
      <c r="K13" s="82"/>
      <c r="N13" s="118"/>
      <c r="O13" s="118" t="s">
        <v>348</v>
      </c>
      <c r="P13" s="88">
        <v>127.9</v>
      </c>
      <c r="Q13" s="89">
        <v>43617</v>
      </c>
      <c r="R13" s="88"/>
      <c r="S13" s="88" t="e">
        <f>VLOOKUP($S$11,hamchuigoi3,M13,0)</f>
        <v>#VALUE!</v>
      </c>
      <c r="T13" s="3" t="str">
        <f t="shared" si="0"/>
        <v>Đào đất 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'!$I$36</f>
        <v>267.97000000000003</v>
      </c>
      <c r="G15" s="79">
        <f>ROUND(SUM(G12:G14),2)</f>
        <v>267.97000000000003</v>
      </c>
      <c r="H15" s="79">
        <f>ROUND(SUM(H12:H14),2)</f>
        <v>267.97000000000003</v>
      </c>
      <c r="I15" s="79">
        <f>ROUND(SUM(I12:I14),2)</f>
        <v>267.97000000000003</v>
      </c>
      <c r="J15" s="79">
        <f>ROUND(SUM(J12:J14),2)</f>
        <v>267.94</v>
      </c>
      <c r="K15" s="80"/>
      <c r="N15" s="118"/>
      <c r="O15" s="118"/>
      <c r="P15" s="90">
        <f>SUM(P12:P12)</f>
        <v>140.04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C.II.1.4. Tường chắn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 xml:space="preserve">Mục C.II.1.4.1. Đào đất 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267.97000000000003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 xml:space="preserve">Đào đất 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 xml:space="preserve">Đào đất 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 xml:space="preserve">Đào đất 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 xml:space="preserve">Đào đất 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 xml:space="preserve">Đào đất 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 xml:space="preserve">Đào đất 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 xml:space="preserve">Đào đất 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 xml:space="preserve">Đào đất 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 xml:space="preserve">Đào đất 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 xml:space="preserve">Đào đất 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 xml:space="preserve">Đào đất 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 xml:space="preserve">Đào đất 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 xml:space="preserve">Đào đất 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 xml:space="preserve">Đào đất 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 xml:space="preserve">Đào đất 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 xml:space="preserve">Đào đất 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 xml:space="preserve">Đào đất 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 xml:space="preserve">Đào đất 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 xml:space="preserve">Đào đất 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 xml:space="preserve">Đào đất 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 xml:space="preserve">Đào đất </v>
      </c>
      <c r="E58" s="568"/>
      <c r="F58" s="568"/>
      <c r="G58" s="568"/>
      <c r="H58" s="569">
        <f t="shared" si="1"/>
        <v>267.97000000000003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 xml:space="preserve">Đào đất 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 xml:space="preserve">Đào đất 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 xml:space="preserve">Đào đất 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 xml:space="preserve">Đào đất </v>
      </c>
      <c r="E62" s="568"/>
      <c r="F62" s="568"/>
      <c r="G62" s="568"/>
      <c r="H62" s="569">
        <f t="shared" ref="H62:H63" si="7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 xml:space="preserve">Đào đất </v>
      </c>
      <c r="E63" s="652"/>
      <c r="F63" s="652"/>
      <c r="G63" s="652"/>
      <c r="H63" s="615">
        <f t="shared" si="7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8">SUM(H38:I63)</f>
        <v>267.97000000000003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>
    <tabColor theme="0" tint="-0.14999847407452621"/>
  </sheetPr>
  <dimension ref="A1:T93"/>
  <sheetViews>
    <sheetView topLeftCell="A56" zoomScaleSheetLayoutView="100" workbookViewId="0">
      <selection activeCell="H78" sqref="H78:I78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C.II.1.4. Tường chắn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280</v>
      </c>
      <c r="N5" s="245" t="str">
        <f>'PHAN KHAI'!C134</f>
        <v>Tường chắn</v>
      </c>
      <c r="Q5" s="17"/>
    </row>
    <row r="6" spans="1:20" s="16" customFormat="1" ht="15.75" customHeight="1">
      <c r="A6" s="91" t="str">
        <f>L6&amp;M6&amp;". "&amp;N6</f>
        <v>Mục C.II.1.4.2. Đắp đất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C.II.1.4.</v>
      </c>
      <c r="M6" s="16">
        <v>2</v>
      </c>
      <c r="N6" s="245" t="str">
        <f>THKLQT!C136</f>
        <v>Đắp đất</v>
      </c>
      <c r="Q6" s="17"/>
    </row>
    <row r="7" spans="1:20" s="178" customFormat="1" ht="18.75" customHeight="1">
      <c r="A7" s="634">
        <f>I33</f>
        <v>114.05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THKLQT!D136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43606</v>
      </c>
      <c r="C12" s="571" t="str">
        <f>T12</f>
        <v>Đắp đất A1 lớp 1</v>
      </c>
      <c r="D12" s="572"/>
      <c r="E12" s="573"/>
      <c r="F12" s="2"/>
      <c r="G12" s="1">
        <f>P12</f>
        <v>2.5819999999999999</v>
      </c>
      <c r="H12" s="381">
        <f>P12</f>
        <v>2.5819999999999999</v>
      </c>
      <c r="I12" s="107">
        <f t="shared" ref="I12:I30" si="0">MIN(F12:H12)</f>
        <v>2.5819999999999999</v>
      </c>
      <c r="J12" s="107">
        <f>P12</f>
        <v>2.5819999999999999</v>
      </c>
      <c r="K12" s="700" t="s">
        <v>694</v>
      </c>
      <c r="L12" s="4" t="s">
        <v>784</v>
      </c>
      <c r="N12" s="118"/>
      <c r="O12" s="118" t="s">
        <v>793</v>
      </c>
      <c r="P12" s="88">
        <v>2.5819999999999999</v>
      </c>
      <c r="Q12" s="89">
        <v>43606</v>
      </c>
      <c r="R12" s="88"/>
      <c r="S12" s="88" t="e">
        <f t="shared" ref="S12:S31" si="1">VLOOKUP($S$11,hamchuigoi3,M12,0)</f>
        <v>#VALUE!</v>
      </c>
      <c r="T12" s="3" t="str">
        <f t="shared" ref="T12" si="2">$N$6&amp;" "&amp;O12</f>
        <v>Đắp đất A1 lớp 1</v>
      </c>
    </row>
    <row r="13" spans="1:20" ht="14.25" outlineLevel="2">
      <c r="A13" s="81">
        <f>SUBTOTAL(103,$B$12:B13)</f>
        <v>2</v>
      </c>
      <c r="B13" s="78">
        <f t="shared" ref="B13:B21" si="3">Q13</f>
        <v>43607</v>
      </c>
      <c r="C13" s="571" t="str">
        <f t="shared" ref="C13:C21" si="4">T13</f>
        <v>Đắp đất A1 lớp 2</v>
      </c>
      <c r="D13" s="572"/>
      <c r="E13" s="573"/>
      <c r="F13" s="2"/>
      <c r="G13" s="1">
        <f t="shared" ref="G13:G21" si="5">P13</f>
        <v>3.4390000000000001</v>
      </c>
      <c r="H13" s="381">
        <f t="shared" ref="H13:H21" si="6">P13</f>
        <v>3.4390000000000001</v>
      </c>
      <c r="I13" s="107">
        <f t="shared" si="0"/>
        <v>3.4390000000000001</v>
      </c>
      <c r="J13" s="107">
        <f t="shared" ref="J13:J21" si="7">P13</f>
        <v>3.4390000000000001</v>
      </c>
      <c r="K13" s="701"/>
      <c r="L13" s="4" t="s">
        <v>784</v>
      </c>
      <c r="N13" s="118"/>
      <c r="O13" s="118" t="s">
        <v>794</v>
      </c>
      <c r="P13" s="88">
        <v>3.4390000000000001</v>
      </c>
      <c r="Q13" s="89">
        <f>+Q12+1</f>
        <v>43607</v>
      </c>
      <c r="R13" s="88"/>
      <c r="S13" s="88" t="e">
        <f t="shared" si="1"/>
        <v>#VALUE!</v>
      </c>
      <c r="T13" s="3" t="str">
        <f t="shared" ref="T13:T22" si="8">$N$6&amp;" "&amp;O13</f>
        <v>Đắp đất A1 lớp 2</v>
      </c>
    </row>
    <row r="14" spans="1:20" ht="14.25" outlineLevel="2">
      <c r="A14" s="81">
        <f>SUBTOTAL(103,$B$12:B14)</f>
        <v>3</v>
      </c>
      <c r="B14" s="78">
        <f t="shared" si="3"/>
        <v>43608</v>
      </c>
      <c r="C14" s="571" t="str">
        <f t="shared" si="4"/>
        <v>Đắp đất A1 lớp 3</v>
      </c>
      <c r="D14" s="572"/>
      <c r="E14" s="573"/>
      <c r="F14" s="2"/>
      <c r="G14" s="1">
        <f t="shared" si="5"/>
        <v>4.141</v>
      </c>
      <c r="H14" s="381">
        <f t="shared" si="6"/>
        <v>4.141</v>
      </c>
      <c r="I14" s="107">
        <f t="shared" si="0"/>
        <v>4.141</v>
      </c>
      <c r="J14" s="107">
        <f t="shared" si="7"/>
        <v>4.141</v>
      </c>
      <c r="K14" s="701"/>
      <c r="L14" s="4" t="s">
        <v>784</v>
      </c>
      <c r="N14" s="118"/>
      <c r="O14" s="118" t="s">
        <v>795</v>
      </c>
      <c r="P14" s="88">
        <v>4.141</v>
      </c>
      <c r="Q14" s="89">
        <f>+Q13+1</f>
        <v>43608</v>
      </c>
      <c r="R14" s="88"/>
      <c r="S14" s="88" t="e">
        <f t="shared" si="1"/>
        <v>#VALUE!</v>
      </c>
      <c r="T14" s="3" t="str">
        <f t="shared" si="8"/>
        <v>Đắp đất A1 lớp 3</v>
      </c>
    </row>
    <row r="15" spans="1:20" ht="14.25" outlineLevel="2">
      <c r="A15" s="81">
        <f>SUBTOTAL(103,$B$12:B15)</f>
        <v>4</v>
      </c>
      <c r="B15" s="78">
        <f t="shared" si="3"/>
        <v>43609</v>
      </c>
      <c r="C15" s="571" t="str">
        <f t="shared" si="4"/>
        <v>Đắp đất A1 lớp 4</v>
      </c>
      <c r="D15" s="572"/>
      <c r="E15" s="573"/>
      <c r="F15" s="2"/>
      <c r="G15" s="1">
        <f t="shared" si="5"/>
        <v>5.1319999999999997</v>
      </c>
      <c r="H15" s="381">
        <f t="shared" si="6"/>
        <v>5.1319999999999997</v>
      </c>
      <c r="I15" s="107">
        <f t="shared" si="0"/>
        <v>5.1319999999999997</v>
      </c>
      <c r="J15" s="107">
        <f t="shared" si="7"/>
        <v>5.1319999999999997</v>
      </c>
      <c r="K15" s="701"/>
      <c r="L15" s="4" t="s">
        <v>784</v>
      </c>
      <c r="N15" s="118"/>
      <c r="O15" s="118" t="s">
        <v>796</v>
      </c>
      <c r="P15" s="88">
        <v>5.1319999999999997</v>
      </c>
      <c r="Q15" s="89">
        <f>+Q14+1</f>
        <v>43609</v>
      </c>
      <c r="R15" s="88"/>
      <c r="S15" s="88" t="e">
        <f t="shared" si="1"/>
        <v>#VALUE!</v>
      </c>
      <c r="T15" s="3" t="str">
        <f t="shared" si="8"/>
        <v>Đắp đất A1 lớp 4</v>
      </c>
    </row>
    <row r="16" spans="1:20" ht="14.25" outlineLevel="2">
      <c r="A16" s="81">
        <f>SUBTOTAL(103,$B$12:B16)</f>
        <v>5</v>
      </c>
      <c r="B16" s="78">
        <f t="shared" si="3"/>
        <v>43610</v>
      </c>
      <c r="C16" s="571" t="str">
        <f t="shared" si="4"/>
        <v>Đắp đất A1 lớp 5</v>
      </c>
      <c r="D16" s="572"/>
      <c r="E16" s="573"/>
      <c r="F16" s="2"/>
      <c r="G16" s="1">
        <f t="shared" si="5"/>
        <v>5.6719999999999997</v>
      </c>
      <c r="H16" s="381">
        <f t="shared" si="6"/>
        <v>5.6719999999999997</v>
      </c>
      <c r="I16" s="107">
        <f t="shared" si="0"/>
        <v>5.6719999999999997</v>
      </c>
      <c r="J16" s="107">
        <f t="shared" si="7"/>
        <v>5.6719999999999997</v>
      </c>
      <c r="K16" s="701"/>
      <c r="L16" s="4" t="s">
        <v>784</v>
      </c>
      <c r="N16" s="118"/>
      <c r="O16" s="118" t="s">
        <v>797</v>
      </c>
      <c r="P16" s="88">
        <v>5.6719999999999997</v>
      </c>
      <c r="Q16" s="89">
        <f t="shared" ref="Q16:Q21" si="9">+Q15+1</f>
        <v>43610</v>
      </c>
      <c r="R16" s="88"/>
      <c r="S16" s="88" t="e">
        <f t="shared" si="1"/>
        <v>#VALUE!</v>
      </c>
      <c r="T16" s="3" t="str">
        <f t="shared" si="8"/>
        <v>Đắp đất A1 lớp 5</v>
      </c>
    </row>
    <row r="17" spans="1:20" ht="14.25" outlineLevel="2">
      <c r="A17" s="81">
        <f>SUBTOTAL(103,$B$12:B17)</f>
        <v>6</v>
      </c>
      <c r="B17" s="78">
        <f t="shared" si="3"/>
        <v>43611</v>
      </c>
      <c r="C17" s="571" t="str">
        <f t="shared" si="4"/>
        <v>Đắp đất A1 lớp 6</v>
      </c>
      <c r="D17" s="572"/>
      <c r="E17" s="573"/>
      <c r="F17" s="2"/>
      <c r="G17" s="1">
        <f t="shared" si="5"/>
        <v>6.2119999999999997</v>
      </c>
      <c r="H17" s="381">
        <f t="shared" si="6"/>
        <v>6.2119999999999997</v>
      </c>
      <c r="I17" s="107">
        <f t="shared" si="0"/>
        <v>6.2119999999999997</v>
      </c>
      <c r="J17" s="107">
        <f t="shared" si="7"/>
        <v>6.2119999999999997</v>
      </c>
      <c r="K17" s="701"/>
      <c r="L17" s="4" t="s">
        <v>784</v>
      </c>
      <c r="N17" s="118"/>
      <c r="O17" s="118" t="s">
        <v>798</v>
      </c>
      <c r="P17" s="88">
        <v>6.2119999999999997</v>
      </c>
      <c r="Q17" s="89">
        <f t="shared" si="9"/>
        <v>43611</v>
      </c>
      <c r="R17" s="88"/>
      <c r="S17" s="88" t="e">
        <f t="shared" si="1"/>
        <v>#VALUE!</v>
      </c>
      <c r="T17" s="3" t="str">
        <f t="shared" si="8"/>
        <v>Đắp đất A1 lớp 6</v>
      </c>
    </row>
    <row r="18" spans="1:20" ht="14.25" outlineLevel="2">
      <c r="A18" s="81">
        <f>SUBTOTAL(103,$B$12:B18)</f>
        <v>7</v>
      </c>
      <c r="B18" s="78">
        <f t="shared" si="3"/>
        <v>43612</v>
      </c>
      <c r="C18" s="571" t="str">
        <f t="shared" si="4"/>
        <v>Đắp đất A1 lớp 7</v>
      </c>
      <c r="D18" s="572"/>
      <c r="E18" s="573"/>
      <c r="F18" s="2"/>
      <c r="G18" s="1">
        <f t="shared" si="5"/>
        <v>6.7519999999999998</v>
      </c>
      <c r="H18" s="381">
        <f t="shared" si="6"/>
        <v>6.7519999999999998</v>
      </c>
      <c r="I18" s="107">
        <f t="shared" si="0"/>
        <v>6.7519999999999998</v>
      </c>
      <c r="J18" s="107">
        <f t="shared" si="7"/>
        <v>6.7519999999999998</v>
      </c>
      <c r="K18" s="701"/>
      <c r="L18" s="4" t="s">
        <v>784</v>
      </c>
      <c r="N18" s="118"/>
      <c r="O18" s="118" t="s">
        <v>799</v>
      </c>
      <c r="P18" s="88">
        <v>6.7519999999999998</v>
      </c>
      <c r="Q18" s="89">
        <f t="shared" si="9"/>
        <v>43612</v>
      </c>
      <c r="R18" s="88"/>
      <c r="S18" s="88" t="e">
        <f t="shared" si="1"/>
        <v>#VALUE!</v>
      </c>
      <c r="T18" s="3" t="str">
        <f t="shared" si="8"/>
        <v>Đắp đất A1 lớp 7</v>
      </c>
    </row>
    <row r="19" spans="1:20" ht="14.25" outlineLevel="2">
      <c r="A19" s="81">
        <f>SUBTOTAL(103,$B$12:B19)</f>
        <v>8</v>
      </c>
      <c r="B19" s="78">
        <f t="shared" si="3"/>
        <v>43613</v>
      </c>
      <c r="C19" s="571" t="str">
        <f t="shared" si="4"/>
        <v>Đắp đất A1 lớp 8</v>
      </c>
      <c r="D19" s="572"/>
      <c r="E19" s="573"/>
      <c r="F19" s="2"/>
      <c r="G19" s="1">
        <f t="shared" si="5"/>
        <v>7.2919999999999998</v>
      </c>
      <c r="H19" s="381">
        <f t="shared" si="6"/>
        <v>7.2919999999999998</v>
      </c>
      <c r="I19" s="107">
        <f t="shared" si="0"/>
        <v>7.2919999999999998</v>
      </c>
      <c r="J19" s="107">
        <f t="shared" si="7"/>
        <v>7.2919999999999998</v>
      </c>
      <c r="K19" s="701"/>
      <c r="L19" s="4" t="s">
        <v>784</v>
      </c>
      <c r="N19" s="118"/>
      <c r="O19" s="118" t="s">
        <v>800</v>
      </c>
      <c r="P19" s="88">
        <v>7.2919999999999998</v>
      </c>
      <c r="Q19" s="89">
        <f t="shared" si="9"/>
        <v>43613</v>
      </c>
      <c r="R19" s="88"/>
      <c r="S19" s="88" t="e">
        <f t="shared" si="1"/>
        <v>#VALUE!</v>
      </c>
      <c r="T19" s="3" t="str">
        <f t="shared" si="8"/>
        <v>Đắp đất A1 lớp 8</v>
      </c>
    </row>
    <row r="20" spans="1:20" ht="14.25" outlineLevel="2">
      <c r="A20" s="81">
        <f>SUBTOTAL(103,$B$12:B20)</f>
        <v>9</v>
      </c>
      <c r="B20" s="78">
        <f t="shared" si="3"/>
        <v>43614</v>
      </c>
      <c r="C20" s="571" t="str">
        <f t="shared" si="4"/>
        <v>Đắp đất A1 lớp 9</v>
      </c>
      <c r="D20" s="572"/>
      <c r="E20" s="573"/>
      <c r="F20" s="2"/>
      <c r="G20" s="1">
        <f t="shared" si="5"/>
        <v>7.8319999999999999</v>
      </c>
      <c r="H20" s="381">
        <f t="shared" si="6"/>
        <v>7.8319999999999999</v>
      </c>
      <c r="I20" s="107">
        <f t="shared" si="0"/>
        <v>7.8319999999999999</v>
      </c>
      <c r="J20" s="107">
        <f t="shared" si="7"/>
        <v>7.8319999999999999</v>
      </c>
      <c r="K20" s="701"/>
      <c r="L20" s="4" t="s">
        <v>784</v>
      </c>
      <c r="N20" s="118"/>
      <c r="O20" s="118" t="s">
        <v>801</v>
      </c>
      <c r="P20" s="88">
        <v>7.8319999999999999</v>
      </c>
      <c r="Q20" s="89">
        <f t="shared" si="9"/>
        <v>43614</v>
      </c>
      <c r="R20" s="88"/>
      <c r="S20" s="88" t="e">
        <f t="shared" si="1"/>
        <v>#VALUE!</v>
      </c>
      <c r="T20" s="3" t="str">
        <f t="shared" si="8"/>
        <v>Đắp đất A1 lớp 9</v>
      </c>
    </row>
    <row r="21" spans="1:20" ht="14.25" outlineLevel="2">
      <c r="A21" s="81">
        <f>SUBTOTAL(103,$B$12:B21)</f>
        <v>10</v>
      </c>
      <c r="B21" s="78">
        <f t="shared" si="3"/>
        <v>43615</v>
      </c>
      <c r="C21" s="571" t="str">
        <f t="shared" si="4"/>
        <v>Đắp đất A1 lớp 10</v>
      </c>
      <c r="D21" s="572"/>
      <c r="E21" s="573"/>
      <c r="F21" s="2"/>
      <c r="G21" s="1">
        <f t="shared" si="5"/>
        <v>8.3719999999999999</v>
      </c>
      <c r="H21" s="381">
        <f t="shared" si="6"/>
        <v>8.3719999999999999</v>
      </c>
      <c r="I21" s="107">
        <f t="shared" si="0"/>
        <v>8.3719999999999999</v>
      </c>
      <c r="J21" s="107">
        <f t="shared" si="7"/>
        <v>8.3719999999999999</v>
      </c>
      <c r="K21" s="701"/>
      <c r="L21" s="4" t="s">
        <v>784</v>
      </c>
      <c r="N21" s="118"/>
      <c r="O21" s="118" t="s">
        <v>802</v>
      </c>
      <c r="P21" s="88">
        <v>8.3719999999999999</v>
      </c>
      <c r="Q21" s="89">
        <f t="shared" si="9"/>
        <v>43615</v>
      </c>
      <c r="R21" s="88"/>
      <c r="S21" s="88" t="e">
        <f t="shared" si="1"/>
        <v>#VALUE!</v>
      </c>
      <c r="T21" s="3" t="str">
        <f t="shared" si="8"/>
        <v>Đắp đất A1 lớp 10</v>
      </c>
    </row>
    <row r="22" spans="1:20" ht="14.25" outlineLevel="2">
      <c r="A22" s="81">
        <f>SUBTOTAL(103,$B$12:B22)</f>
        <v>11</v>
      </c>
      <c r="B22" s="78">
        <f>Q22</f>
        <v>43601</v>
      </c>
      <c r="C22" s="571" t="str">
        <f>T22</f>
        <v>Đắp đất A2 lớp 1</v>
      </c>
      <c r="D22" s="572"/>
      <c r="E22" s="573"/>
      <c r="F22" s="2"/>
      <c r="G22" s="1">
        <f>P22</f>
        <v>0.72399999999999998</v>
      </c>
      <c r="H22" s="381">
        <f>P22</f>
        <v>0.72399999999999998</v>
      </c>
      <c r="I22" s="107">
        <f t="shared" si="0"/>
        <v>0.72399999999999998</v>
      </c>
      <c r="J22" s="107">
        <f>P22</f>
        <v>0.72399999999999998</v>
      </c>
      <c r="K22" s="701"/>
      <c r="L22" s="4" t="s">
        <v>784</v>
      </c>
      <c r="N22" s="118"/>
      <c r="O22" s="118" t="s">
        <v>803</v>
      </c>
      <c r="P22" s="88">
        <v>0.72399999999999998</v>
      </c>
      <c r="Q22" s="89">
        <v>43601</v>
      </c>
      <c r="R22" s="88"/>
      <c r="S22" s="88" t="e">
        <f t="shared" si="1"/>
        <v>#VALUE!</v>
      </c>
      <c r="T22" s="3" t="str">
        <f t="shared" si="8"/>
        <v>Đắp đất A2 lớp 1</v>
      </c>
    </row>
    <row r="23" spans="1:20" ht="14.25" outlineLevel="2">
      <c r="A23" s="81">
        <f>SUBTOTAL(103,$B$12:B23)</f>
        <v>12</v>
      </c>
      <c r="B23" s="78">
        <f t="shared" ref="B23:B31" si="10">Q23</f>
        <v>43602</v>
      </c>
      <c r="C23" s="571" t="str">
        <f t="shared" ref="C23:C31" si="11">T23</f>
        <v>Đắp đất A2 lớp 2</v>
      </c>
      <c r="D23" s="572"/>
      <c r="E23" s="573"/>
      <c r="F23" s="2"/>
      <c r="G23" s="1">
        <f t="shared" ref="G23:G31" si="12">P23</f>
        <v>1.0289999999999999</v>
      </c>
      <c r="H23" s="381">
        <f t="shared" ref="H23:H30" si="13">P23</f>
        <v>1.0289999999999999</v>
      </c>
      <c r="I23" s="107">
        <f t="shared" si="0"/>
        <v>1.0289999999999999</v>
      </c>
      <c r="J23" s="107">
        <f t="shared" ref="J23:J31" si="14">P23</f>
        <v>1.0289999999999999</v>
      </c>
      <c r="K23" s="701"/>
      <c r="L23" s="4" t="s">
        <v>784</v>
      </c>
      <c r="N23" s="118"/>
      <c r="O23" s="118" t="s">
        <v>804</v>
      </c>
      <c r="P23" s="88">
        <v>1.0289999999999999</v>
      </c>
      <c r="Q23" s="89">
        <f>+Q22+1</f>
        <v>43602</v>
      </c>
      <c r="R23" s="88"/>
      <c r="S23" s="88" t="e">
        <f t="shared" si="1"/>
        <v>#VALUE!</v>
      </c>
      <c r="T23" s="3" t="str">
        <f t="shared" ref="T23:T31" si="15">$N$6&amp;" "&amp;O23</f>
        <v>Đắp đất A2 lớp 2</v>
      </c>
    </row>
    <row r="24" spans="1:20" ht="14.25" outlineLevel="2">
      <c r="A24" s="81">
        <f>SUBTOTAL(103,$B$12:B24)</f>
        <v>13</v>
      </c>
      <c r="B24" s="78">
        <f t="shared" si="10"/>
        <v>43603</v>
      </c>
      <c r="C24" s="571" t="str">
        <f t="shared" si="11"/>
        <v>Đắp đất A2 lớp 3</v>
      </c>
      <c r="D24" s="572"/>
      <c r="E24" s="573"/>
      <c r="F24" s="2"/>
      <c r="G24" s="1">
        <f t="shared" si="12"/>
        <v>1.762</v>
      </c>
      <c r="H24" s="381">
        <f t="shared" si="13"/>
        <v>1.762</v>
      </c>
      <c r="I24" s="107">
        <f t="shared" si="0"/>
        <v>1.762</v>
      </c>
      <c r="J24" s="107">
        <f t="shared" si="14"/>
        <v>1.762</v>
      </c>
      <c r="K24" s="701"/>
      <c r="L24" s="4" t="s">
        <v>784</v>
      </c>
      <c r="N24" s="118"/>
      <c r="O24" s="118" t="s">
        <v>805</v>
      </c>
      <c r="P24" s="88">
        <v>1.762</v>
      </c>
      <c r="Q24" s="89">
        <f>+Q23+1</f>
        <v>43603</v>
      </c>
      <c r="R24" s="88"/>
      <c r="S24" s="88" t="e">
        <f t="shared" si="1"/>
        <v>#VALUE!</v>
      </c>
      <c r="T24" s="3" t="str">
        <f t="shared" si="15"/>
        <v>Đắp đất A2 lớp 3</v>
      </c>
    </row>
    <row r="25" spans="1:20" ht="14.25" outlineLevel="2">
      <c r="A25" s="81">
        <f>SUBTOTAL(103,$B$12:B25)</f>
        <v>14</v>
      </c>
      <c r="B25" s="78">
        <f t="shared" si="10"/>
        <v>43604</v>
      </c>
      <c r="C25" s="571" t="str">
        <f t="shared" si="11"/>
        <v>Đắp đất A2 lớp 4</v>
      </c>
      <c r="D25" s="572"/>
      <c r="E25" s="573"/>
      <c r="F25" s="2"/>
      <c r="G25" s="1">
        <f t="shared" si="12"/>
        <v>3.1829999999999998</v>
      </c>
      <c r="H25" s="381">
        <f t="shared" si="13"/>
        <v>3.1829999999999998</v>
      </c>
      <c r="I25" s="107">
        <f t="shared" si="0"/>
        <v>3.1829999999999998</v>
      </c>
      <c r="J25" s="107">
        <f t="shared" si="14"/>
        <v>3.1829999999999998</v>
      </c>
      <c r="K25" s="701"/>
      <c r="L25" s="4" t="s">
        <v>784</v>
      </c>
      <c r="N25" s="118"/>
      <c r="O25" s="118" t="s">
        <v>806</v>
      </c>
      <c r="P25" s="88">
        <v>3.1829999999999998</v>
      </c>
      <c r="Q25" s="89">
        <f>+Q24+1</f>
        <v>43604</v>
      </c>
      <c r="R25" s="88"/>
      <c r="S25" s="88" t="e">
        <f t="shared" si="1"/>
        <v>#VALUE!</v>
      </c>
      <c r="T25" s="3" t="str">
        <f t="shared" si="15"/>
        <v>Đắp đất A2 lớp 4</v>
      </c>
    </row>
    <row r="26" spans="1:20" ht="14.25" outlineLevel="2">
      <c r="A26" s="81">
        <f>SUBTOTAL(103,$B$12:B26)</f>
        <v>15</v>
      </c>
      <c r="B26" s="78">
        <f t="shared" si="10"/>
        <v>43605</v>
      </c>
      <c r="C26" s="571" t="str">
        <f t="shared" si="11"/>
        <v>Đắp đất A2 lớp 5</v>
      </c>
      <c r="D26" s="572"/>
      <c r="E26" s="573"/>
      <c r="F26" s="2"/>
      <c r="G26" s="1">
        <f t="shared" si="12"/>
        <v>5.5110000000000001</v>
      </c>
      <c r="H26" s="381">
        <f t="shared" si="13"/>
        <v>5.5110000000000001</v>
      </c>
      <c r="I26" s="107">
        <f t="shared" si="0"/>
        <v>5.5110000000000001</v>
      </c>
      <c r="J26" s="107">
        <f t="shared" si="14"/>
        <v>5.5110000000000001</v>
      </c>
      <c r="K26" s="701"/>
      <c r="L26" s="4" t="s">
        <v>784</v>
      </c>
      <c r="N26" s="118"/>
      <c r="O26" s="118" t="s">
        <v>807</v>
      </c>
      <c r="P26" s="88">
        <v>5.5110000000000001</v>
      </c>
      <c r="Q26" s="89">
        <f t="shared" ref="Q26:Q31" si="16">+Q25+1</f>
        <v>43605</v>
      </c>
      <c r="R26" s="88"/>
      <c r="S26" s="88" t="e">
        <f t="shared" si="1"/>
        <v>#VALUE!</v>
      </c>
      <c r="T26" s="3" t="str">
        <f t="shared" si="15"/>
        <v>Đắp đất A2 lớp 5</v>
      </c>
    </row>
    <row r="27" spans="1:20" ht="14.25" outlineLevel="2">
      <c r="A27" s="81">
        <f>SUBTOTAL(103,$B$12:B27)</f>
        <v>16</v>
      </c>
      <c r="B27" s="78">
        <f t="shared" si="10"/>
        <v>43606</v>
      </c>
      <c r="C27" s="571" t="str">
        <f t="shared" si="11"/>
        <v>Đắp đất A2 lớp 6</v>
      </c>
      <c r="D27" s="572"/>
      <c r="E27" s="573"/>
      <c r="F27" s="2"/>
      <c r="G27" s="1">
        <f t="shared" si="12"/>
        <v>6.0510000000000002</v>
      </c>
      <c r="H27" s="381">
        <f t="shared" si="13"/>
        <v>6.0510000000000002</v>
      </c>
      <c r="I27" s="107">
        <f t="shared" si="0"/>
        <v>6.0510000000000002</v>
      </c>
      <c r="J27" s="107">
        <f t="shared" si="14"/>
        <v>6.0510000000000002</v>
      </c>
      <c r="K27" s="701"/>
      <c r="L27" s="4" t="s">
        <v>784</v>
      </c>
      <c r="N27" s="118"/>
      <c r="O27" s="118" t="s">
        <v>808</v>
      </c>
      <c r="P27" s="88">
        <v>6.0510000000000002</v>
      </c>
      <c r="Q27" s="89">
        <f t="shared" si="16"/>
        <v>43606</v>
      </c>
      <c r="R27" s="88"/>
      <c r="S27" s="88" t="e">
        <f t="shared" si="1"/>
        <v>#VALUE!</v>
      </c>
      <c r="T27" s="3" t="str">
        <f t="shared" si="15"/>
        <v>Đắp đất A2 lớp 6</v>
      </c>
    </row>
    <row r="28" spans="1:20" ht="14.25" outlineLevel="2">
      <c r="A28" s="81">
        <f>SUBTOTAL(103,$B$12:B28)</f>
        <v>17</v>
      </c>
      <c r="B28" s="78">
        <f t="shared" si="10"/>
        <v>43607</v>
      </c>
      <c r="C28" s="571" t="str">
        <f t="shared" si="11"/>
        <v>Đắp đất A2 lớp 7</v>
      </c>
      <c r="D28" s="572"/>
      <c r="E28" s="573"/>
      <c r="F28" s="2"/>
      <c r="G28" s="1">
        <f t="shared" si="12"/>
        <v>8.5690000000000008</v>
      </c>
      <c r="H28" s="381">
        <f t="shared" si="13"/>
        <v>8.5690000000000008</v>
      </c>
      <c r="I28" s="107">
        <f t="shared" si="0"/>
        <v>8.5690000000000008</v>
      </c>
      <c r="J28" s="107">
        <f t="shared" si="14"/>
        <v>8.5690000000000008</v>
      </c>
      <c r="K28" s="701"/>
      <c r="L28" s="4" t="s">
        <v>784</v>
      </c>
      <c r="N28" s="118"/>
      <c r="O28" s="118" t="s">
        <v>809</v>
      </c>
      <c r="P28" s="88">
        <v>8.5690000000000008</v>
      </c>
      <c r="Q28" s="89">
        <f t="shared" si="16"/>
        <v>43607</v>
      </c>
      <c r="R28" s="88"/>
      <c r="S28" s="88" t="e">
        <f t="shared" si="1"/>
        <v>#VALUE!</v>
      </c>
      <c r="T28" s="3" t="str">
        <f t="shared" si="15"/>
        <v>Đắp đất A2 lớp 7</v>
      </c>
    </row>
    <row r="29" spans="1:20" ht="14.25" outlineLevel="2">
      <c r="A29" s="81">
        <f>SUBTOTAL(103,$B$12:B29)</f>
        <v>18</v>
      </c>
      <c r="B29" s="78">
        <f t="shared" si="10"/>
        <v>43608</v>
      </c>
      <c r="C29" s="571" t="str">
        <f t="shared" si="11"/>
        <v>Đắp đất A2 lớp 8</v>
      </c>
      <c r="D29" s="572"/>
      <c r="E29" s="573"/>
      <c r="F29" s="2"/>
      <c r="G29" s="1">
        <f t="shared" si="12"/>
        <v>10.696999999999999</v>
      </c>
      <c r="H29" s="381">
        <f t="shared" si="13"/>
        <v>10.696999999999999</v>
      </c>
      <c r="I29" s="107">
        <f t="shared" si="0"/>
        <v>10.696999999999999</v>
      </c>
      <c r="J29" s="107">
        <f t="shared" si="14"/>
        <v>10.696999999999999</v>
      </c>
      <c r="K29" s="701"/>
      <c r="L29" s="4" t="s">
        <v>784</v>
      </c>
      <c r="N29" s="118"/>
      <c r="O29" s="118" t="s">
        <v>810</v>
      </c>
      <c r="P29" s="88">
        <v>10.696999999999999</v>
      </c>
      <c r="Q29" s="89">
        <f t="shared" si="16"/>
        <v>43608</v>
      </c>
      <c r="R29" s="88"/>
      <c r="S29" s="88" t="e">
        <f t="shared" si="1"/>
        <v>#VALUE!</v>
      </c>
      <c r="T29" s="3" t="str">
        <f t="shared" si="15"/>
        <v>Đắp đất A2 lớp 8</v>
      </c>
    </row>
    <row r="30" spans="1:20" ht="14.25" outlineLevel="2">
      <c r="A30" s="81">
        <f>SUBTOTAL(103,$B$12:B30)</f>
        <v>19</v>
      </c>
      <c r="B30" s="78">
        <f t="shared" si="10"/>
        <v>43609</v>
      </c>
      <c r="C30" s="571" t="str">
        <f t="shared" si="11"/>
        <v>Đắp đất A2 lớp 9</v>
      </c>
      <c r="D30" s="572"/>
      <c r="E30" s="573"/>
      <c r="F30" s="2"/>
      <c r="G30" s="1">
        <f t="shared" si="12"/>
        <v>11.507</v>
      </c>
      <c r="H30" s="381">
        <f t="shared" si="13"/>
        <v>11.507</v>
      </c>
      <c r="I30" s="107">
        <f t="shared" si="0"/>
        <v>11.507</v>
      </c>
      <c r="J30" s="107">
        <f t="shared" si="14"/>
        <v>11.507</v>
      </c>
      <c r="K30" s="701"/>
      <c r="L30" s="4" t="s">
        <v>784</v>
      </c>
      <c r="N30" s="118"/>
      <c r="O30" s="118" t="s">
        <v>811</v>
      </c>
      <c r="P30" s="88">
        <v>11.507</v>
      </c>
      <c r="Q30" s="89">
        <f t="shared" si="16"/>
        <v>43609</v>
      </c>
      <c r="R30" s="88"/>
      <c r="S30" s="88" t="e">
        <f t="shared" si="1"/>
        <v>#VALUE!</v>
      </c>
      <c r="T30" s="3" t="str">
        <f t="shared" si="15"/>
        <v>Đắp đất A2 lớp 9</v>
      </c>
    </row>
    <row r="31" spans="1:20" ht="14.25" outlineLevel="2">
      <c r="A31" s="81">
        <f>SUBTOTAL(103,$B$12:B31)</f>
        <v>20</v>
      </c>
      <c r="B31" s="78">
        <f t="shared" si="10"/>
        <v>43610</v>
      </c>
      <c r="C31" s="571" t="str">
        <f t="shared" si="11"/>
        <v>Đắp đất A2 lớp 10</v>
      </c>
      <c r="D31" s="572"/>
      <c r="E31" s="573"/>
      <c r="F31" s="2"/>
      <c r="G31" s="1">
        <f t="shared" si="12"/>
        <v>13.891999999999999</v>
      </c>
      <c r="H31" s="381">
        <f>G31</f>
        <v>13.891999999999999</v>
      </c>
      <c r="I31" s="107">
        <f>MIN(F31:H31)</f>
        <v>13.891999999999999</v>
      </c>
      <c r="J31" s="107">
        <f t="shared" si="14"/>
        <v>13.891999999999999</v>
      </c>
      <c r="K31" s="701"/>
      <c r="L31" s="4" t="s">
        <v>784</v>
      </c>
      <c r="N31" s="118"/>
      <c r="O31" s="118" t="s">
        <v>812</v>
      </c>
      <c r="P31" s="88">
        <v>13.891999999999999</v>
      </c>
      <c r="Q31" s="89">
        <f t="shared" si="16"/>
        <v>43610</v>
      </c>
      <c r="R31" s="88"/>
      <c r="S31" s="88" t="e">
        <f t="shared" si="1"/>
        <v>#VALUE!</v>
      </c>
      <c r="T31" s="3" t="str">
        <f t="shared" si="15"/>
        <v>Đắp đất A2 lớp 10</v>
      </c>
    </row>
    <row r="32" spans="1:20" ht="14.25" outlineLevel="2">
      <c r="A32" s="81"/>
      <c r="B32" s="78"/>
      <c r="C32" s="571"/>
      <c r="D32" s="572"/>
      <c r="E32" s="573"/>
      <c r="F32" s="27"/>
      <c r="G32" s="33"/>
      <c r="H32" s="31"/>
      <c r="I32" s="107"/>
      <c r="J32" s="107"/>
      <c r="K32" s="82"/>
      <c r="N32" s="118"/>
      <c r="O32" s="118"/>
      <c r="P32" s="88"/>
      <c r="Q32" s="89"/>
      <c r="R32" s="88"/>
      <c r="S32" s="88"/>
      <c r="T32" s="3"/>
    </row>
    <row r="33" spans="1:20" thickBot="1">
      <c r="A33" s="574" t="s">
        <v>4</v>
      </c>
      <c r="B33" s="575"/>
      <c r="C33" s="575"/>
      <c r="D33" s="575"/>
      <c r="E33" s="575"/>
      <c r="F33" s="79">
        <f>'[7]TONG KL '!$I$37</f>
        <v>114.05</v>
      </c>
      <c r="G33" s="79">
        <f>F33</f>
        <v>114.05</v>
      </c>
      <c r="H33" s="79">
        <f>ROUND(SUM(H12:H32),2)</f>
        <v>120.35</v>
      </c>
      <c r="I33" s="79">
        <f>MIN(F33:H33)</f>
        <v>114.05</v>
      </c>
      <c r="J33" s="79">
        <f>ROUND(SUM(J12:J32),2)</f>
        <v>120.35</v>
      </c>
      <c r="K33" s="80"/>
      <c r="N33" s="118"/>
      <c r="O33" s="118"/>
      <c r="P33" s="90">
        <f>SUM(P12:P12)</f>
        <v>2.5819999999999999</v>
      </c>
    </row>
    <row r="34" spans="1:20" s="175" customFormat="1" ht="18" customHeight="1" thickTop="1" thickBot="1">
      <c r="A34" s="253"/>
      <c r="B34" s="253"/>
      <c r="C34" s="253"/>
      <c r="D34" s="253"/>
      <c r="E34" s="253"/>
      <c r="F34" s="116"/>
      <c r="G34" s="116"/>
      <c r="H34" s="116"/>
      <c r="I34" s="116"/>
      <c r="J34" s="116"/>
      <c r="K34" s="117"/>
      <c r="L34" s="4"/>
      <c r="M34" s="4"/>
      <c r="N34" s="118"/>
      <c r="O34" s="118"/>
      <c r="P34" s="119"/>
      <c r="Q34" s="120"/>
      <c r="R34" s="120"/>
      <c r="S34" s="120"/>
      <c r="T34" s="121"/>
    </row>
    <row r="35" spans="1:20" s="5" customFormat="1" ht="13.9" customHeight="1" thickTop="1">
      <c r="A35" s="578" t="s">
        <v>68</v>
      </c>
      <c r="B35" s="579"/>
      <c r="C35" s="579"/>
      <c r="D35" s="579"/>
      <c r="E35" s="579"/>
      <c r="F35" s="580" t="s">
        <v>69</v>
      </c>
      <c r="G35" s="580"/>
      <c r="H35" s="580"/>
      <c r="I35" s="581"/>
      <c r="J35" s="581"/>
      <c r="K35" s="582"/>
      <c r="L35" s="4"/>
      <c r="M35" s="4"/>
      <c r="N35" s="4"/>
      <c r="O35" s="4"/>
      <c r="P35" s="4"/>
    </row>
    <row r="36" spans="1:20" s="5" customFormat="1" ht="13.9" customHeight="1">
      <c r="A36" s="583" t="s">
        <v>5</v>
      </c>
      <c r="B36" s="584"/>
      <c r="C36" s="584"/>
      <c r="D36" s="584"/>
      <c r="E36" s="584"/>
      <c r="F36" s="585" t="s">
        <v>6</v>
      </c>
      <c r="G36" s="585"/>
      <c r="H36" s="585"/>
      <c r="I36" s="586"/>
      <c r="J36" s="586"/>
      <c r="K36" s="587"/>
      <c r="L36" s="4"/>
      <c r="M36" s="4"/>
      <c r="N36" s="4"/>
      <c r="O36" s="4"/>
      <c r="P36" s="4"/>
    </row>
    <row r="37" spans="1:20" s="5" customFormat="1" ht="13.9" customHeight="1">
      <c r="A37" s="583" t="s">
        <v>836</v>
      </c>
      <c r="B37" s="584"/>
      <c r="C37" s="584"/>
      <c r="D37" s="584"/>
      <c r="E37" s="584"/>
      <c r="F37" s="590" t="s">
        <v>837</v>
      </c>
      <c r="G37" s="590"/>
      <c r="H37" s="590"/>
      <c r="I37" s="591"/>
      <c r="J37" s="591"/>
      <c r="K37" s="592"/>
      <c r="L37" s="4"/>
      <c r="M37" s="4"/>
      <c r="N37" s="4"/>
      <c r="O37" s="4"/>
      <c r="P37" s="4"/>
    </row>
    <row r="38" spans="1:20" s="5" customFormat="1" ht="13.9" customHeight="1">
      <c r="A38" s="583"/>
      <c r="B38" s="584"/>
      <c r="C38" s="584"/>
      <c r="D38" s="584"/>
      <c r="E38" s="584"/>
      <c r="F38" s="590"/>
      <c r="G38" s="590"/>
      <c r="H38" s="590"/>
      <c r="I38" s="591"/>
      <c r="J38" s="591"/>
      <c r="K38" s="592"/>
      <c r="L38" s="4"/>
      <c r="M38" s="4"/>
      <c r="N38" s="4"/>
      <c r="O38" s="4"/>
      <c r="P38" s="4"/>
    </row>
    <row r="39" spans="1:20" s="5" customFormat="1" ht="13.9" customHeight="1">
      <c r="A39" s="583"/>
      <c r="B39" s="584"/>
      <c r="C39" s="584"/>
      <c r="D39" s="584"/>
      <c r="E39" s="584"/>
      <c r="F39" s="590"/>
      <c r="G39" s="590"/>
      <c r="H39" s="590"/>
      <c r="I39" s="591"/>
      <c r="J39" s="591"/>
      <c r="K39" s="592"/>
      <c r="L39" s="4"/>
      <c r="M39" s="4"/>
      <c r="N39" s="4"/>
      <c r="O39" s="4"/>
      <c r="P39" s="4"/>
    </row>
    <row r="40" spans="1:20" s="5" customFormat="1" ht="13.9" customHeight="1">
      <c r="A40" s="583"/>
      <c r="B40" s="584"/>
      <c r="C40" s="584"/>
      <c r="D40" s="584"/>
      <c r="E40" s="584"/>
      <c r="F40" s="590"/>
      <c r="G40" s="590"/>
      <c r="H40" s="590"/>
      <c r="I40" s="591"/>
      <c r="J40" s="591"/>
      <c r="K40" s="592"/>
      <c r="L40" s="4"/>
      <c r="M40" s="4"/>
      <c r="N40" s="4"/>
      <c r="O40" s="4"/>
      <c r="P40" s="4"/>
    </row>
    <row r="41" spans="1:20" s="5" customFormat="1" ht="13.9" customHeight="1">
      <c r="A41" s="583"/>
      <c r="B41" s="584"/>
      <c r="C41" s="584"/>
      <c r="D41" s="584"/>
      <c r="E41" s="584"/>
      <c r="F41" s="590"/>
      <c r="G41" s="590"/>
      <c r="H41" s="590"/>
      <c r="I41" s="591"/>
      <c r="J41" s="591"/>
      <c r="K41" s="592"/>
      <c r="L41" s="4"/>
      <c r="M41" s="4"/>
      <c r="N41" s="4"/>
      <c r="O41" s="4"/>
      <c r="P41" s="4"/>
    </row>
    <row r="42" spans="1:20" s="5" customFormat="1" ht="13.9" customHeight="1">
      <c r="A42" s="583"/>
      <c r="B42" s="584"/>
      <c r="C42" s="584"/>
      <c r="D42" s="584"/>
      <c r="E42" s="584"/>
      <c r="F42" s="590"/>
      <c r="G42" s="590"/>
      <c r="H42" s="590"/>
      <c r="I42" s="591"/>
      <c r="J42" s="591"/>
      <c r="K42" s="592"/>
      <c r="L42" s="4"/>
      <c r="M42" s="4"/>
      <c r="N42" s="4"/>
      <c r="O42" s="4"/>
      <c r="P42" s="4"/>
    </row>
    <row r="43" spans="1:20" s="5" customFormat="1" ht="13.9" customHeight="1" thickBot="1">
      <c r="A43" s="588"/>
      <c r="B43" s="589"/>
      <c r="C43" s="589"/>
      <c r="D43" s="589"/>
      <c r="E43" s="589"/>
      <c r="F43" s="593"/>
      <c r="G43" s="593"/>
      <c r="H43" s="593"/>
      <c r="I43" s="594"/>
      <c r="J43" s="594"/>
      <c r="K43" s="595"/>
      <c r="L43" s="4"/>
      <c r="M43" s="4"/>
      <c r="N43" s="4"/>
      <c r="O43" s="4"/>
      <c r="P43" s="4"/>
    </row>
    <row r="44" spans="1:20" s="175" customFormat="1" ht="18" customHeight="1" thickTop="1">
      <c r="A44" s="253"/>
      <c r="B44" s="253"/>
      <c r="C44" s="253"/>
      <c r="D44" s="253"/>
      <c r="E44" s="253"/>
      <c r="F44" s="116"/>
      <c r="G44" s="116"/>
      <c r="H44" s="116"/>
      <c r="I44" s="116"/>
      <c r="J44" s="116"/>
      <c r="K44" s="117"/>
      <c r="L44" s="118"/>
      <c r="M44" s="118"/>
      <c r="N44" s="118"/>
      <c r="O44" s="118"/>
      <c r="P44" s="119"/>
      <c r="Q44" s="120"/>
      <c r="R44" s="120"/>
      <c r="S44" s="120"/>
      <c r="T44" s="121"/>
    </row>
    <row r="45" spans="1:20" s="111" customFormat="1" ht="48" customHeight="1">
      <c r="A45" s="596" t="s">
        <v>87</v>
      </c>
      <c r="B45" s="596"/>
      <c r="C45" s="596"/>
      <c r="D45" s="596"/>
      <c r="E45" s="596"/>
      <c r="F45" s="596"/>
      <c r="G45" s="596"/>
      <c r="H45" s="596"/>
      <c r="I45" s="596"/>
      <c r="J45" s="596"/>
      <c r="K45" s="596"/>
      <c r="L45" s="108"/>
      <c r="M45" s="109"/>
      <c r="N45" s="110"/>
    </row>
    <row r="46" spans="1:20" s="112" customFormat="1" ht="18" customHeight="1">
      <c r="A46" s="597" t="s">
        <v>599</v>
      </c>
      <c r="B46" s="597"/>
      <c r="C46" s="597"/>
      <c r="D46" s="597"/>
      <c r="E46" s="597"/>
      <c r="F46" s="597"/>
      <c r="G46" s="597"/>
      <c r="H46" s="597"/>
      <c r="I46" s="597"/>
      <c r="J46" s="597"/>
      <c r="K46" s="597"/>
    </row>
    <row r="47" spans="1:20" s="175" customFormat="1" ht="20.100000000000001" customHeight="1">
      <c r="A47" s="598" t="s">
        <v>90</v>
      </c>
      <c r="B47" s="598"/>
      <c r="C47" s="598"/>
      <c r="D47" s="598"/>
      <c r="E47" s="598"/>
      <c r="F47" s="598"/>
      <c r="G47" s="598"/>
      <c r="H47" s="598"/>
      <c r="I47" s="598"/>
      <c r="J47" s="598"/>
      <c r="K47" s="598"/>
      <c r="L47" s="123"/>
      <c r="M47" s="124"/>
      <c r="N47" s="123"/>
      <c r="O47" s="123"/>
      <c r="P47" s="123"/>
      <c r="Q47" s="123"/>
      <c r="R47" s="123"/>
      <c r="S47" s="123"/>
      <c r="T47" s="123"/>
    </row>
    <row r="48" spans="1:20" s="175" customFormat="1" ht="15.95" customHeight="1">
      <c r="A48" s="599" t="s">
        <v>91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123"/>
      <c r="M48" s="124"/>
      <c r="N48" s="123"/>
      <c r="O48" s="123"/>
      <c r="P48" s="123"/>
      <c r="Q48" s="123"/>
      <c r="R48" s="123"/>
      <c r="S48" s="123"/>
      <c r="T48" s="123"/>
    </row>
    <row r="49" spans="1:20" s="175" customFormat="1" ht="15.95" customHeight="1">
      <c r="A49" s="600" t="str">
        <f>A4</f>
        <v>PHẦN C.: CẦU VƯỢT</v>
      </c>
      <c r="B49" s="601"/>
      <c r="C49" s="601"/>
      <c r="D49" s="601"/>
      <c r="E49" s="601"/>
      <c r="F49" s="601"/>
      <c r="G49" s="601"/>
      <c r="H49" s="601"/>
      <c r="I49" s="601"/>
      <c r="J49" s="601"/>
      <c r="K49" s="602"/>
      <c r="L49" s="123"/>
      <c r="M49" s="124"/>
      <c r="N49" s="123"/>
      <c r="O49" s="123"/>
      <c r="P49" s="123"/>
      <c r="Q49" s="123"/>
      <c r="R49" s="123"/>
      <c r="S49" s="123"/>
      <c r="T49" s="123"/>
    </row>
    <row r="50" spans="1:20" s="175" customFormat="1" ht="15.95" customHeight="1">
      <c r="A50" s="254" t="str">
        <f>A5</f>
        <v>Hạng mục C.II.1.4. Tường chắn</v>
      </c>
      <c r="B50" s="255"/>
      <c r="C50" s="127"/>
      <c r="D50" s="127"/>
      <c r="E50" s="128"/>
      <c r="F50" s="129"/>
      <c r="G50" s="129"/>
      <c r="H50" s="129"/>
      <c r="I50" s="129"/>
      <c r="J50" s="129"/>
      <c r="K50" s="130"/>
      <c r="L50" s="123"/>
      <c r="M50" s="124"/>
      <c r="N50" s="123"/>
      <c r="O50" s="123"/>
      <c r="P50" s="123"/>
      <c r="Q50" s="123"/>
      <c r="R50" s="123"/>
      <c r="S50" s="123"/>
      <c r="T50" s="123"/>
    </row>
    <row r="51" spans="1:20" s="175" customFormat="1" ht="15.95" customHeight="1">
      <c r="A51" s="254" t="str">
        <f>A6</f>
        <v>Mục C.II.1.4.2. Đắp đất</v>
      </c>
      <c r="B51" s="255"/>
      <c r="C51" s="127"/>
      <c r="D51" s="127"/>
      <c r="E51" s="128"/>
      <c r="F51" s="129"/>
      <c r="G51" s="129"/>
      <c r="H51" s="129"/>
      <c r="I51" s="129"/>
      <c r="J51" s="129"/>
      <c r="K51" s="130"/>
      <c r="L51" s="123"/>
      <c r="M51" s="124"/>
      <c r="N51" s="123"/>
      <c r="O51" s="123"/>
      <c r="P51" s="123"/>
      <c r="Q51" s="123"/>
      <c r="R51" s="123"/>
      <c r="S51" s="123"/>
      <c r="T51" s="123"/>
    </row>
    <row r="52" spans="1:20" s="175" customFormat="1" ht="15.95" customHeight="1">
      <c r="A52" s="639">
        <f>A7</f>
        <v>114.05</v>
      </c>
      <c r="B52" s="640"/>
      <c r="C52" s="640"/>
      <c r="D52" s="640"/>
      <c r="E52" s="131" t="str">
        <f>E7</f>
        <v>(m3)</v>
      </c>
      <c r="F52" s="132"/>
      <c r="G52" s="132"/>
      <c r="H52" s="132"/>
      <c r="I52" s="132"/>
      <c r="J52" s="132"/>
      <c r="K52" s="133"/>
      <c r="L52" s="173"/>
      <c r="M52" s="135"/>
      <c r="N52" s="174"/>
      <c r="P52" s="174"/>
    </row>
    <row r="53" spans="1:20" s="5" customFormat="1" ht="13.5" customHeight="1" thickBot="1">
      <c r="A53" s="28"/>
      <c r="B53" s="28"/>
      <c r="C53" s="28"/>
      <c r="D53" s="28"/>
      <c r="E53" s="28"/>
      <c r="F53" s="30"/>
      <c r="G53" s="30"/>
      <c r="H53" s="30"/>
      <c r="I53" s="30"/>
      <c r="J53" s="30"/>
      <c r="K53" s="8"/>
      <c r="L53" s="23"/>
      <c r="M53" s="9"/>
      <c r="N53" s="4"/>
      <c r="O53" s="4"/>
      <c r="P53" s="4"/>
      <c r="R53" s="4"/>
      <c r="S53" s="4"/>
      <c r="T53" s="4"/>
    </row>
    <row r="54" spans="1:20" s="5" customFormat="1" ht="21.6" customHeight="1" thickTop="1">
      <c r="A54" s="576" t="s">
        <v>3</v>
      </c>
      <c r="B54" s="641" t="s">
        <v>84</v>
      </c>
      <c r="C54" s="641"/>
      <c r="D54" s="643" t="s">
        <v>96</v>
      </c>
      <c r="E54" s="643"/>
      <c r="F54" s="643"/>
      <c r="G54" s="643"/>
      <c r="H54" s="641" t="s">
        <v>89</v>
      </c>
      <c r="I54" s="641"/>
      <c r="J54" s="641" t="s">
        <v>85</v>
      </c>
      <c r="K54" s="645"/>
      <c r="L54"/>
      <c r="M54" s="94"/>
      <c r="N54" s="94"/>
      <c r="O54" s="95"/>
      <c r="P54" s="96"/>
    </row>
    <row r="55" spans="1:20" s="5" customFormat="1" ht="21.6" customHeight="1">
      <c r="A55" s="577"/>
      <c r="B55" s="642"/>
      <c r="C55" s="642"/>
      <c r="D55" s="644"/>
      <c r="E55" s="644"/>
      <c r="F55" s="644"/>
      <c r="G55" s="644"/>
      <c r="H55" s="642"/>
      <c r="I55" s="642"/>
      <c r="J55" s="642"/>
      <c r="K55" s="646"/>
      <c r="L55"/>
      <c r="M55" s="97"/>
      <c r="N55" s="97"/>
      <c r="O55" s="98"/>
      <c r="P55" s="99"/>
    </row>
    <row r="56" spans="1:20" s="5" customFormat="1" ht="17.100000000000001" customHeight="1">
      <c r="A56" s="100">
        <v>1</v>
      </c>
      <c r="B56" s="623" t="str">
        <f>"Tháng "&amp;IF(L56&lt;10,0&amp;L56&amp;"/"&amp;M56,L56&amp;"/"&amp;M56)</f>
        <v>Tháng 08/2017</v>
      </c>
      <c r="C56" s="623"/>
      <c r="D56" s="624" t="str">
        <f>N6</f>
        <v>Đắp đất</v>
      </c>
      <c r="E56" s="624"/>
      <c r="F56" s="624"/>
      <c r="G56" s="624"/>
      <c r="H56" s="625">
        <f t="shared" ref="H56:H79" si="17">+SUMIFS($I$12:$I$32,$B$12:$B$32,"&gt;="&amp;$O56,$B$12:$B$32,"&lt;="&amp;$P56)</f>
        <v>0</v>
      </c>
      <c r="I56" s="625"/>
      <c r="J56" s="623"/>
      <c r="K56" s="626"/>
      <c r="L56">
        <v>8</v>
      </c>
      <c r="M56" s="101">
        <v>2017</v>
      </c>
      <c r="N56" s="97"/>
      <c r="O56" s="103">
        <f t="shared" ref="O56:O80" si="18">DATE(M56,L56,1)</f>
        <v>42948</v>
      </c>
      <c r="P56" s="103">
        <f t="shared" ref="P56:P80" si="19">DATE(M56,L56+1,0)</f>
        <v>42978</v>
      </c>
    </row>
    <row r="57" spans="1:20" s="5" customFormat="1" ht="17.100000000000001" customHeight="1">
      <c r="A57" s="104">
        <v>2</v>
      </c>
      <c r="B57" s="567" t="str">
        <f t="shared" ref="B57:B81" si="20">"Tháng "&amp;IF(L57&lt;10,0&amp;L57&amp;"/"&amp;M57,L57&amp;"/"&amp;M57)</f>
        <v>Tháng 09/2017</v>
      </c>
      <c r="C57" s="567"/>
      <c r="D57" s="568" t="str">
        <f>D56</f>
        <v>Đắp đất</v>
      </c>
      <c r="E57" s="568"/>
      <c r="F57" s="568"/>
      <c r="G57" s="568"/>
      <c r="H57" s="569">
        <f t="shared" si="17"/>
        <v>0</v>
      </c>
      <c r="I57" s="569"/>
      <c r="J57" s="567"/>
      <c r="K57" s="570"/>
      <c r="L57">
        <v>9</v>
      </c>
      <c r="M57" s="101">
        <v>2017</v>
      </c>
      <c r="N57"/>
      <c r="O57" s="103">
        <f t="shared" si="18"/>
        <v>42979</v>
      </c>
      <c r="P57" s="103">
        <f t="shared" si="19"/>
        <v>43008</v>
      </c>
    </row>
    <row r="58" spans="1:20" s="5" customFormat="1" ht="17.100000000000001" customHeight="1">
      <c r="A58" s="104">
        <f>A57+1</f>
        <v>3</v>
      </c>
      <c r="B58" s="567" t="str">
        <f t="shared" si="20"/>
        <v>Tháng 10/2017</v>
      </c>
      <c r="C58" s="567"/>
      <c r="D58" s="568" t="str">
        <f t="shared" ref="D58:D80" si="21">D57</f>
        <v>Đắp đất</v>
      </c>
      <c r="E58" s="568"/>
      <c r="F58" s="568"/>
      <c r="G58" s="568"/>
      <c r="H58" s="569">
        <f t="shared" si="17"/>
        <v>0</v>
      </c>
      <c r="I58" s="569"/>
      <c r="J58" s="567"/>
      <c r="K58" s="570"/>
      <c r="L58">
        <v>10</v>
      </c>
      <c r="M58" s="101">
        <v>2017</v>
      </c>
      <c r="N58"/>
      <c r="O58" s="103">
        <f t="shared" si="18"/>
        <v>43009</v>
      </c>
      <c r="P58" s="103">
        <f t="shared" si="19"/>
        <v>43039</v>
      </c>
    </row>
    <row r="59" spans="1:20" s="5" customFormat="1" ht="17.100000000000001" customHeight="1">
      <c r="A59" s="104">
        <f t="shared" ref="A59:A81" si="22">A58+1</f>
        <v>4</v>
      </c>
      <c r="B59" s="567" t="str">
        <f t="shared" si="20"/>
        <v>Tháng 11/2017</v>
      </c>
      <c r="C59" s="567"/>
      <c r="D59" s="568" t="str">
        <f t="shared" si="21"/>
        <v>Đắp đất</v>
      </c>
      <c r="E59" s="568"/>
      <c r="F59" s="568"/>
      <c r="G59" s="568"/>
      <c r="H59" s="569">
        <f t="shared" si="17"/>
        <v>0</v>
      </c>
      <c r="I59" s="569"/>
      <c r="J59" s="567"/>
      <c r="K59" s="570"/>
      <c r="L59">
        <v>11</v>
      </c>
      <c r="M59" s="101">
        <v>2017</v>
      </c>
      <c r="N59"/>
      <c r="O59" s="103">
        <f t="shared" si="18"/>
        <v>43040</v>
      </c>
      <c r="P59" s="103">
        <f t="shared" si="19"/>
        <v>43069</v>
      </c>
    </row>
    <row r="60" spans="1:20" s="5" customFormat="1" ht="17.100000000000001" customHeight="1">
      <c r="A60" s="104">
        <f t="shared" si="22"/>
        <v>5</v>
      </c>
      <c r="B60" s="567" t="str">
        <f t="shared" si="20"/>
        <v>Tháng 12/2017</v>
      </c>
      <c r="C60" s="567"/>
      <c r="D60" s="568" t="str">
        <f t="shared" si="21"/>
        <v>Đắp đất</v>
      </c>
      <c r="E60" s="568"/>
      <c r="F60" s="568"/>
      <c r="G60" s="568"/>
      <c r="H60" s="569">
        <f t="shared" si="17"/>
        <v>0</v>
      </c>
      <c r="I60" s="569"/>
      <c r="J60" s="567"/>
      <c r="K60" s="570"/>
      <c r="L60">
        <v>12</v>
      </c>
      <c r="M60" s="101">
        <v>2017</v>
      </c>
      <c r="N60"/>
      <c r="O60" s="103">
        <f t="shared" si="18"/>
        <v>43070</v>
      </c>
      <c r="P60" s="103">
        <f t="shared" si="19"/>
        <v>43100</v>
      </c>
    </row>
    <row r="61" spans="1:20" s="5" customFormat="1" ht="17.100000000000001" customHeight="1">
      <c r="A61" s="104">
        <f t="shared" si="22"/>
        <v>6</v>
      </c>
      <c r="B61" s="567" t="str">
        <f t="shared" si="20"/>
        <v>Tháng 01/2018</v>
      </c>
      <c r="C61" s="567"/>
      <c r="D61" s="568" t="str">
        <f t="shared" si="21"/>
        <v>Đắp đất</v>
      </c>
      <c r="E61" s="568"/>
      <c r="F61" s="568"/>
      <c r="G61" s="568"/>
      <c r="H61" s="569">
        <f t="shared" si="17"/>
        <v>0</v>
      </c>
      <c r="I61" s="569"/>
      <c r="J61" s="567"/>
      <c r="K61" s="570"/>
      <c r="L61">
        <v>1</v>
      </c>
      <c r="M61" s="101">
        <v>2018</v>
      </c>
      <c r="N61"/>
      <c r="O61" s="103">
        <f t="shared" si="18"/>
        <v>43101</v>
      </c>
      <c r="P61" s="103">
        <f t="shared" si="19"/>
        <v>43131</v>
      </c>
    </row>
    <row r="62" spans="1:20" s="5" customFormat="1" ht="17.100000000000001" customHeight="1">
      <c r="A62" s="104">
        <f t="shared" si="22"/>
        <v>7</v>
      </c>
      <c r="B62" s="567" t="str">
        <f t="shared" si="20"/>
        <v>Tháng 02/2018</v>
      </c>
      <c r="C62" s="567"/>
      <c r="D62" s="568" t="str">
        <f t="shared" si="21"/>
        <v>Đắp đất</v>
      </c>
      <c r="E62" s="568"/>
      <c r="F62" s="568"/>
      <c r="G62" s="568"/>
      <c r="H62" s="569">
        <f t="shared" si="17"/>
        <v>0</v>
      </c>
      <c r="I62" s="569"/>
      <c r="J62" s="567"/>
      <c r="K62" s="570"/>
      <c r="L62">
        <v>2</v>
      </c>
      <c r="M62" s="101">
        <v>2018</v>
      </c>
      <c r="N62"/>
      <c r="O62" s="103">
        <f t="shared" si="18"/>
        <v>43132</v>
      </c>
      <c r="P62" s="103">
        <f t="shared" si="19"/>
        <v>43159</v>
      </c>
    </row>
    <row r="63" spans="1:20" s="5" customFormat="1" ht="17.100000000000001" customHeight="1">
      <c r="A63" s="104">
        <f t="shared" si="22"/>
        <v>8</v>
      </c>
      <c r="B63" s="567" t="str">
        <f t="shared" si="20"/>
        <v>Tháng 03/2018</v>
      </c>
      <c r="C63" s="567"/>
      <c r="D63" s="568" t="str">
        <f t="shared" si="21"/>
        <v>Đắp đất</v>
      </c>
      <c r="E63" s="568"/>
      <c r="F63" s="568"/>
      <c r="G63" s="568"/>
      <c r="H63" s="569">
        <f t="shared" si="17"/>
        <v>0</v>
      </c>
      <c r="I63" s="569"/>
      <c r="J63" s="567"/>
      <c r="K63" s="570"/>
      <c r="L63">
        <v>3</v>
      </c>
      <c r="M63" s="101">
        <v>2018</v>
      </c>
      <c r="N63"/>
      <c r="O63" s="103">
        <f t="shared" si="18"/>
        <v>43160</v>
      </c>
      <c r="P63" s="103">
        <f t="shared" si="19"/>
        <v>43190</v>
      </c>
    </row>
    <row r="64" spans="1:20" s="5" customFormat="1" ht="17.100000000000001" customHeight="1">
      <c r="A64" s="104">
        <f t="shared" si="22"/>
        <v>9</v>
      </c>
      <c r="B64" s="567" t="str">
        <f t="shared" si="20"/>
        <v>Tháng 04/2018</v>
      </c>
      <c r="C64" s="567"/>
      <c r="D64" s="568" t="str">
        <f t="shared" si="21"/>
        <v>Đắp đất</v>
      </c>
      <c r="E64" s="568"/>
      <c r="F64" s="568"/>
      <c r="G64" s="568"/>
      <c r="H64" s="569">
        <f t="shared" si="17"/>
        <v>0</v>
      </c>
      <c r="I64" s="569"/>
      <c r="J64" s="567"/>
      <c r="K64" s="570"/>
      <c r="L64">
        <v>4</v>
      </c>
      <c r="M64" s="101">
        <v>2018</v>
      </c>
      <c r="N64"/>
      <c r="O64" s="103">
        <f t="shared" si="18"/>
        <v>43191</v>
      </c>
      <c r="P64" s="103">
        <f t="shared" si="19"/>
        <v>43220</v>
      </c>
    </row>
    <row r="65" spans="1:16" s="5" customFormat="1" ht="17.100000000000001" customHeight="1">
      <c r="A65" s="104">
        <f t="shared" si="22"/>
        <v>10</v>
      </c>
      <c r="B65" s="567" t="str">
        <f t="shared" si="20"/>
        <v>Tháng 05/2018</v>
      </c>
      <c r="C65" s="567"/>
      <c r="D65" s="568" t="str">
        <f t="shared" si="21"/>
        <v>Đắp đất</v>
      </c>
      <c r="E65" s="568"/>
      <c r="F65" s="568"/>
      <c r="G65" s="568"/>
      <c r="H65" s="569">
        <f t="shared" si="17"/>
        <v>0</v>
      </c>
      <c r="I65" s="569"/>
      <c r="J65" s="567"/>
      <c r="K65" s="570"/>
      <c r="L65">
        <v>5</v>
      </c>
      <c r="M65" s="101">
        <v>2018</v>
      </c>
      <c r="N65"/>
      <c r="O65" s="103">
        <f t="shared" si="18"/>
        <v>43221</v>
      </c>
      <c r="P65" s="103">
        <f t="shared" si="19"/>
        <v>43251</v>
      </c>
    </row>
    <row r="66" spans="1:16" s="5" customFormat="1" ht="17.100000000000001" customHeight="1">
      <c r="A66" s="104">
        <f t="shared" si="22"/>
        <v>11</v>
      </c>
      <c r="B66" s="567" t="str">
        <f t="shared" si="20"/>
        <v>Tháng 06/2018</v>
      </c>
      <c r="C66" s="567"/>
      <c r="D66" s="568" t="str">
        <f t="shared" si="21"/>
        <v>Đắp đất</v>
      </c>
      <c r="E66" s="568"/>
      <c r="F66" s="568"/>
      <c r="G66" s="568"/>
      <c r="H66" s="569">
        <f t="shared" si="17"/>
        <v>0</v>
      </c>
      <c r="I66" s="569"/>
      <c r="J66" s="567"/>
      <c r="K66" s="570"/>
      <c r="L66">
        <v>6</v>
      </c>
      <c r="M66" s="101">
        <v>2018</v>
      </c>
      <c r="N66"/>
      <c r="O66" s="103">
        <f t="shared" si="18"/>
        <v>43252</v>
      </c>
      <c r="P66" s="103">
        <f t="shared" si="19"/>
        <v>43281</v>
      </c>
    </row>
    <row r="67" spans="1:16" s="5" customFormat="1" ht="17.100000000000001" customHeight="1">
      <c r="A67" s="104">
        <f t="shared" si="22"/>
        <v>12</v>
      </c>
      <c r="B67" s="567" t="str">
        <f t="shared" si="20"/>
        <v>Tháng 07/2018</v>
      </c>
      <c r="C67" s="567"/>
      <c r="D67" s="568" t="str">
        <f t="shared" si="21"/>
        <v>Đắp đất</v>
      </c>
      <c r="E67" s="568"/>
      <c r="F67" s="568"/>
      <c r="G67" s="568"/>
      <c r="H67" s="569">
        <f t="shared" si="17"/>
        <v>0</v>
      </c>
      <c r="I67" s="569"/>
      <c r="J67" s="567"/>
      <c r="K67" s="570"/>
      <c r="L67">
        <v>7</v>
      </c>
      <c r="M67" s="101">
        <v>2018</v>
      </c>
      <c r="N67"/>
      <c r="O67" s="103">
        <f t="shared" si="18"/>
        <v>43282</v>
      </c>
      <c r="P67" s="103">
        <f t="shared" si="19"/>
        <v>43312</v>
      </c>
    </row>
    <row r="68" spans="1:16" s="5" customFormat="1" ht="17.100000000000001" customHeight="1">
      <c r="A68" s="104">
        <f t="shared" si="22"/>
        <v>13</v>
      </c>
      <c r="B68" s="567" t="str">
        <f t="shared" si="20"/>
        <v>Tháng 08/2018</v>
      </c>
      <c r="C68" s="567"/>
      <c r="D68" s="568" t="str">
        <f t="shared" si="21"/>
        <v>Đắp đất</v>
      </c>
      <c r="E68" s="568"/>
      <c r="F68" s="568"/>
      <c r="G68" s="568"/>
      <c r="H68" s="569">
        <f t="shared" si="17"/>
        <v>0</v>
      </c>
      <c r="I68" s="569"/>
      <c r="J68" s="567"/>
      <c r="K68" s="570"/>
      <c r="L68">
        <v>8</v>
      </c>
      <c r="M68" s="101">
        <v>2018</v>
      </c>
      <c r="N68"/>
      <c r="O68" s="103">
        <f t="shared" si="18"/>
        <v>43313</v>
      </c>
      <c r="P68" s="103">
        <f t="shared" si="19"/>
        <v>43343</v>
      </c>
    </row>
    <row r="69" spans="1:16" s="5" customFormat="1" ht="17.100000000000001" customHeight="1">
      <c r="A69" s="104">
        <f t="shared" si="22"/>
        <v>14</v>
      </c>
      <c r="B69" s="567" t="str">
        <f t="shared" si="20"/>
        <v>Tháng 09/2018</v>
      </c>
      <c r="C69" s="567"/>
      <c r="D69" s="568" t="str">
        <f t="shared" si="21"/>
        <v>Đắp đất</v>
      </c>
      <c r="E69" s="568"/>
      <c r="F69" s="568"/>
      <c r="G69" s="568"/>
      <c r="H69" s="569">
        <f t="shared" si="17"/>
        <v>0</v>
      </c>
      <c r="I69" s="569"/>
      <c r="J69" s="567"/>
      <c r="K69" s="570"/>
      <c r="L69">
        <v>9</v>
      </c>
      <c r="M69" s="101">
        <v>2018</v>
      </c>
      <c r="N69"/>
      <c r="O69" s="103">
        <f t="shared" si="18"/>
        <v>43344</v>
      </c>
      <c r="P69" s="103">
        <f t="shared" si="19"/>
        <v>43373</v>
      </c>
    </row>
    <row r="70" spans="1:16" s="5" customFormat="1" ht="17.100000000000001" customHeight="1">
      <c r="A70" s="104">
        <f t="shared" si="22"/>
        <v>15</v>
      </c>
      <c r="B70" s="567" t="str">
        <f t="shared" si="20"/>
        <v>Tháng 10/2018</v>
      </c>
      <c r="C70" s="567"/>
      <c r="D70" s="568" t="str">
        <f t="shared" si="21"/>
        <v>Đắp đất</v>
      </c>
      <c r="E70" s="568"/>
      <c r="F70" s="568"/>
      <c r="G70" s="568"/>
      <c r="H70" s="569">
        <f t="shared" si="17"/>
        <v>0</v>
      </c>
      <c r="I70" s="569"/>
      <c r="J70" s="567"/>
      <c r="K70" s="570"/>
      <c r="L70">
        <v>10</v>
      </c>
      <c r="M70" s="101">
        <v>2018</v>
      </c>
      <c r="N70"/>
      <c r="O70" s="103">
        <f t="shared" si="18"/>
        <v>43374</v>
      </c>
      <c r="P70" s="103">
        <f t="shared" si="19"/>
        <v>43404</v>
      </c>
    </row>
    <row r="71" spans="1:16" s="5" customFormat="1" ht="17.100000000000001" customHeight="1">
      <c r="A71" s="104">
        <f t="shared" si="22"/>
        <v>16</v>
      </c>
      <c r="B71" s="567" t="str">
        <f t="shared" si="20"/>
        <v>Tháng 11/2018</v>
      </c>
      <c r="C71" s="567"/>
      <c r="D71" s="568" t="str">
        <f t="shared" si="21"/>
        <v>Đắp đất</v>
      </c>
      <c r="E71" s="568"/>
      <c r="F71" s="568"/>
      <c r="G71" s="568"/>
      <c r="H71" s="569">
        <f t="shared" si="17"/>
        <v>0</v>
      </c>
      <c r="I71" s="569"/>
      <c r="J71" s="567"/>
      <c r="K71" s="570"/>
      <c r="L71">
        <v>11</v>
      </c>
      <c r="M71" s="101">
        <v>2018</v>
      </c>
      <c r="N71"/>
      <c r="O71" s="103">
        <f t="shared" si="18"/>
        <v>43405</v>
      </c>
      <c r="P71" s="103">
        <f t="shared" si="19"/>
        <v>43434</v>
      </c>
    </row>
    <row r="72" spans="1:16" s="5" customFormat="1" ht="17.100000000000001" customHeight="1">
      <c r="A72" s="104">
        <f t="shared" si="22"/>
        <v>17</v>
      </c>
      <c r="B72" s="567" t="str">
        <f t="shared" si="20"/>
        <v>Tháng 12/2018</v>
      </c>
      <c r="C72" s="567"/>
      <c r="D72" s="568" t="str">
        <f t="shared" si="21"/>
        <v>Đắp đất</v>
      </c>
      <c r="E72" s="568"/>
      <c r="F72" s="568"/>
      <c r="G72" s="568"/>
      <c r="H72" s="569">
        <f t="shared" si="17"/>
        <v>0</v>
      </c>
      <c r="I72" s="569"/>
      <c r="J72" s="567"/>
      <c r="K72" s="570"/>
      <c r="L72">
        <v>12</v>
      </c>
      <c r="M72" s="101">
        <v>2018</v>
      </c>
      <c r="N72"/>
      <c r="O72" s="103">
        <f t="shared" si="18"/>
        <v>43435</v>
      </c>
      <c r="P72" s="103">
        <f t="shared" si="19"/>
        <v>43465</v>
      </c>
    </row>
    <row r="73" spans="1:16" s="5" customFormat="1" ht="17.100000000000001" customHeight="1">
      <c r="A73" s="104">
        <f t="shared" si="22"/>
        <v>18</v>
      </c>
      <c r="B73" s="567" t="str">
        <f t="shared" si="20"/>
        <v>Tháng 01/2019</v>
      </c>
      <c r="C73" s="567"/>
      <c r="D73" s="568" t="str">
        <f t="shared" si="21"/>
        <v>Đắp đất</v>
      </c>
      <c r="E73" s="568"/>
      <c r="F73" s="568"/>
      <c r="G73" s="568"/>
      <c r="H73" s="569">
        <f t="shared" si="17"/>
        <v>0</v>
      </c>
      <c r="I73" s="569"/>
      <c r="J73" s="567"/>
      <c r="K73" s="570"/>
      <c r="L73">
        <v>1</v>
      </c>
      <c r="M73" s="101">
        <v>2019</v>
      </c>
      <c r="N73"/>
      <c r="O73" s="103">
        <f t="shared" si="18"/>
        <v>43466</v>
      </c>
      <c r="P73" s="103">
        <f t="shared" si="19"/>
        <v>43496</v>
      </c>
    </row>
    <row r="74" spans="1:16" s="5" customFormat="1" ht="17.100000000000001" customHeight="1">
      <c r="A74" s="104">
        <f t="shared" si="22"/>
        <v>19</v>
      </c>
      <c r="B74" s="567" t="str">
        <f t="shared" si="20"/>
        <v>Tháng 02/2019</v>
      </c>
      <c r="C74" s="567"/>
      <c r="D74" s="568" t="str">
        <f t="shared" si="21"/>
        <v>Đắp đất</v>
      </c>
      <c r="E74" s="568"/>
      <c r="F74" s="568"/>
      <c r="G74" s="568"/>
      <c r="H74" s="569">
        <f t="shared" si="17"/>
        <v>0</v>
      </c>
      <c r="I74" s="569"/>
      <c r="J74" s="567"/>
      <c r="K74" s="570"/>
      <c r="L74">
        <v>2</v>
      </c>
      <c r="M74" s="101">
        <v>2019</v>
      </c>
      <c r="N74"/>
      <c r="O74" s="103">
        <f t="shared" si="18"/>
        <v>43497</v>
      </c>
      <c r="P74" s="103">
        <f t="shared" si="19"/>
        <v>43524</v>
      </c>
    </row>
    <row r="75" spans="1:16" s="5" customFormat="1" ht="17.100000000000001" customHeight="1">
      <c r="A75" s="104">
        <f t="shared" si="22"/>
        <v>20</v>
      </c>
      <c r="B75" s="567" t="str">
        <f t="shared" si="20"/>
        <v>Tháng 03/2019</v>
      </c>
      <c r="C75" s="567"/>
      <c r="D75" s="568" t="str">
        <f t="shared" si="21"/>
        <v>Đắp đất</v>
      </c>
      <c r="E75" s="568"/>
      <c r="F75" s="568"/>
      <c r="G75" s="568"/>
      <c r="H75" s="569">
        <f t="shared" si="17"/>
        <v>0</v>
      </c>
      <c r="I75" s="569"/>
      <c r="J75" s="567"/>
      <c r="K75" s="570"/>
      <c r="L75">
        <v>3</v>
      </c>
      <c r="M75" s="101">
        <v>2019</v>
      </c>
      <c r="N75"/>
      <c r="O75" s="103">
        <f t="shared" si="18"/>
        <v>43525</v>
      </c>
      <c r="P75" s="103">
        <f t="shared" si="19"/>
        <v>43555</v>
      </c>
    </row>
    <row r="76" spans="1:16" s="5" customFormat="1" ht="17.100000000000001" customHeight="1">
      <c r="A76" s="104">
        <f t="shared" si="22"/>
        <v>21</v>
      </c>
      <c r="B76" s="567" t="str">
        <f t="shared" si="20"/>
        <v>Tháng 04/2019</v>
      </c>
      <c r="C76" s="567"/>
      <c r="D76" s="568" t="str">
        <f t="shared" si="21"/>
        <v>Đắp đất</v>
      </c>
      <c r="E76" s="568"/>
      <c r="F76" s="568"/>
      <c r="G76" s="568"/>
      <c r="H76" s="569">
        <f t="shared" si="17"/>
        <v>0</v>
      </c>
      <c r="I76" s="569"/>
      <c r="J76" s="567"/>
      <c r="K76" s="570"/>
      <c r="L76">
        <v>4</v>
      </c>
      <c r="M76" s="101">
        <v>2019</v>
      </c>
      <c r="N76"/>
      <c r="O76" s="103">
        <f t="shared" si="18"/>
        <v>43556</v>
      </c>
      <c r="P76" s="103">
        <f t="shared" si="19"/>
        <v>43585</v>
      </c>
    </row>
    <row r="77" spans="1:16" s="5" customFormat="1" ht="17.100000000000001" customHeight="1">
      <c r="A77" s="104">
        <f t="shared" si="22"/>
        <v>22</v>
      </c>
      <c r="B77" s="567" t="str">
        <f t="shared" si="20"/>
        <v>Tháng 05/2019</v>
      </c>
      <c r="C77" s="567"/>
      <c r="D77" s="568" t="str">
        <f t="shared" si="21"/>
        <v>Đắp đất</v>
      </c>
      <c r="E77" s="568"/>
      <c r="F77" s="568"/>
      <c r="G77" s="568"/>
      <c r="H77" s="569">
        <f>I33</f>
        <v>114.05</v>
      </c>
      <c r="I77" s="569"/>
      <c r="J77" s="567"/>
      <c r="K77" s="570"/>
      <c r="L77">
        <v>5</v>
      </c>
      <c r="M77" s="101">
        <v>2019</v>
      </c>
      <c r="N77"/>
      <c r="O77" s="103">
        <f t="shared" si="18"/>
        <v>43586</v>
      </c>
      <c r="P77" s="103">
        <f t="shared" si="19"/>
        <v>43616</v>
      </c>
    </row>
    <row r="78" spans="1:16" s="5" customFormat="1" ht="17.100000000000001" customHeight="1">
      <c r="A78" s="104">
        <f t="shared" si="22"/>
        <v>23</v>
      </c>
      <c r="B78" s="567" t="str">
        <f t="shared" si="20"/>
        <v>Tháng 06/2019</v>
      </c>
      <c r="C78" s="567"/>
      <c r="D78" s="568" t="str">
        <f t="shared" si="21"/>
        <v>Đắp đất</v>
      </c>
      <c r="E78" s="568"/>
      <c r="F78" s="568"/>
      <c r="G78" s="568"/>
      <c r="H78" s="569">
        <f t="shared" si="17"/>
        <v>0</v>
      </c>
      <c r="I78" s="569"/>
      <c r="J78" s="567"/>
      <c r="K78" s="570"/>
      <c r="L78">
        <v>6</v>
      </c>
      <c r="M78" s="101">
        <v>2019</v>
      </c>
      <c r="N78"/>
      <c r="O78" s="103">
        <f t="shared" si="18"/>
        <v>43617</v>
      </c>
      <c r="P78" s="103">
        <f t="shared" si="19"/>
        <v>43646</v>
      </c>
    </row>
    <row r="79" spans="1:16" s="5" customFormat="1" ht="17.100000000000001" customHeight="1">
      <c r="A79" s="104">
        <f t="shared" si="22"/>
        <v>24</v>
      </c>
      <c r="B79" s="567" t="str">
        <f t="shared" si="20"/>
        <v>Tháng 07/2019</v>
      </c>
      <c r="C79" s="567"/>
      <c r="D79" s="568" t="str">
        <f t="shared" si="21"/>
        <v>Đắp đất</v>
      </c>
      <c r="E79" s="568"/>
      <c r="F79" s="568"/>
      <c r="G79" s="568"/>
      <c r="H79" s="569">
        <f t="shared" si="17"/>
        <v>0</v>
      </c>
      <c r="I79" s="569"/>
      <c r="J79" s="567"/>
      <c r="K79" s="570"/>
      <c r="L79">
        <v>7</v>
      </c>
      <c r="M79" s="101">
        <v>2019</v>
      </c>
      <c r="N79"/>
      <c r="O79" s="103">
        <f t="shared" si="18"/>
        <v>43647</v>
      </c>
      <c r="P79" s="103">
        <f t="shared" si="19"/>
        <v>43677</v>
      </c>
    </row>
    <row r="80" spans="1:16" s="5" customFormat="1" ht="17.100000000000001" customHeight="1">
      <c r="A80" s="104">
        <f t="shared" si="22"/>
        <v>25</v>
      </c>
      <c r="B80" s="567" t="str">
        <f t="shared" si="20"/>
        <v>Tháng 08/2019</v>
      </c>
      <c r="C80" s="567"/>
      <c r="D80" s="568" t="str">
        <f t="shared" si="21"/>
        <v>Đắp đất</v>
      </c>
      <c r="E80" s="568"/>
      <c r="F80" s="568"/>
      <c r="G80" s="568"/>
      <c r="H80" s="569">
        <f>+SUMIFS($I$12:$I$53,$B$12:$B$53,"&gt;="&amp;$O80,$B$12:$B$53,"&lt;="&amp;$P80)</f>
        <v>0</v>
      </c>
      <c r="I80" s="569"/>
      <c r="J80" s="567"/>
      <c r="K80" s="570"/>
      <c r="L80">
        <v>8</v>
      </c>
      <c r="M80" s="101">
        <v>2019</v>
      </c>
      <c r="N80"/>
      <c r="O80" s="103">
        <f t="shared" si="18"/>
        <v>43678</v>
      </c>
      <c r="P80" s="103">
        <f t="shared" si="19"/>
        <v>43708</v>
      </c>
    </row>
    <row r="81" spans="1:20" s="5" customFormat="1" ht="17.100000000000001" customHeight="1">
      <c r="A81" s="104">
        <f t="shared" si="22"/>
        <v>26</v>
      </c>
      <c r="B81" s="616" t="str">
        <f t="shared" si="20"/>
        <v>Tháng 09/2019</v>
      </c>
      <c r="C81" s="616"/>
      <c r="D81" s="652" t="str">
        <f>D79</f>
        <v>Đắp đất</v>
      </c>
      <c r="E81" s="652"/>
      <c r="F81" s="652"/>
      <c r="G81" s="652"/>
      <c r="H81" s="615">
        <f>+SUMIFS($I$12:$I$53,$B$12:$B$53,"&gt;="&amp;$O81,$B$12:$B$53,"&lt;="&amp;$P81)</f>
        <v>0</v>
      </c>
      <c r="I81" s="615"/>
      <c r="J81" s="616"/>
      <c r="K81" s="617"/>
      <c r="L81">
        <v>9</v>
      </c>
      <c r="M81" s="101">
        <v>2019</v>
      </c>
      <c r="N81"/>
      <c r="O81" s="103">
        <f>DATE(M81,L81,1)</f>
        <v>43709</v>
      </c>
      <c r="P81" s="103">
        <f>DATE(M81,L81+1,0)</f>
        <v>43738</v>
      </c>
    </row>
    <row r="82" spans="1:20" s="5" customFormat="1" ht="21.6" customHeight="1" thickBot="1">
      <c r="A82" s="618" t="s">
        <v>86</v>
      </c>
      <c r="B82" s="619"/>
      <c r="C82" s="619"/>
      <c r="D82" s="619"/>
      <c r="E82" s="619"/>
      <c r="F82" s="619"/>
      <c r="G82" s="620"/>
      <c r="H82" s="621">
        <f t="shared" ref="H82" si="23">SUM(H56:I81)</f>
        <v>114.05</v>
      </c>
      <c r="I82" s="622"/>
      <c r="J82" s="621"/>
      <c r="K82" s="622"/>
      <c r="L82"/>
      <c r="M82"/>
      <c r="N82"/>
      <c r="O82"/>
      <c r="P82"/>
    </row>
    <row r="83" spans="1:20" s="5" customFormat="1" ht="18" customHeight="1" thickTop="1" thickBot="1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4"/>
      <c r="M83" s="4"/>
      <c r="N83" s="4"/>
      <c r="O83" s="4"/>
      <c r="P83" s="20"/>
    </row>
    <row r="84" spans="1:20" s="5" customFormat="1" ht="13.9" customHeight="1" thickTop="1">
      <c r="A84" s="647" t="s">
        <v>68</v>
      </c>
      <c r="B84" s="648"/>
      <c r="C84" s="648"/>
      <c r="D84" s="648"/>
      <c r="E84" s="648"/>
      <c r="F84" s="649" t="s">
        <v>69</v>
      </c>
      <c r="G84" s="649"/>
      <c r="H84" s="649"/>
      <c r="I84" s="650"/>
      <c r="J84" s="650"/>
      <c r="K84" s="651"/>
      <c r="L84" s="4"/>
      <c r="M84" s="4"/>
      <c r="N84" s="4"/>
      <c r="O84" s="4"/>
      <c r="P84" s="4"/>
    </row>
    <row r="85" spans="1:20" s="5" customFormat="1" ht="13.9" customHeight="1">
      <c r="A85" s="583" t="s">
        <v>5</v>
      </c>
      <c r="B85" s="584"/>
      <c r="C85" s="584"/>
      <c r="D85" s="584"/>
      <c r="E85" s="584"/>
      <c r="F85" s="585" t="s">
        <v>6</v>
      </c>
      <c r="G85" s="585"/>
      <c r="H85" s="585"/>
      <c r="I85" s="586"/>
      <c r="J85" s="586"/>
      <c r="K85" s="587"/>
      <c r="L85" s="4"/>
      <c r="M85" s="4"/>
      <c r="N85" s="4"/>
      <c r="O85" s="4"/>
      <c r="P85" s="4"/>
    </row>
    <row r="86" spans="1:20" s="5" customFormat="1" ht="13.9" customHeight="1">
      <c r="A86" s="583" t="s">
        <v>836</v>
      </c>
      <c r="B86" s="584"/>
      <c r="C86" s="584"/>
      <c r="D86" s="584"/>
      <c r="E86" s="584"/>
      <c r="F86" s="590" t="s">
        <v>837</v>
      </c>
      <c r="G86" s="590"/>
      <c r="H86" s="590"/>
      <c r="I86" s="591"/>
      <c r="J86" s="591"/>
      <c r="K86" s="592"/>
      <c r="L86" s="4"/>
      <c r="M86" s="4"/>
      <c r="N86" s="4"/>
      <c r="O86" s="4"/>
      <c r="P86" s="4"/>
    </row>
    <row r="87" spans="1:20" s="5" customFormat="1" ht="13.9" customHeight="1">
      <c r="A87" s="583"/>
      <c r="B87" s="584"/>
      <c r="C87" s="584"/>
      <c r="D87" s="584"/>
      <c r="E87" s="584"/>
      <c r="F87" s="590"/>
      <c r="G87" s="590"/>
      <c r="H87" s="590"/>
      <c r="I87" s="591"/>
      <c r="J87" s="591"/>
      <c r="K87" s="592"/>
      <c r="L87" s="4"/>
      <c r="M87" s="4"/>
      <c r="N87" s="4"/>
      <c r="O87" s="4"/>
      <c r="P87" s="4"/>
    </row>
    <row r="88" spans="1:20" s="5" customFormat="1" ht="13.9" customHeight="1">
      <c r="A88" s="583"/>
      <c r="B88" s="584"/>
      <c r="C88" s="584"/>
      <c r="D88" s="584"/>
      <c r="E88" s="584"/>
      <c r="F88" s="590"/>
      <c r="G88" s="590"/>
      <c r="H88" s="590"/>
      <c r="I88" s="591"/>
      <c r="J88" s="591"/>
      <c r="K88" s="592"/>
      <c r="L88" s="4"/>
      <c r="M88" s="4"/>
      <c r="N88" s="4"/>
      <c r="O88" s="4"/>
      <c r="P88" s="4"/>
    </row>
    <row r="89" spans="1:20" s="5" customFormat="1" ht="13.9" customHeight="1">
      <c r="A89" s="583"/>
      <c r="B89" s="584"/>
      <c r="C89" s="584"/>
      <c r="D89" s="584"/>
      <c r="E89" s="584"/>
      <c r="F89" s="590"/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20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20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20" s="5" customFormat="1" ht="13.9" customHeight="1" thickBot="1">
      <c r="A92" s="588"/>
      <c r="B92" s="589"/>
      <c r="C92" s="589"/>
      <c r="D92" s="589"/>
      <c r="E92" s="589"/>
      <c r="F92" s="593"/>
      <c r="G92" s="593"/>
      <c r="H92" s="593"/>
      <c r="I92" s="594"/>
      <c r="J92" s="594"/>
      <c r="K92" s="595"/>
      <c r="L92" s="4"/>
      <c r="M92" s="4"/>
      <c r="N92" s="4"/>
      <c r="O92" s="4"/>
      <c r="P92" s="4"/>
    </row>
    <row r="93" spans="1:20" s="5" customFormat="1" ht="15.75" thickTop="1">
      <c r="A93" s="4"/>
      <c r="B93" s="12"/>
      <c r="C93" s="10"/>
      <c r="D93" s="10"/>
      <c r="E93" s="10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R93" s="4"/>
      <c r="S93" s="4"/>
      <c r="T93" s="4"/>
    </row>
  </sheetData>
  <mergeCells count="166">
    <mergeCell ref="I9:I11"/>
    <mergeCell ref="J9:J11"/>
    <mergeCell ref="K9:K11"/>
    <mergeCell ref="C12:E12"/>
    <mergeCell ref="C32:E3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31"/>
    <mergeCell ref="C13:E13"/>
    <mergeCell ref="C14:E14"/>
    <mergeCell ref="C15:E15"/>
    <mergeCell ref="C16:E16"/>
    <mergeCell ref="C17:E17"/>
    <mergeCell ref="C18:E18"/>
    <mergeCell ref="C19:E19"/>
    <mergeCell ref="C29:E29"/>
    <mergeCell ref="A45:K45"/>
    <mergeCell ref="A46:K46"/>
    <mergeCell ref="A47:K47"/>
    <mergeCell ref="A48:K48"/>
    <mergeCell ref="A49:K49"/>
    <mergeCell ref="A52:D52"/>
    <mergeCell ref="A33:E33"/>
    <mergeCell ref="A35:E35"/>
    <mergeCell ref="F35:K35"/>
    <mergeCell ref="A36:E36"/>
    <mergeCell ref="F36:K36"/>
    <mergeCell ref="A37:E43"/>
    <mergeCell ref="F37:K43"/>
    <mergeCell ref="A54:A55"/>
    <mergeCell ref="B54:C55"/>
    <mergeCell ref="D54:G55"/>
    <mergeCell ref="H54:I55"/>
    <mergeCell ref="J54:K55"/>
    <mergeCell ref="B56:C56"/>
    <mergeCell ref="D56:G56"/>
    <mergeCell ref="H56:I56"/>
    <mergeCell ref="J56:K56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67:C67"/>
    <mergeCell ref="D67:G67"/>
    <mergeCell ref="H67:I67"/>
    <mergeCell ref="J67:K67"/>
    <mergeCell ref="B68:C68"/>
    <mergeCell ref="D68:G68"/>
    <mergeCell ref="H68:I68"/>
    <mergeCell ref="J68:K68"/>
    <mergeCell ref="B65:C65"/>
    <mergeCell ref="D65:G65"/>
    <mergeCell ref="H65:I65"/>
    <mergeCell ref="J65:K65"/>
    <mergeCell ref="B66:C66"/>
    <mergeCell ref="D66:G66"/>
    <mergeCell ref="H66:I66"/>
    <mergeCell ref="J66:K66"/>
    <mergeCell ref="B71:C71"/>
    <mergeCell ref="D71:G71"/>
    <mergeCell ref="H71:I71"/>
    <mergeCell ref="J71:K71"/>
    <mergeCell ref="B72:C72"/>
    <mergeCell ref="D72:G72"/>
    <mergeCell ref="H72:I72"/>
    <mergeCell ref="J72:K72"/>
    <mergeCell ref="B69:C69"/>
    <mergeCell ref="D69:G69"/>
    <mergeCell ref="H69:I69"/>
    <mergeCell ref="J69:K69"/>
    <mergeCell ref="B70:C70"/>
    <mergeCell ref="D70:G70"/>
    <mergeCell ref="H70:I70"/>
    <mergeCell ref="J70:K70"/>
    <mergeCell ref="B75:C75"/>
    <mergeCell ref="D75:G75"/>
    <mergeCell ref="H75:I75"/>
    <mergeCell ref="J75:K75"/>
    <mergeCell ref="B76:C76"/>
    <mergeCell ref="D76:G76"/>
    <mergeCell ref="H76:I76"/>
    <mergeCell ref="J76:K76"/>
    <mergeCell ref="B73:C73"/>
    <mergeCell ref="D73:G73"/>
    <mergeCell ref="H73:I73"/>
    <mergeCell ref="J73:K73"/>
    <mergeCell ref="B74:C74"/>
    <mergeCell ref="D74:G74"/>
    <mergeCell ref="H74:I74"/>
    <mergeCell ref="J74:K74"/>
    <mergeCell ref="B79:C79"/>
    <mergeCell ref="D79:G79"/>
    <mergeCell ref="H79:I79"/>
    <mergeCell ref="J79:K79"/>
    <mergeCell ref="B80:C80"/>
    <mergeCell ref="D80:G80"/>
    <mergeCell ref="H80:I80"/>
    <mergeCell ref="J80:K80"/>
    <mergeCell ref="B77:C77"/>
    <mergeCell ref="D77:G77"/>
    <mergeCell ref="H77:I77"/>
    <mergeCell ref="J77:K77"/>
    <mergeCell ref="B78:C78"/>
    <mergeCell ref="D78:G78"/>
    <mergeCell ref="H78:I78"/>
    <mergeCell ref="J78:K78"/>
    <mergeCell ref="B81:C81"/>
    <mergeCell ref="D81:G81"/>
    <mergeCell ref="H81:I81"/>
    <mergeCell ref="J81:K81"/>
    <mergeCell ref="A86:E92"/>
    <mergeCell ref="F86:K92"/>
    <mergeCell ref="A82:G82"/>
    <mergeCell ref="H82:I82"/>
    <mergeCell ref="J82:K82"/>
    <mergeCell ref="A84:E84"/>
    <mergeCell ref="F84:K84"/>
    <mergeCell ref="A85:E85"/>
    <mergeCell ref="F85:K85"/>
    <mergeCell ref="C30:E30"/>
    <mergeCell ref="C31:E31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44" max="10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1">
    <tabColor theme="0" tint="-0.14999847407452621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C.II.1.4. Tường chắn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280</v>
      </c>
      <c r="N5" s="245" t="str">
        <f>'PHAN KHAI'!C134</f>
        <v>Tường chắn</v>
      </c>
      <c r="Q5" s="17"/>
    </row>
    <row r="6" spans="1:20" s="16" customFormat="1" ht="15.75" customHeight="1">
      <c r="A6" s="91" t="str">
        <f>L6&amp;M6&amp;". "&amp;N6</f>
        <v>Mục C.II.1.4.3. Bê tông lót móng 10 Mpa (B&gt;250cm)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C.II.1.4.</v>
      </c>
      <c r="M6" s="16">
        <v>3</v>
      </c>
      <c r="N6" s="245" t="str">
        <f>THKLQT!C137</f>
        <v>Bê tông lót móng 10 Mpa (B&gt;250cm)</v>
      </c>
      <c r="Q6" s="17"/>
    </row>
    <row r="7" spans="1:20" s="178" customFormat="1" ht="18.75" customHeight="1">
      <c r="A7" s="634">
        <f>I15</f>
        <v>14.44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THKLQT!D137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v>43575</v>
      </c>
      <c r="C12" s="571" t="str">
        <f>T12</f>
        <v>Bê tông lót móng 10 Mpa (B&gt;250cm) A1</v>
      </c>
      <c r="D12" s="572"/>
      <c r="E12" s="573"/>
      <c r="F12" s="2">
        <f>'[6]TONG KL '!$G$34</f>
        <v>8.1199999999999992</v>
      </c>
      <c r="G12" s="1">
        <f>P12</f>
        <v>8.1199999999999992</v>
      </c>
      <c r="H12" s="295">
        <f>P12</f>
        <v>8.1199999999999992</v>
      </c>
      <c r="I12" s="107">
        <f>P12</f>
        <v>8.1199999999999992</v>
      </c>
      <c r="J12" s="107">
        <f>P12</f>
        <v>8.1199999999999992</v>
      </c>
      <c r="K12" s="82"/>
      <c r="N12" s="118"/>
      <c r="O12" s="118" t="s">
        <v>349</v>
      </c>
      <c r="P12" s="88">
        <v>8.1199999999999992</v>
      </c>
      <c r="Q12" s="89">
        <v>43622</v>
      </c>
      <c r="R12" s="88"/>
      <c r="S12" s="88" t="e">
        <f>VLOOKUP($S$11,hamchuigoi3,M12,0)</f>
        <v>#VALUE!</v>
      </c>
      <c r="T12" s="3" t="str">
        <f t="shared" ref="T12:T13" si="0">$N$6&amp;" "&amp;O12</f>
        <v>Bê tông lót móng 10 Mpa (B&gt;250cm) A1</v>
      </c>
    </row>
    <row r="13" spans="1:20" ht="14.25" outlineLevel="2">
      <c r="A13" s="81">
        <f>SUBTOTAL(103,$B$12:B13)</f>
        <v>2</v>
      </c>
      <c r="B13" s="78">
        <v>43578</v>
      </c>
      <c r="C13" s="571" t="str">
        <f>T13</f>
        <v>Bê tông lót móng 10 Mpa (B&gt;250cm) A2</v>
      </c>
      <c r="D13" s="572"/>
      <c r="E13" s="573"/>
      <c r="F13" s="2">
        <f>'[6]TONG KL '!$H$34</f>
        <v>6.32</v>
      </c>
      <c r="G13" s="1">
        <f>P13</f>
        <v>6.32</v>
      </c>
      <c r="H13" s="295">
        <f>P13</f>
        <v>6.32</v>
      </c>
      <c r="I13" s="107">
        <f>P13</f>
        <v>6.32</v>
      </c>
      <c r="J13" s="107">
        <f>P13</f>
        <v>6.32</v>
      </c>
      <c r="K13" s="82"/>
      <c r="N13" s="118"/>
      <c r="O13" s="118" t="s">
        <v>348</v>
      </c>
      <c r="P13" s="88">
        <v>6.32</v>
      </c>
      <c r="Q13" s="89">
        <v>43617</v>
      </c>
      <c r="R13" s="88"/>
      <c r="S13" s="88" t="e">
        <f>VLOOKUP($S$11,hamchuigoi3,M13,0)</f>
        <v>#VALUE!</v>
      </c>
      <c r="T13" s="3" t="str">
        <f t="shared" si="0"/>
        <v>Bê tông lót móng 10 Mpa (B&gt;250cm)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'!$I$34</f>
        <v>14.44</v>
      </c>
      <c r="G15" s="79">
        <f>ROUND(SUM(G12:G14),2)</f>
        <v>14.44</v>
      </c>
      <c r="H15" s="79">
        <f>ROUND(SUM(H12:H14),2)</f>
        <v>14.44</v>
      </c>
      <c r="I15" s="79">
        <f>ROUND(SUM(I12:I14),2)</f>
        <v>14.44</v>
      </c>
      <c r="J15" s="79">
        <f>ROUND(SUM(J12:J14),2)</f>
        <v>14.44</v>
      </c>
      <c r="K15" s="80"/>
      <c r="N15" s="118"/>
      <c r="O15" s="118"/>
      <c r="P15" s="90">
        <f>SUM(P12:P12)</f>
        <v>8.1199999999999992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C.II.1.4. Tường chắn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C.II.1.4.3. Bê tông lót móng 10 Mpa (B&gt;250cm)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14.44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Bê tông lót móng 10 Mpa (B&gt;250cm)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Bê tông lót móng 10 Mpa (B&gt;250cm)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Bê tông lót móng 10 Mpa (B&gt;250cm)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Bê tông lót móng 10 Mpa (B&gt;250cm)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Bê tông lót móng 10 Mpa (B&gt;250cm)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Bê tông lót móng 10 Mpa (B&gt;250cm)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Bê tông lót móng 10 Mpa (B&gt;250cm)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Bê tông lót móng 10 Mpa (B&gt;250cm)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Bê tông lót móng 10 Mpa (B&gt;250cm)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Bê tông lót móng 10 Mpa (B&gt;250cm)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Bê tông lót móng 10 Mpa (B&gt;250cm)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Bê tông lót móng 10 Mpa (B&gt;250cm)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Bê tông lót móng 10 Mpa (B&gt;250cm)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Bê tông lót móng 10 Mpa (B&gt;250cm)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Bê tông lót móng 10 Mpa (B&gt;250cm)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Bê tông lót móng 10 Mpa (B&gt;250cm)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Bê tông lót móng 10 Mpa (B&gt;250cm)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Bê tông lót móng 10 Mpa (B&gt;250cm)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Bê tông lót móng 10 Mpa (B&gt;250cm)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Bê tông lót móng 10 Mpa (B&gt;250cm)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Bê tông lót móng 10 Mpa (B&gt;250cm)</v>
      </c>
      <c r="E58" s="568"/>
      <c r="F58" s="568"/>
      <c r="G58" s="568"/>
      <c r="H58" s="569">
        <f t="shared" si="1"/>
        <v>14.44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Bê tông lót móng 10 Mpa (B&gt;250cm)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Bê tông lót móng 10 Mpa (B&gt;250cm)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Bê tông lót móng 10 Mpa (B&gt;250cm)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Bê tông lót móng 10 Mpa (B&gt;250cm)</v>
      </c>
      <c r="E62" s="568"/>
      <c r="F62" s="568"/>
      <c r="G62" s="568"/>
      <c r="H62" s="569">
        <f t="shared" ref="H62:H63" si="7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Bê tông lót móng 10 Mpa (B&gt;250cm)</v>
      </c>
      <c r="E63" s="652"/>
      <c r="F63" s="652"/>
      <c r="G63" s="652"/>
      <c r="H63" s="615">
        <f t="shared" si="7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8">SUM(H38:I63)</f>
        <v>14.44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>
    <tabColor theme="0" tint="-0.14999847407452621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C.II.1.4. Tường chắn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280</v>
      </c>
      <c r="N5" s="245" t="str">
        <f>'PHAN KHAI'!C134</f>
        <v>Tường chắn</v>
      </c>
      <c r="Q5" s="17"/>
    </row>
    <row r="6" spans="1:20" s="16" customFormat="1" ht="15.75" customHeight="1">
      <c r="A6" s="91" t="str">
        <f>L6&amp;M6&amp;". "&amp;N6</f>
        <v>Mục C.II.1.4.4. Bê tông tường đổ tại chỗ 16MPa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C.II.1.4.</v>
      </c>
      <c r="M6" s="16">
        <v>4</v>
      </c>
      <c r="N6" s="245" t="str">
        <f>THKLQT!C138</f>
        <v>Bê tông tường đổ tại chỗ 16MPa</v>
      </c>
      <c r="Q6" s="17"/>
    </row>
    <row r="7" spans="1:20" s="178" customFormat="1" ht="18.75" customHeight="1">
      <c r="A7" s="634">
        <f>I15</f>
        <v>286.08999999999997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THKLQT!D138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375">
        <v>43585</v>
      </c>
      <c r="C12" s="571" t="str">
        <f>T12</f>
        <v>Bê tông tường đổ tại chỗ 16MPa A1</v>
      </c>
      <c r="D12" s="572"/>
      <c r="E12" s="573"/>
      <c r="F12" s="2">
        <f>'[6]TONG KL '!$G$33</f>
        <v>188.68</v>
      </c>
      <c r="G12" s="1">
        <f>P12</f>
        <v>188.68</v>
      </c>
      <c r="H12" s="295">
        <f>59.46+66.2+63.02</f>
        <v>188.68</v>
      </c>
      <c r="I12" s="107">
        <f>P12</f>
        <v>188.68</v>
      </c>
      <c r="J12" s="107">
        <f>P12</f>
        <v>188.68</v>
      </c>
      <c r="K12" s="82"/>
      <c r="N12" s="118"/>
      <c r="O12" s="118" t="s">
        <v>349</v>
      </c>
      <c r="P12" s="88">
        <v>188.68</v>
      </c>
      <c r="Q12" s="89">
        <v>43622</v>
      </c>
      <c r="R12" s="88"/>
      <c r="S12" s="88" t="e">
        <f>VLOOKUP($S$11,hamchuigoi3,M12,0)</f>
        <v>#VALUE!</v>
      </c>
      <c r="T12" s="3" t="str">
        <f t="shared" ref="T12:T13" si="0">$N$6&amp;" "&amp;O12</f>
        <v>Bê tông tường đổ tại chỗ 16MPa A1</v>
      </c>
    </row>
    <row r="13" spans="1:20" ht="14.25" outlineLevel="2">
      <c r="A13" s="81">
        <f>SUBTOTAL(103,$B$12:B13)</f>
        <v>2</v>
      </c>
      <c r="B13" s="78">
        <v>43587</v>
      </c>
      <c r="C13" s="571" t="str">
        <f>T13</f>
        <v>Bê tông tường đổ tại chỗ 16MPa A2</v>
      </c>
      <c r="D13" s="572"/>
      <c r="E13" s="573"/>
      <c r="F13" s="2">
        <f>'[6]TONG KL '!$H$33</f>
        <v>97.41</v>
      </c>
      <c r="G13" s="1">
        <f>P13</f>
        <v>97.41</v>
      </c>
      <c r="H13" s="295">
        <f>P13</f>
        <v>97.41</v>
      </c>
      <c r="I13" s="107">
        <f>P13</f>
        <v>97.41</v>
      </c>
      <c r="J13" s="107">
        <f>P13</f>
        <v>97.41</v>
      </c>
      <c r="K13" s="82"/>
      <c r="N13" s="118"/>
      <c r="O13" s="118" t="s">
        <v>348</v>
      </c>
      <c r="P13" s="88">
        <v>97.41</v>
      </c>
      <c r="Q13" s="89">
        <v>43617</v>
      </c>
      <c r="R13" s="88"/>
      <c r="S13" s="88" t="e">
        <f>VLOOKUP($S$11,hamchuigoi3,M13,0)</f>
        <v>#VALUE!</v>
      </c>
      <c r="T13" s="3" t="str">
        <f t="shared" si="0"/>
        <v>Bê tông tường đổ tại chỗ 16MPa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'!$I$33</f>
        <v>286.08999999999997</v>
      </c>
      <c r="G15" s="79">
        <f>ROUND(SUM(G12:G14),2)</f>
        <v>286.08999999999997</v>
      </c>
      <c r="H15" s="79">
        <f>ROUND(SUM(H12:H14),2)</f>
        <v>286.08999999999997</v>
      </c>
      <c r="I15" s="79">
        <f>ROUND(SUM(I12:I14),2)</f>
        <v>286.08999999999997</v>
      </c>
      <c r="J15" s="79">
        <f>ROUND(SUM(J12:J14),2)</f>
        <v>286.08999999999997</v>
      </c>
      <c r="K15" s="80"/>
      <c r="N15" s="118"/>
      <c r="O15" s="118"/>
      <c r="P15" s="90">
        <f>SUM(P12:P12)</f>
        <v>188.68</v>
      </c>
    </row>
    <row r="16" spans="1:20" s="175" customFormat="1" ht="18" customHeight="1" thickTop="1" thickBot="1">
      <c r="A16" s="253"/>
      <c r="B16" s="253"/>
      <c r="C16" s="253"/>
      <c r="D16" s="253"/>
      <c r="E16" s="253"/>
      <c r="F16" s="116"/>
      <c r="G16" s="116"/>
      <c r="H16" s="116"/>
      <c r="I16" s="116"/>
      <c r="J16" s="116"/>
      <c r="K16" s="117"/>
      <c r="L16" s="4"/>
      <c r="M16" s="4"/>
      <c r="N16" s="118">
        <v>66.2</v>
      </c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>
        <v>63</v>
      </c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>
        <v>59.46</v>
      </c>
      <c r="O18" s="4"/>
      <c r="P18" s="4">
        <v>42.24</v>
      </c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>
        <v>55.2</v>
      </c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53"/>
      <c r="B26" s="253"/>
      <c r="C26" s="253"/>
      <c r="D26" s="253"/>
      <c r="E26" s="253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4" t="str">
        <f>A5</f>
        <v>Hạng mục C.II.1.4. Tường chắn</v>
      </c>
      <c r="B32" s="255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54" t="str">
        <f>A6</f>
        <v>Mục C.II.1.4.4. Bê tông tường đổ tại chỗ 16MPa</v>
      </c>
      <c r="B33" s="255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286.08999999999997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Bê tông tường đổ tại chỗ 16MPa</v>
      </c>
      <c r="E38" s="624"/>
      <c r="F38" s="624"/>
      <c r="G38" s="624"/>
      <c r="H38" s="625">
        <f t="shared" ref="H38:H61" si="1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2">DATE(M38,L38,1)</f>
        <v>42948</v>
      </c>
      <c r="P38" s="103">
        <f t="shared" ref="P38:P62" si="3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4">"Tháng "&amp;IF(L39&lt;10,0&amp;L39&amp;"/"&amp;M39,L39&amp;"/"&amp;M39)</f>
        <v>Tháng 09/2017</v>
      </c>
      <c r="C39" s="567"/>
      <c r="D39" s="568" t="str">
        <f>D38</f>
        <v>Bê tông tường đổ tại chỗ 16MPa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2"/>
        <v>42979</v>
      </c>
      <c r="P39" s="103">
        <f t="shared" si="3"/>
        <v>43008</v>
      </c>
    </row>
    <row r="40" spans="1:20" s="5" customFormat="1" ht="17.100000000000001" customHeight="1">
      <c r="A40" s="104">
        <f>A39+1</f>
        <v>3</v>
      </c>
      <c r="B40" s="567" t="str">
        <f t="shared" si="4"/>
        <v>Tháng 10/2017</v>
      </c>
      <c r="C40" s="567"/>
      <c r="D40" s="568" t="str">
        <f t="shared" ref="D40:D62" si="5">D39</f>
        <v>Bê tông tường đổ tại chỗ 16MPa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2"/>
        <v>43009</v>
      </c>
      <c r="P40" s="103">
        <f t="shared" si="3"/>
        <v>43039</v>
      </c>
    </row>
    <row r="41" spans="1:20" s="5" customFormat="1" ht="17.100000000000001" customHeight="1">
      <c r="A41" s="104">
        <f t="shared" ref="A41:A63" si="6">A40+1</f>
        <v>4</v>
      </c>
      <c r="B41" s="567" t="str">
        <f t="shared" si="4"/>
        <v>Tháng 11/2017</v>
      </c>
      <c r="C41" s="567"/>
      <c r="D41" s="568" t="str">
        <f t="shared" si="5"/>
        <v>Bê tông tường đổ tại chỗ 16MPa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2"/>
        <v>43040</v>
      </c>
      <c r="P41" s="103">
        <f t="shared" si="3"/>
        <v>43069</v>
      </c>
    </row>
    <row r="42" spans="1:20" s="5" customFormat="1" ht="17.100000000000001" customHeight="1">
      <c r="A42" s="104">
        <f t="shared" si="6"/>
        <v>5</v>
      </c>
      <c r="B42" s="567" t="str">
        <f t="shared" si="4"/>
        <v>Tháng 12/2017</v>
      </c>
      <c r="C42" s="567"/>
      <c r="D42" s="568" t="str">
        <f t="shared" si="5"/>
        <v>Bê tông tường đổ tại chỗ 16MPa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2"/>
        <v>43070</v>
      </c>
      <c r="P42" s="103">
        <f t="shared" si="3"/>
        <v>43100</v>
      </c>
    </row>
    <row r="43" spans="1:20" s="5" customFormat="1" ht="17.100000000000001" customHeight="1">
      <c r="A43" s="104">
        <f t="shared" si="6"/>
        <v>6</v>
      </c>
      <c r="B43" s="567" t="str">
        <f t="shared" si="4"/>
        <v>Tháng 01/2018</v>
      </c>
      <c r="C43" s="567"/>
      <c r="D43" s="568" t="str">
        <f t="shared" si="5"/>
        <v>Bê tông tường đổ tại chỗ 16MPa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2"/>
        <v>43101</v>
      </c>
      <c r="P43" s="103">
        <f t="shared" si="3"/>
        <v>43131</v>
      </c>
    </row>
    <row r="44" spans="1:20" s="5" customFormat="1" ht="17.100000000000001" customHeight="1">
      <c r="A44" s="104">
        <f t="shared" si="6"/>
        <v>7</v>
      </c>
      <c r="B44" s="567" t="str">
        <f t="shared" si="4"/>
        <v>Tháng 02/2018</v>
      </c>
      <c r="C44" s="567"/>
      <c r="D44" s="568" t="str">
        <f t="shared" si="5"/>
        <v>Bê tông tường đổ tại chỗ 16MPa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2"/>
        <v>43132</v>
      </c>
      <c r="P44" s="103">
        <f t="shared" si="3"/>
        <v>43159</v>
      </c>
    </row>
    <row r="45" spans="1:20" s="5" customFormat="1" ht="17.100000000000001" customHeight="1">
      <c r="A45" s="104">
        <f t="shared" si="6"/>
        <v>8</v>
      </c>
      <c r="B45" s="567" t="str">
        <f t="shared" si="4"/>
        <v>Tháng 03/2018</v>
      </c>
      <c r="C45" s="567"/>
      <c r="D45" s="568" t="str">
        <f t="shared" si="5"/>
        <v>Bê tông tường đổ tại chỗ 16MPa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2"/>
        <v>43160</v>
      </c>
      <c r="P45" s="103">
        <f t="shared" si="3"/>
        <v>43190</v>
      </c>
    </row>
    <row r="46" spans="1:20" s="5" customFormat="1" ht="17.100000000000001" customHeight="1">
      <c r="A46" s="104">
        <f t="shared" si="6"/>
        <v>9</v>
      </c>
      <c r="B46" s="567" t="str">
        <f t="shared" si="4"/>
        <v>Tháng 04/2018</v>
      </c>
      <c r="C46" s="567"/>
      <c r="D46" s="568" t="str">
        <f t="shared" si="5"/>
        <v>Bê tông tường đổ tại chỗ 16MPa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2"/>
        <v>43191</v>
      </c>
      <c r="P46" s="103">
        <f t="shared" si="3"/>
        <v>43220</v>
      </c>
    </row>
    <row r="47" spans="1:20" s="5" customFormat="1" ht="17.100000000000001" customHeight="1">
      <c r="A47" s="104">
        <f t="shared" si="6"/>
        <v>10</v>
      </c>
      <c r="B47" s="567" t="str">
        <f t="shared" si="4"/>
        <v>Tháng 05/2018</v>
      </c>
      <c r="C47" s="567"/>
      <c r="D47" s="568" t="str">
        <f t="shared" si="5"/>
        <v>Bê tông tường đổ tại chỗ 16MPa</v>
      </c>
      <c r="E47" s="568"/>
      <c r="F47" s="568"/>
      <c r="G47" s="568"/>
      <c r="H47" s="569">
        <f t="shared" si="1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2"/>
        <v>43221</v>
      </c>
      <c r="P47" s="103">
        <f t="shared" si="3"/>
        <v>43251</v>
      </c>
    </row>
    <row r="48" spans="1:20" s="5" customFormat="1" ht="17.100000000000001" customHeight="1">
      <c r="A48" s="104">
        <f t="shared" si="6"/>
        <v>11</v>
      </c>
      <c r="B48" s="567" t="str">
        <f t="shared" si="4"/>
        <v>Tháng 06/2018</v>
      </c>
      <c r="C48" s="567"/>
      <c r="D48" s="568" t="str">
        <f t="shared" si="5"/>
        <v>Bê tông tường đổ tại chỗ 16MPa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2"/>
        <v>43252</v>
      </c>
      <c r="P48" s="103">
        <f t="shared" si="3"/>
        <v>43281</v>
      </c>
    </row>
    <row r="49" spans="1:16" s="5" customFormat="1" ht="17.100000000000001" customHeight="1">
      <c r="A49" s="104">
        <f t="shared" si="6"/>
        <v>12</v>
      </c>
      <c r="B49" s="567" t="str">
        <f t="shared" si="4"/>
        <v>Tháng 07/2018</v>
      </c>
      <c r="C49" s="567"/>
      <c r="D49" s="568" t="str">
        <f t="shared" si="5"/>
        <v>Bê tông tường đổ tại chỗ 16MPa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2"/>
        <v>43282</v>
      </c>
      <c r="P49" s="103">
        <f t="shared" si="3"/>
        <v>43312</v>
      </c>
    </row>
    <row r="50" spans="1:16" s="5" customFormat="1" ht="17.100000000000001" customHeight="1">
      <c r="A50" s="104">
        <f t="shared" si="6"/>
        <v>13</v>
      </c>
      <c r="B50" s="567" t="str">
        <f t="shared" si="4"/>
        <v>Tháng 08/2018</v>
      </c>
      <c r="C50" s="567"/>
      <c r="D50" s="568" t="str">
        <f t="shared" si="5"/>
        <v>Bê tông tường đổ tại chỗ 16MPa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2"/>
        <v>43313</v>
      </c>
      <c r="P50" s="103">
        <f t="shared" si="3"/>
        <v>43343</v>
      </c>
    </row>
    <row r="51" spans="1:16" s="5" customFormat="1" ht="17.100000000000001" customHeight="1">
      <c r="A51" s="104">
        <f t="shared" si="6"/>
        <v>14</v>
      </c>
      <c r="B51" s="567" t="str">
        <f t="shared" si="4"/>
        <v>Tháng 09/2018</v>
      </c>
      <c r="C51" s="567"/>
      <c r="D51" s="568" t="str">
        <f t="shared" si="5"/>
        <v>Bê tông tường đổ tại chỗ 16MPa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2"/>
        <v>43344</v>
      </c>
      <c r="P51" s="103">
        <f t="shared" si="3"/>
        <v>43373</v>
      </c>
    </row>
    <row r="52" spans="1:16" s="5" customFormat="1" ht="17.100000000000001" customHeight="1">
      <c r="A52" s="104">
        <f t="shared" si="6"/>
        <v>15</v>
      </c>
      <c r="B52" s="567" t="str">
        <f t="shared" si="4"/>
        <v>Tháng 10/2018</v>
      </c>
      <c r="C52" s="567"/>
      <c r="D52" s="568" t="str">
        <f t="shared" si="5"/>
        <v>Bê tông tường đổ tại chỗ 16MPa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2"/>
        <v>43374</v>
      </c>
      <c r="P52" s="103">
        <f t="shared" si="3"/>
        <v>43404</v>
      </c>
    </row>
    <row r="53" spans="1:16" s="5" customFormat="1" ht="17.100000000000001" customHeight="1">
      <c r="A53" s="104">
        <f t="shared" si="6"/>
        <v>16</v>
      </c>
      <c r="B53" s="567" t="str">
        <f t="shared" si="4"/>
        <v>Tháng 11/2018</v>
      </c>
      <c r="C53" s="567"/>
      <c r="D53" s="568" t="str">
        <f t="shared" si="5"/>
        <v>Bê tông tường đổ tại chỗ 16MPa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2"/>
        <v>43405</v>
      </c>
      <c r="P53" s="103">
        <f t="shared" si="3"/>
        <v>43434</v>
      </c>
    </row>
    <row r="54" spans="1:16" s="5" customFormat="1" ht="17.100000000000001" customHeight="1">
      <c r="A54" s="104">
        <f t="shared" si="6"/>
        <v>17</v>
      </c>
      <c r="B54" s="567" t="str">
        <f t="shared" si="4"/>
        <v>Tháng 12/2018</v>
      </c>
      <c r="C54" s="567"/>
      <c r="D54" s="568" t="str">
        <f t="shared" si="5"/>
        <v>Bê tông tường đổ tại chỗ 16MPa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2"/>
        <v>43435</v>
      </c>
      <c r="P54" s="103">
        <f t="shared" si="3"/>
        <v>43465</v>
      </c>
    </row>
    <row r="55" spans="1:16" s="5" customFormat="1" ht="17.100000000000001" customHeight="1">
      <c r="A55" s="104">
        <f t="shared" si="6"/>
        <v>18</v>
      </c>
      <c r="B55" s="567" t="str">
        <f t="shared" si="4"/>
        <v>Tháng 01/2019</v>
      </c>
      <c r="C55" s="567"/>
      <c r="D55" s="568" t="str">
        <f t="shared" si="5"/>
        <v>Bê tông tường đổ tại chỗ 16MPa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2"/>
        <v>43466</v>
      </c>
      <c r="P55" s="103">
        <f t="shared" si="3"/>
        <v>43496</v>
      </c>
    </row>
    <row r="56" spans="1:16" s="5" customFormat="1" ht="17.100000000000001" customHeight="1">
      <c r="A56" s="104">
        <f t="shared" si="6"/>
        <v>19</v>
      </c>
      <c r="B56" s="567" t="str">
        <f t="shared" si="4"/>
        <v>Tháng 02/2019</v>
      </c>
      <c r="C56" s="567"/>
      <c r="D56" s="568" t="str">
        <f t="shared" si="5"/>
        <v>Bê tông tường đổ tại chỗ 16MPa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2"/>
        <v>43497</v>
      </c>
      <c r="P56" s="103">
        <f t="shared" si="3"/>
        <v>43524</v>
      </c>
    </row>
    <row r="57" spans="1:16" s="5" customFormat="1" ht="17.100000000000001" customHeight="1">
      <c r="A57" s="104">
        <f t="shared" si="6"/>
        <v>20</v>
      </c>
      <c r="B57" s="567" t="str">
        <f t="shared" si="4"/>
        <v>Tháng 03/2019</v>
      </c>
      <c r="C57" s="567"/>
      <c r="D57" s="568" t="str">
        <f t="shared" si="5"/>
        <v>Bê tông tường đổ tại chỗ 16MPa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2"/>
        <v>43525</v>
      </c>
      <c r="P57" s="103">
        <f t="shared" si="3"/>
        <v>43555</v>
      </c>
    </row>
    <row r="58" spans="1:16" s="5" customFormat="1" ht="17.100000000000001" customHeight="1">
      <c r="A58" s="104">
        <f t="shared" si="6"/>
        <v>21</v>
      </c>
      <c r="B58" s="567" t="str">
        <f t="shared" si="4"/>
        <v>Tháng 04/2019</v>
      </c>
      <c r="C58" s="567"/>
      <c r="D58" s="568" t="str">
        <f t="shared" si="5"/>
        <v>Bê tông tường đổ tại chỗ 16MPa</v>
      </c>
      <c r="E58" s="568"/>
      <c r="F58" s="568"/>
      <c r="G58" s="568"/>
      <c r="H58" s="569">
        <f t="shared" si="1"/>
        <v>188.68</v>
      </c>
      <c r="I58" s="569"/>
      <c r="J58" s="567"/>
      <c r="K58" s="570"/>
      <c r="L58">
        <v>4</v>
      </c>
      <c r="M58" s="101">
        <v>2019</v>
      </c>
      <c r="N58"/>
      <c r="O58" s="103">
        <f t="shared" si="2"/>
        <v>43556</v>
      </c>
      <c r="P58" s="103">
        <f t="shared" si="3"/>
        <v>43585</v>
      </c>
    </row>
    <row r="59" spans="1:16" s="5" customFormat="1" ht="17.100000000000001" customHeight="1">
      <c r="A59" s="104">
        <f t="shared" si="6"/>
        <v>22</v>
      </c>
      <c r="B59" s="567" t="str">
        <f t="shared" si="4"/>
        <v>Tháng 05/2019</v>
      </c>
      <c r="C59" s="567"/>
      <c r="D59" s="568" t="str">
        <f t="shared" si="5"/>
        <v>Bê tông tường đổ tại chỗ 16MPa</v>
      </c>
      <c r="E59" s="568"/>
      <c r="F59" s="568"/>
      <c r="G59" s="568"/>
      <c r="H59" s="569">
        <f t="shared" si="1"/>
        <v>97.41</v>
      </c>
      <c r="I59" s="569"/>
      <c r="J59" s="567"/>
      <c r="K59" s="570"/>
      <c r="L59">
        <v>5</v>
      </c>
      <c r="M59" s="101">
        <v>2019</v>
      </c>
      <c r="N59"/>
      <c r="O59" s="103">
        <f t="shared" si="2"/>
        <v>43586</v>
      </c>
      <c r="P59" s="103">
        <f t="shared" si="3"/>
        <v>43616</v>
      </c>
    </row>
    <row r="60" spans="1:16" s="5" customFormat="1" ht="17.100000000000001" customHeight="1">
      <c r="A60" s="104">
        <f t="shared" si="6"/>
        <v>23</v>
      </c>
      <c r="B60" s="567" t="str">
        <f t="shared" si="4"/>
        <v>Tháng 06/2019</v>
      </c>
      <c r="C60" s="567"/>
      <c r="D60" s="568" t="str">
        <f t="shared" si="5"/>
        <v>Bê tông tường đổ tại chỗ 16MPa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2"/>
        <v>43617</v>
      </c>
      <c r="P60" s="103">
        <f t="shared" si="3"/>
        <v>43646</v>
      </c>
    </row>
    <row r="61" spans="1:16" s="5" customFormat="1" ht="17.100000000000001" customHeight="1">
      <c r="A61" s="104">
        <f t="shared" si="6"/>
        <v>24</v>
      </c>
      <c r="B61" s="567" t="str">
        <f t="shared" si="4"/>
        <v>Tháng 07/2019</v>
      </c>
      <c r="C61" s="567"/>
      <c r="D61" s="568" t="str">
        <f t="shared" si="5"/>
        <v>Bê tông tường đổ tại chỗ 16MPa</v>
      </c>
      <c r="E61" s="568"/>
      <c r="F61" s="568"/>
      <c r="G61" s="568"/>
      <c r="H61" s="569">
        <f t="shared" si="1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2"/>
        <v>43647</v>
      </c>
      <c r="P61" s="103">
        <f t="shared" si="3"/>
        <v>43677</v>
      </c>
    </row>
    <row r="62" spans="1:16" s="5" customFormat="1" ht="17.100000000000001" customHeight="1">
      <c r="A62" s="104">
        <f t="shared" si="6"/>
        <v>25</v>
      </c>
      <c r="B62" s="567" t="str">
        <f t="shared" si="4"/>
        <v>Tháng 08/2019</v>
      </c>
      <c r="C62" s="567"/>
      <c r="D62" s="568" t="str">
        <f t="shared" si="5"/>
        <v>Bê tông tường đổ tại chỗ 16MPa</v>
      </c>
      <c r="E62" s="568"/>
      <c r="F62" s="568"/>
      <c r="G62" s="568"/>
      <c r="H62" s="569">
        <f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2"/>
        <v>43678</v>
      </c>
      <c r="P62" s="103">
        <f t="shared" si="3"/>
        <v>43708</v>
      </c>
    </row>
    <row r="63" spans="1:16" s="5" customFormat="1" ht="17.100000000000001" customHeight="1">
      <c r="A63" s="104">
        <f t="shared" si="6"/>
        <v>26</v>
      </c>
      <c r="B63" s="616" t="str">
        <f t="shared" si="4"/>
        <v>Tháng 09/2019</v>
      </c>
      <c r="C63" s="616"/>
      <c r="D63" s="652" t="str">
        <f>D61</f>
        <v>Bê tông tường đổ tại chỗ 16MPa</v>
      </c>
      <c r="E63" s="652"/>
      <c r="F63" s="652"/>
      <c r="G63" s="652"/>
      <c r="H63" s="615">
        <f>+SUMIFS($I$12:$I$35,$B$12:$B$35,"&gt;="&amp;$O63,$B$12:$B$35,"&lt;="&amp;$P63)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7">SUM(H38:I63)</f>
        <v>286.09000000000003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63:C63"/>
    <mergeCell ref="D63:G63"/>
    <mergeCell ref="H63:I63"/>
    <mergeCell ref="J63:K63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>
    <tabColor rgb="FF92D05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C.II.1.5.1. Lớp cát hạt thô thoát nước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347</v>
      </c>
      <c r="N6" s="245" t="str">
        <f>THKLQT!C140</f>
        <v>Lớp cát hạt thô thoát nước</v>
      </c>
      <c r="Q6" s="17"/>
    </row>
    <row r="7" spans="1:20" s="178" customFormat="1" ht="18.75" customHeight="1">
      <c r="A7" s="634">
        <f>I15</f>
        <v>332.57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THKLQT!D140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43513</v>
      </c>
      <c r="C12" s="571" t="str">
        <f>T12</f>
        <v>Lớp cát hạt thô thoát nước A1</v>
      </c>
      <c r="D12" s="572"/>
      <c r="E12" s="573"/>
      <c r="F12" s="2">
        <f>'[6]TONG KL '!$G$23</f>
        <v>146.07</v>
      </c>
      <c r="G12" s="1">
        <f>P12</f>
        <v>146.07</v>
      </c>
      <c r="H12" s="295">
        <f>P12</f>
        <v>146.07</v>
      </c>
      <c r="I12" s="107">
        <f>P12</f>
        <v>146.07</v>
      </c>
      <c r="J12" s="107">
        <f>P12</f>
        <v>146.07</v>
      </c>
      <c r="K12" s="82"/>
      <c r="N12" s="118"/>
      <c r="O12" s="118" t="s">
        <v>349</v>
      </c>
      <c r="P12" s="88">
        <v>146.07</v>
      </c>
      <c r="Q12" s="89">
        <v>43513</v>
      </c>
      <c r="R12" s="88"/>
      <c r="S12" s="88" t="e">
        <f>VLOOKUP($S$11,hamchuigoi3,M12,0)</f>
        <v>#VALUE!</v>
      </c>
      <c r="T12" s="3" t="str">
        <f>$N$6&amp;" "&amp;O12</f>
        <v>Lớp cát hạt thô thoát nước A1</v>
      </c>
    </row>
    <row r="13" spans="1:20" ht="14.25" outlineLevel="2">
      <c r="A13" s="81">
        <f>SUBTOTAL(103,$B$12:B13)</f>
        <v>2</v>
      </c>
      <c r="B13" s="78">
        <f t="shared" ref="B13" si="0">Q13</f>
        <v>43517</v>
      </c>
      <c r="C13" s="571" t="str">
        <f t="shared" ref="C13" si="1">T13</f>
        <v>Lớp cát hạt thô thoát nước A2</v>
      </c>
      <c r="D13" s="572"/>
      <c r="E13" s="573"/>
      <c r="F13" s="2">
        <f>'[6]TONG KL '!$H$23</f>
        <v>187.06</v>
      </c>
      <c r="G13" s="1">
        <f t="shared" ref="G13" si="2">P13</f>
        <v>186.5</v>
      </c>
      <c r="H13" s="295">
        <f t="shared" ref="H13" si="3">P13</f>
        <v>186.5</v>
      </c>
      <c r="I13" s="107">
        <f t="shared" ref="I13" si="4">P13</f>
        <v>186.5</v>
      </c>
      <c r="J13" s="107">
        <f t="shared" ref="J13" si="5">P13</f>
        <v>186.5</v>
      </c>
      <c r="K13" s="82"/>
      <c r="N13" s="118"/>
      <c r="O13" s="118" t="s">
        <v>348</v>
      </c>
      <c r="P13" s="88">
        <v>186.5</v>
      </c>
      <c r="Q13" s="89">
        <v>43517</v>
      </c>
      <c r="R13" s="88"/>
      <c r="S13" s="88" t="e">
        <f>VLOOKUP($S$11,hamchuigoi3,M13,0)</f>
        <v>#VALUE!</v>
      </c>
      <c r="T13" s="3" t="str">
        <f t="shared" ref="T13" si="6">$N$6&amp;" "&amp;O13</f>
        <v>Lớp cát hạt thô thoát nước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'!$I$23</f>
        <v>333.13</v>
      </c>
      <c r="G15" s="79">
        <f t="shared" ref="G15:J15" si="7">ROUND(SUM(G12:G14),2)</f>
        <v>332.57</v>
      </c>
      <c r="H15" s="79">
        <f t="shared" si="7"/>
        <v>332.57</v>
      </c>
      <c r="I15" s="79">
        <f t="shared" si="7"/>
        <v>332.57</v>
      </c>
      <c r="J15" s="79">
        <f t="shared" si="7"/>
        <v>332.57</v>
      </c>
      <c r="K15" s="80"/>
      <c r="N15" s="118"/>
      <c r="O15" s="118"/>
      <c r="P15" s="90">
        <f>SUM(P12:P12)</f>
        <v>146.07</v>
      </c>
    </row>
    <row r="16" spans="1:20" s="175" customFormat="1" ht="18" customHeight="1" thickTop="1" thickBot="1">
      <c r="A16" s="227"/>
      <c r="B16" s="227"/>
      <c r="C16" s="227"/>
      <c r="D16" s="227"/>
      <c r="E16" s="227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27"/>
      <c r="B26" s="227"/>
      <c r="C26" s="227"/>
      <c r="D26" s="227"/>
      <c r="E26" s="227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8" t="str">
        <f>A5</f>
        <v>Hạng mục C.II. HỆ MẶT CẦU, LAN CAN, THẢM MẶT CẦU, THOÁT NƯỚC, KHE CO GIÃN</v>
      </c>
      <c r="B32" s="229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28" t="str">
        <f>A6</f>
        <v>Mục C.II.1.5.1. Lớp cát hạt thô thoát nước</v>
      </c>
      <c r="B33" s="229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332.57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Lớp cát hạt thô thoát nước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Lớp cát hạt thô thoát nước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Lớp cát hạt thô thoát nước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Lớp cát hạt thô thoát nước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Lớp cát hạt thô thoát nước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Lớp cát hạt thô thoát nước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Lớp cát hạt thô thoát nước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Lớp cát hạt thô thoát nước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Lớp cát hạt thô thoát nước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Lớp cát hạt thô thoát nước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Lớp cát hạt thô thoát nước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Lớp cát hạt thô thoát nước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Lớp cát hạt thô thoát nước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Lớp cát hạt thô thoát nước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Lớp cát hạt thô thoát nước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Lớp cát hạt thô thoát nước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Lớp cát hạt thô thoát nước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Lớp cát hạt thô thoát nước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Lớp cát hạt thô thoát nước</v>
      </c>
      <c r="E56" s="568"/>
      <c r="F56" s="568"/>
      <c r="G56" s="568"/>
      <c r="H56" s="569">
        <f t="shared" si="8"/>
        <v>332.57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Lớp cát hạt thô thoát nước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Lớp cát hạt thô thoát nước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Lớp cát hạt thô thoát nước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Lớp cát hạt thô thoát nước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Lớp cát hạt thô thoát nước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Lớp cát hạt thô thoát nước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Lớp cát hạt thô thoát nước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332.57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6:E66"/>
    <mergeCell ref="F66:K66"/>
    <mergeCell ref="A67:E67"/>
    <mergeCell ref="F67:K67"/>
    <mergeCell ref="A68:E74"/>
    <mergeCell ref="F68:K74"/>
    <mergeCell ref="B62:C62"/>
    <mergeCell ref="D62:G62"/>
    <mergeCell ref="H62:I62"/>
    <mergeCell ref="J62:K62"/>
    <mergeCell ref="A64:G64"/>
    <mergeCell ref="H64:I64"/>
    <mergeCell ref="J64:K64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A19:E25"/>
    <mergeCell ref="F19:K25"/>
    <mergeCell ref="A27:K27"/>
    <mergeCell ref="A28:K28"/>
    <mergeCell ref="A29:K29"/>
    <mergeCell ref="A30:K30"/>
    <mergeCell ref="C13:E13"/>
    <mergeCell ref="C14:E14"/>
    <mergeCell ref="A15:E15"/>
    <mergeCell ref="A17:E17"/>
    <mergeCell ref="F17:K17"/>
    <mergeCell ref="A18:E18"/>
    <mergeCell ref="F18:K18"/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>
    <tabColor rgb="FF92D05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C.II.1.5.2. Vải địa kỹ thuật bọc đầu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350</v>
      </c>
      <c r="N6" s="245" t="str">
        <f>THKLQT!C142</f>
        <v>Vải địa kỹ thuật bọc đầu</v>
      </c>
      <c r="Q6" s="17"/>
    </row>
    <row r="7" spans="1:20" s="178" customFormat="1" ht="18.75" customHeight="1">
      <c r="A7" s="634">
        <f>I15</f>
        <v>37.5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THKLQT!D142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43513</v>
      </c>
      <c r="C12" s="571" t="str">
        <f>T12</f>
        <v>Vải địa kỹ thuật bọc đầu A1</v>
      </c>
      <c r="D12" s="572"/>
      <c r="E12" s="573"/>
      <c r="F12" s="2">
        <f>'[6]TONG KL '!$G$25</f>
        <v>18.75</v>
      </c>
      <c r="G12" s="1">
        <f>P12</f>
        <v>18.75</v>
      </c>
      <c r="H12" s="295">
        <f>P12</f>
        <v>18.75</v>
      </c>
      <c r="I12" s="107">
        <f>P12</f>
        <v>18.75</v>
      </c>
      <c r="J12" s="107">
        <f>P12</f>
        <v>18.75</v>
      </c>
      <c r="K12" s="82"/>
      <c r="N12" s="118"/>
      <c r="O12" s="118" t="s">
        <v>349</v>
      </c>
      <c r="P12" s="88">
        <v>18.75</v>
      </c>
      <c r="Q12" s="89">
        <v>43513</v>
      </c>
      <c r="R12" s="88"/>
      <c r="S12" s="88" t="e">
        <f>VLOOKUP($S$11,hamchuigoi3,M12,0)</f>
        <v>#VALUE!</v>
      </c>
      <c r="T12" s="3" t="str">
        <f>$N$6&amp;" "&amp;O12</f>
        <v>Vải địa kỹ thuật bọc đầu A1</v>
      </c>
    </row>
    <row r="13" spans="1:20" ht="14.25" outlineLevel="2">
      <c r="A13" s="81">
        <f>SUBTOTAL(103,$B$12:B13)</f>
        <v>2</v>
      </c>
      <c r="B13" s="78">
        <f t="shared" ref="B13" si="0">Q13</f>
        <v>43517</v>
      </c>
      <c r="C13" s="571" t="str">
        <f t="shared" ref="C13" si="1">T13</f>
        <v>Vải địa kỹ thuật bọc đầu A2</v>
      </c>
      <c r="D13" s="572"/>
      <c r="E13" s="573"/>
      <c r="F13" s="2">
        <f>'[6]TONG KL '!$H$25</f>
        <v>18.75</v>
      </c>
      <c r="G13" s="1">
        <f t="shared" ref="G13" si="2">P13</f>
        <v>18.75</v>
      </c>
      <c r="H13" s="295">
        <f t="shared" ref="H13" si="3">P13</f>
        <v>18.75</v>
      </c>
      <c r="I13" s="107">
        <f t="shared" ref="I13" si="4">P13</f>
        <v>18.75</v>
      </c>
      <c r="J13" s="107">
        <f t="shared" ref="J13" si="5">P13</f>
        <v>18.75</v>
      </c>
      <c r="K13" s="82"/>
      <c r="N13" s="118"/>
      <c r="O13" s="118" t="s">
        <v>348</v>
      </c>
      <c r="P13" s="88">
        <v>18.75</v>
      </c>
      <c r="Q13" s="89">
        <v>43517</v>
      </c>
      <c r="R13" s="88"/>
      <c r="S13" s="88" t="e">
        <f>VLOOKUP($S$11,hamchuigoi3,M13,0)</f>
        <v>#VALUE!</v>
      </c>
      <c r="T13" s="3" t="str">
        <f t="shared" ref="T13" si="6">$N$6&amp;" "&amp;O13</f>
        <v>Vải địa kỹ thuật bọc đầu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'!$I$25</f>
        <v>37.5</v>
      </c>
      <c r="G15" s="79">
        <f t="shared" ref="G15:J15" si="7">ROUND(SUM(G12:G14),2)</f>
        <v>37.5</v>
      </c>
      <c r="H15" s="79">
        <f t="shared" si="7"/>
        <v>37.5</v>
      </c>
      <c r="I15" s="79">
        <f t="shared" si="7"/>
        <v>37.5</v>
      </c>
      <c r="J15" s="79">
        <f t="shared" si="7"/>
        <v>37.5</v>
      </c>
      <c r="K15" s="80"/>
      <c r="N15" s="118"/>
      <c r="O15" s="118"/>
      <c r="P15" s="90">
        <f>SUM(P12:P12)</f>
        <v>18.75</v>
      </c>
    </row>
    <row r="16" spans="1:20" s="175" customFormat="1" ht="18" customHeight="1" thickTop="1" thickBot="1">
      <c r="A16" s="227"/>
      <c r="B16" s="227"/>
      <c r="C16" s="227"/>
      <c r="D16" s="227"/>
      <c r="E16" s="227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27"/>
      <c r="B26" s="227"/>
      <c r="C26" s="227"/>
      <c r="D26" s="227"/>
      <c r="E26" s="227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8" t="str">
        <f>A5</f>
        <v>Hạng mục C.II. HỆ MẶT CẦU, LAN CAN, THẢM MẶT CẦU, THOÁT NƯỚC, KHE CO GIÃN</v>
      </c>
      <c r="B32" s="229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28" t="str">
        <f>A6</f>
        <v>Mục C.II.1.5.2. Vải địa kỹ thuật bọc đầu</v>
      </c>
      <c r="B33" s="229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37.5</v>
      </c>
      <c r="B34" s="640"/>
      <c r="C34" s="640"/>
      <c r="D34" s="640"/>
      <c r="E34" s="131" t="str">
        <f>E7</f>
        <v>(m2)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Vải địa kỹ thuật bọc đầu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Vải địa kỹ thuật bọc đầu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Vải địa kỹ thuật bọc đầu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Vải địa kỹ thuật bọc đầu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Vải địa kỹ thuật bọc đầu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Vải địa kỹ thuật bọc đầu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Vải địa kỹ thuật bọc đầu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Vải địa kỹ thuật bọc đầu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Vải địa kỹ thuật bọc đầu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Vải địa kỹ thuật bọc đầu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Vải địa kỹ thuật bọc đầu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Vải địa kỹ thuật bọc đầu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Vải địa kỹ thuật bọc đầu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Vải địa kỹ thuật bọc đầu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Vải địa kỹ thuật bọc đầu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Vải địa kỹ thuật bọc đầu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Vải địa kỹ thuật bọc đầu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Vải địa kỹ thuật bọc đầu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Vải địa kỹ thuật bọc đầu</v>
      </c>
      <c r="E56" s="568"/>
      <c r="F56" s="568"/>
      <c r="G56" s="568"/>
      <c r="H56" s="569">
        <f t="shared" si="8"/>
        <v>37.5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Vải địa kỹ thuật bọc đầu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Vải địa kỹ thuật bọc đầu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Vải địa kỹ thuật bọc đầu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Vải địa kỹ thuật bọc đầu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Vải địa kỹ thuật bọc đầu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Vải địa kỹ thuật bọc đầu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Vải địa kỹ thuật bọc đầu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37.5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3:C63"/>
    <mergeCell ref="D63:G63"/>
    <mergeCell ref="H63:I63"/>
    <mergeCell ref="J63:K63"/>
    <mergeCell ref="I9:I11"/>
    <mergeCell ref="J9:J11"/>
    <mergeCell ref="K9:K11"/>
    <mergeCell ref="C12:E12"/>
    <mergeCell ref="C13:E13"/>
    <mergeCell ref="C14:E14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>
    <tabColor rgb="FF92D05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C.II.1.5.2. Rải vải địa kỹ thuật 300x300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350</v>
      </c>
      <c r="N6" s="245" t="str">
        <f>THKLQT!C143</f>
        <v>Rải vải địa kỹ thuật 300x300</v>
      </c>
      <c r="Q6" s="17"/>
    </row>
    <row r="7" spans="1:20" s="178" customFormat="1" ht="18.75" customHeight="1">
      <c r="A7" s="634">
        <f>I15</f>
        <v>673.68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THKLQT!D143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43513</v>
      </c>
      <c r="C12" s="571" t="str">
        <f>T12</f>
        <v>Rải vải địa kỹ thuật 300x300 A1</v>
      </c>
      <c r="D12" s="572"/>
      <c r="E12" s="573"/>
      <c r="F12" s="2">
        <f>'[6]TONG KL '!$G$24</f>
        <v>307.26</v>
      </c>
      <c r="G12" s="1">
        <f>P12</f>
        <v>300.75</v>
      </c>
      <c r="H12" s="31">
        <f>P12</f>
        <v>300.75</v>
      </c>
      <c r="I12" s="107">
        <f>P12</f>
        <v>300.75</v>
      </c>
      <c r="J12" s="107">
        <f>P12</f>
        <v>300.75</v>
      </c>
      <c r="K12" s="82"/>
      <c r="N12" s="118"/>
      <c r="O12" s="118" t="s">
        <v>349</v>
      </c>
      <c r="P12" s="88">
        <v>300.75</v>
      </c>
      <c r="Q12" s="89">
        <v>43513</v>
      </c>
      <c r="R12" s="88"/>
      <c r="S12" s="88" t="e">
        <f>VLOOKUP($S$11,hamchuigoi3,M12,0)</f>
        <v>#VALUE!</v>
      </c>
      <c r="T12" s="3" t="str">
        <f>$N$6&amp;" "&amp;O12</f>
        <v>Rải vải địa kỹ thuật 300x300 A1</v>
      </c>
    </row>
    <row r="13" spans="1:20" ht="14.25" outlineLevel="2">
      <c r="A13" s="81">
        <f>SUBTOTAL(103,$B$12:B13)</f>
        <v>2</v>
      </c>
      <c r="B13" s="78">
        <f t="shared" ref="B13" si="0">Q13</f>
        <v>43517</v>
      </c>
      <c r="C13" s="571" t="str">
        <f t="shared" ref="C13" si="1">T13</f>
        <v>Rải vải địa kỹ thuật 300x300 A2</v>
      </c>
      <c r="D13" s="572"/>
      <c r="E13" s="573"/>
      <c r="F13" s="2">
        <f>'[6]TONG KL '!$H$24</f>
        <v>372.93</v>
      </c>
      <c r="G13" s="1">
        <f>H13</f>
        <v>372.93</v>
      </c>
      <c r="H13" s="31">
        <v>372.93</v>
      </c>
      <c r="I13" s="107">
        <f>G13</f>
        <v>372.93</v>
      </c>
      <c r="J13" s="107">
        <f t="shared" ref="J13" si="2">P13</f>
        <v>372.99</v>
      </c>
      <c r="K13" s="82"/>
      <c r="N13" s="118"/>
      <c r="O13" s="118" t="s">
        <v>348</v>
      </c>
      <c r="P13" s="88">
        <v>372.99</v>
      </c>
      <c r="Q13" s="89">
        <v>43517</v>
      </c>
      <c r="R13" s="88"/>
      <c r="S13" s="88" t="e">
        <f>VLOOKUP($S$11,hamchuigoi3,M13,0)</f>
        <v>#VALUE!</v>
      </c>
      <c r="T13" s="3" t="str">
        <f t="shared" ref="T13" si="3">$N$6&amp;" "&amp;O13</f>
        <v>Rải vải địa kỹ thuật 300x300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'!$I$24</f>
        <v>680.19</v>
      </c>
      <c r="G15" s="79">
        <f t="shared" ref="G15:J15" si="4">ROUND(SUM(G12:G14),2)</f>
        <v>673.68</v>
      </c>
      <c r="H15" s="79">
        <f t="shared" si="4"/>
        <v>673.68</v>
      </c>
      <c r="I15" s="79">
        <f t="shared" si="4"/>
        <v>673.68</v>
      </c>
      <c r="J15" s="79">
        <f t="shared" si="4"/>
        <v>673.74</v>
      </c>
      <c r="K15" s="80"/>
      <c r="N15" s="118"/>
      <c r="O15" s="118"/>
      <c r="P15" s="90">
        <f>SUM(P12:P12)</f>
        <v>300.75</v>
      </c>
    </row>
    <row r="16" spans="1:20" s="175" customFormat="1" ht="18" customHeight="1" thickTop="1" thickBot="1">
      <c r="A16" s="227"/>
      <c r="B16" s="227"/>
      <c r="C16" s="227"/>
      <c r="D16" s="227"/>
      <c r="E16" s="227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27"/>
      <c r="B26" s="227"/>
      <c r="C26" s="227"/>
      <c r="D26" s="227"/>
      <c r="E26" s="227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8" t="str">
        <f>A5</f>
        <v>Hạng mục C.II. HỆ MẶT CẦU, LAN CAN, THẢM MẶT CẦU, THOÁT NƯỚC, KHE CO GIÃN</v>
      </c>
      <c r="B32" s="229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28" t="str">
        <f>A6</f>
        <v>Mục C.II.1.5.2. Rải vải địa kỹ thuật 300x300</v>
      </c>
      <c r="B33" s="229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673.68</v>
      </c>
      <c r="B34" s="640"/>
      <c r="C34" s="640"/>
      <c r="D34" s="640"/>
      <c r="E34" s="131" t="str">
        <f>E7</f>
        <v>(m2)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Rải vải địa kỹ thuật 300x300</v>
      </c>
      <c r="E38" s="624"/>
      <c r="F38" s="624"/>
      <c r="G38" s="624"/>
      <c r="H38" s="625">
        <f t="shared" ref="H38:H61" si="5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6">DATE(M38,L38,1)</f>
        <v>42948</v>
      </c>
      <c r="P38" s="103">
        <f t="shared" ref="P38:P62" si="7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8">"Tháng "&amp;IF(L39&lt;10,0&amp;L39&amp;"/"&amp;M39,L39&amp;"/"&amp;M39)</f>
        <v>Tháng 09/2017</v>
      </c>
      <c r="C39" s="567"/>
      <c r="D39" s="568" t="str">
        <f>D38</f>
        <v>Rải vải địa kỹ thuật 300x300</v>
      </c>
      <c r="E39" s="568"/>
      <c r="F39" s="568"/>
      <c r="G39" s="568"/>
      <c r="H39" s="569">
        <f t="shared" si="5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6"/>
        <v>42979</v>
      </c>
      <c r="P39" s="103">
        <f t="shared" si="7"/>
        <v>43008</v>
      </c>
    </row>
    <row r="40" spans="1:20" s="5" customFormat="1" ht="17.100000000000001" customHeight="1">
      <c r="A40" s="104">
        <f>A39+1</f>
        <v>3</v>
      </c>
      <c r="B40" s="567" t="str">
        <f t="shared" si="8"/>
        <v>Tháng 10/2017</v>
      </c>
      <c r="C40" s="567"/>
      <c r="D40" s="568" t="str">
        <f t="shared" ref="D40:D62" si="9">D39</f>
        <v>Rải vải địa kỹ thuật 300x300</v>
      </c>
      <c r="E40" s="568"/>
      <c r="F40" s="568"/>
      <c r="G40" s="568"/>
      <c r="H40" s="569">
        <f t="shared" si="5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6"/>
        <v>43009</v>
      </c>
      <c r="P40" s="103">
        <f t="shared" si="7"/>
        <v>43039</v>
      </c>
    </row>
    <row r="41" spans="1:20" s="5" customFormat="1" ht="17.100000000000001" customHeight="1">
      <c r="A41" s="104">
        <f t="shared" ref="A41:A63" si="10">A40+1</f>
        <v>4</v>
      </c>
      <c r="B41" s="567" t="str">
        <f t="shared" si="8"/>
        <v>Tháng 11/2017</v>
      </c>
      <c r="C41" s="567"/>
      <c r="D41" s="568" t="str">
        <f t="shared" si="9"/>
        <v>Rải vải địa kỹ thuật 300x300</v>
      </c>
      <c r="E41" s="568"/>
      <c r="F41" s="568"/>
      <c r="G41" s="568"/>
      <c r="H41" s="569">
        <f t="shared" si="5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6"/>
        <v>43040</v>
      </c>
      <c r="P41" s="103">
        <f t="shared" si="7"/>
        <v>43069</v>
      </c>
    </row>
    <row r="42" spans="1:20" s="5" customFormat="1" ht="17.100000000000001" customHeight="1">
      <c r="A42" s="104">
        <f t="shared" si="10"/>
        <v>5</v>
      </c>
      <c r="B42" s="567" t="str">
        <f t="shared" si="8"/>
        <v>Tháng 12/2017</v>
      </c>
      <c r="C42" s="567"/>
      <c r="D42" s="568" t="str">
        <f t="shared" si="9"/>
        <v>Rải vải địa kỹ thuật 300x300</v>
      </c>
      <c r="E42" s="568"/>
      <c r="F42" s="568"/>
      <c r="G42" s="568"/>
      <c r="H42" s="569">
        <f t="shared" si="5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6"/>
        <v>43070</v>
      </c>
      <c r="P42" s="103">
        <f t="shared" si="7"/>
        <v>43100</v>
      </c>
    </row>
    <row r="43" spans="1:20" s="5" customFormat="1" ht="17.100000000000001" customHeight="1">
      <c r="A43" s="104">
        <f t="shared" si="10"/>
        <v>6</v>
      </c>
      <c r="B43" s="567" t="str">
        <f t="shared" si="8"/>
        <v>Tháng 01/2018</v>
      </c>
      <c r="C43" s="567"/>
      <c r="D43" s="568" t="str">
        <f t="shared" si="9"/>
        <v>Rải vải địa kỹ thuật 300x300</v>
      </c>
      <c r="E43" s="568"/>
      <c r="F43" s="568"/>
      <c r="G43" s="568"/>
      <c r="H43" s="569">
        <f t="shared" si="5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6"/>
        <v>43101</v>
      </c>
      <c r="P43" s="103">
        <f t="shared" si="7"/>
        <v>43131</v>
      </c>
    </row>
    <row r="44" spans="1:20" s="5" customFormat="1" ht="17.100000000000001" customHeight="1">
      <c r="A44" s="104">
        <f t="shared" si="10"/>
        <v>7</v>
      </c>
      <c r="B44" s="567" t="str">
        <f t="shared" si="8"/>
        <v>Tháng 02/2018</v>
      </c>
      <c r="C44" s="567"/>
      <c r="D44" s="568" t="str">
        <f t="shared" si="9"/>
        <v>Rải vải địa kỹ thuật 300x300</v>
      </c>
      <c r="E44" s="568"/>
      <c r="F44" s="568"/>
      <c r="G44" s="568"/>
      <c r="H44" s="569">
        <f t="shared" si="5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6"/>
        <v>43132</v>
      </c>
      <c r="P44" s="103">
        <f t="shared" si="7"/>
        <v>43159</v>
      </c>
    </row>
    <row r="45" spans="1:20" s="5" customFormat="1" ht="17.100000000000001" customHeight="1">
      <c r="A45" s="104">
        <f t="shared" si="10"/>
        <v>8</v>
      </c>
      <c r="B45" s="567" t="str">
        <f t="shared" si="8"/>
        <v>Tháng 03/2018</v>
      </c>
      <c r="C45" s="567"/>
      <c r="D45" s="568" t="str">
        <f t="shared" si="9"/>
        <v>Rải vải địa kỹ thuật 300x300</v>
      </c>
      <c r="E45" s="568"/>
      <c r="F45" s="568"/>
      <c r="G45" s="568"/>
      <c r="H45" s="569">
        <f t="shared" si="5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6"/>
        <v>43160</v>
      </c>
      <c r="P45" s="103">
        <f t="shared" si="7"/>
        <v>43190</v>
      </c>
    </row>
    <row r="46" spans="1:20" s="5" customFormat="1" ht="17.100000000000001" customHeight="1">
      <c r="A46" s="104">
        <f t="shared" si="10"/>
        <v>9</v>
      </c>
      <c r="B46" s="567" t="str">
        <f t="shared" si="8"/>
        <v>Tháng 04/2018</v>
      </c>
      <c r="C46" s="567"/>
      <c r="D46" s="568" t="str">
        <f t="shared" si="9"/>
        <v>Rải vải địa kỹ thuật 300x300</v>
      </c>
      <c r="E46" s="568"/>
      <c r="F46" s="568"/>
      <c r="G46" s="568"/>
      <c r="H46" s="569">
        <f t="shared" si="5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6"/>
        <v>43191</v>
      </c>
      <c r="P46" s="103">
        <f t="shared" si="7"/>
        <v>43220</v>
      </c>
    </row>
    <row r="47" spans="1:20" s="5" customFormat="1" ht="17.100000000000001" customHeight="1">
      <c r="A47" s="104">
        <f t="shared" si="10"/>
        <v>10</v>
      </c>
      <c r="B47" s="567" t="str">
        <f t="shared" si="8"/>
        <v>Tháng 05/2018</v>
      </c>
      <c r="C47" s="567"/>
      <c r="D47" s="568" t="str">
        <f t="shared" si="9"/>
        <v>Rải vải địa kỹ thuật 300x300</v>
      </c>
      <c r="E47" s="568"/>
      <c r="F47" s="568"/>
      <c r="G47" s="568"/>
      <c r="H47" s="569">
        <f t="shared" si="5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6"/>
        <v>43221</v>
      </c>
      <c r="P47" s="103">
        <f t="shared" si="7"/>
        <v>43251</v>
      </c>
    </row>
    <row r="48" spans="1:20" s="5" customFormat="1" ht="17.100000000000001" customHeight="1">
      <c r="A48" s="104">
        <f t="shared" si="10"/>
        <v>11</v>
      </c>
      <c r="B48" s="567" t="str">
        <f t="shared" si="8"/>
        <v>Tháng 06/2018</v>
      </c>
      <c r="C48" s="567"/>
      <c r="D48" s="568" t="str">
        <f t="shared" si="9"/>
        <v>Rải vải địa kỹ thuật 300x300</v>
      </c>
      <c r="E48" s="568"/>
      <c r="F48" s="568"/>
      <c r="G48" s="568"/>
      <c r="H48" s="569">
        <f t="shared" si="5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6"/>
        <v>43252</v>
      </c>
      <c r="P48" s="103">
        <f t="shared" si="7"/>
        <v>43281</v>
      </c>
    </row>
    <row r="49" spans="1:16" s="5" customFormat="1" ht="17.100000000000001" customHeight="1">
      <c r="A49" s="104">
        <f t="shared" si="10"/>
        <v>12</v>
      </c>
      <c r="B49" s="567" t="str">
        <f t="shared" si="8"/>
        <v>Tháng 07/2018</v>
      </c>
      <c r="C49" s="567"/>
      <c r="D49" s="568" t="str">
        <f t="shared" si="9"/>
        <v>Rải vải địa kỹ thuật 300x300</v>
      </c>
      <c r="E49" s="568"/>
      <c r="F49" s="568"/>
      <c r="G49" s="568"/>
      <c r="H49" s="569">
        <f t="shared" si="5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6"/>
        <v>43282</v>
      </c>
      <c r="P49" s="103">
        <f t="shared" si="7"/>
        <v>43312</v>
      </c>
    </row>
    <row r="50" spans="1:16" s="5" customFormat="1" ht="17.100000000000001" customHeight="1">
      <c r="A50" s="104">
        <f t="shared" si="10"/>
        <v>13</v>
      </c>
      <c r="B50" s="567" t="str">
        <f t="shared" si="8"/>
        <v>Tháng 08/2018</v>
      </c>
      <c r="C50" s="567"/>
      <c r="D50" s="568" t="str">
        <f t="shared" si="9"/>
        <v>Rải vải địa kỹ thuật 300x300</v>
      </c>
      <c r="E50" s="568"/>
      <c r="F50" s="568"/>
      <c r="G50" s="568"/>
      <c r="H50" s="569">
        <f t="shared" si="5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6"/>
        <v>43313</v>
      </c>
      <c r="P50" s="103">
        <f t="shared" si="7"/>
        <v>43343</v>
      </c>
    </row>
    <row r="51" spans="1:16" s="5" customFormat="1" ht="17.100000000000001" customHeight="1">
      <c r="A51" s="104">
        <f t="shared" si="10"/>
        <v>14</v>
      </c>
      <c r="B51" s="567" t="str">
        <f t="shared" si="8"/>
        <v>Tháng 09/2018</v>
      </c>
      <c r="C51" s="567"/>
      <c r="D51" s="568" t="str">
        <f t="shared" si="9"/>
        <v>Rải vải địa kỹ thuật 300x300</v>
      </c>
      <c r="E51" s="568"/>
      <c r="F51" s="568"/>
      <c r="G51" s="568"/>
      <c r="H51" s="569">
        <f t="shared" si="5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6"/>
        <v>43344</v>
      </c>
      <c r="P51" s="103">
        <f t="shared" si="7"/>
        <v>43373</v>
      </c>
    </row>
    <row r="52" spans="1:16" s="5" customFormat="1" ht="17.100000000000001" customHeight="1">
      <c r="A52" s="104">
        <f t="shared" si="10"/>
        <v>15</v>
      </c>
      <c r="B52" s="567" t="str">
        <f t="shared" si="8"/>
        <v>Tháng 10/2018</v>
      </c>
      <c r="C52" s="567"/>
      <c r="D52" s="568" t="str">
        <f t="shared" si="9"/>
        <v>Rải vải địa kỹ thuật 300x300</v>
      </c>
      <c r="E52" s="568"/>
      <c r="F52" s="568"/>
      <c r="G52" s="568"/>
      <c r="H52" s="569">
        <f t="shared" si="5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6"/>
        <v>43374</v>
      </c>
      <c r="P52" s="103">
        <f t="shared" si="7"/>
        <v>43404</v>
      </c>
    </row>
    <row r="53" spans="1:16" s="5" customFormat="1" ht="17.100000000000001" customHeight="1">
      <c r="A53" s="104">
        <f t="shared" si="10"/>
        <v>16</v>
      </c>
      <c r="B53" s="567" t="str">
        <f t="shared" si="8"/>
        <v>Tháng 11/2018</v>
      </c>
      <c r="C53" s="567"/>
      <c r="D53" s="568" t="str">
        <f t="shared" si="9"/>
        <v>Rải vải địa kỹ thuật 300x300</v>
      </c>
      <c r="E53" s="568"/>
      <c r="F53" s="568"/>
      <c r="G53" s="568"/>
      <c r="H53" s="569">
        <f t="shared" si="5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6"/>
        <v>43405</v>
      </c>
      <c r="P53" s="103">
        <f t="shared" si="7"/>
        <v>43434</v>
      </c>
    </row>
    <row r="54" spans="1:16" s="5" customFormat="1" ht="17.100000000000001" customHeight="1">
      <c r="A54" s="104">
        <f t="shared" si="10"/>
        <v>17</v>
      </c>
      <c r="B54" s="567" t="str">
        <f t="shared" si="8"/>
        <v>Tháng 12/2018</v>
      </c>
      <c r="C54" s="567"/>
      <c r="D54" s="568" t="str">
        <f t="shared" si="9"/>
        <v>Rải vải địa kỹ thuật 300x300</v>
      </c>
      <c r="E54" s="568"/>
      <c r="F54" s="568"/>
      <c r="G54" s="568"/>
      <c r="H54" s="569">
        <f t="shared" si="5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6"/>
        <v>43435</v>
      </c>
      <c r="P54" s="103">
        <f t="shared" si="7"/>
        <v>43465</v>
      </c>
    </row>
    <row r="55" spans="1:16" s="5" customFormat="1" ht="17.100000000000001" customHeight="1">
      <c r="A55" s="104">
        <f t="shared" si="10"/>
        <v>18</v>
      </c>
      <c r="B55" s="567" t="str">
        <f t="shared" si="8"/>
        <v>Tháng 01/2019</v>
      </c>
      <c r="C55" s="567"/>
      <c r="D55" s="568" t="str">
        <f t="shared" si="9"/>
        <v>Rải vải địa kỹ thuật 300x300</v>
      </c>
      <c r="E55" s="568"/>
      <c r="F55" s="568"/>
      <c r="G55" s="568"/>
      <c r="H55" s="569">
        <f t="shared" si="5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6"/>
        <v>43466</v>
      </c>
      <c r="P55" s="103">
        <f t="shared" si="7"/>
        <v>43496</v>
      </c>
    </row>
    <row r="56" spans="1:16" s="5" customFormat="1" ht="17.100000000000001" customHeight="1">
      <c r="A56" s="104">
        <f t="shared" si="10"/>
        <v>19</v>
      </c>
      <c r="B56" s="567" t="str">
        <f t="shared" si="8"/>
        <v>Tháng 02/2019</v>
      </c>
      <c r="C56" s="567"/>
      <c r="D56" s="568" t="str">
        <f t="shared" si="9"/>
        <v>Rải vải địa kỹ thuật 300x300</v>
      </c>
      <c r="E56" s="568"/>
      <c r="F56" s="568"/>
      <c r="G56" s="568"/>
      <c r="H56" s="569">
        <f t="shared" si="5"/>
        <v>673.68000000000006</v>
      </c>
      <c r="I56" s="569"/>
      <c r="J56" s="567"/>
      <c r="K56" s="570"/>
      <c r="L56">
        <v>2</v>
      </c>
      <c r="M56" s="101">
        <v>2019</v>
      </c>
      <c r="N56"/>
      <c r="O56" s="103">
        <f t="shared" si="6"/>
        <v>43497</v>
      </c>
      <c r="P56" s="103">
        <f t="shared" si="7"/>
        <v>43524</v>
      </c>
    </row>
    <row r="57" spans="1:16" s="5" customFormat="1" ht="17.100000000000001" customHeight="1">
      <c r="A57" s="104">
        <f t="shared" si="10"/>
        <v>20</v>
      </c>
      <c r="B57" s="567" t="str">
        <f t="shared" si="8"/>
        <v>Tháng 03/2019</v>
      </c>
      <c r="C57" s="567"/>
      <c r="D57" s="568" t="str">
        <f t="shared" si="9"/>
        <v>Rải vải địa kỹ thuật 300x300</v>
      </c>
      <c r="E57" s="568"/>
      <c r="F57" s="568"/>
      <c r="G57" s="568"/>
      <c r="H57" s="569">
        <f t="shared" si="5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6"/>
        <v>43525</v>
      </c>
      <c r="P57" s="103">
        <f t="shared" si="7"/>
        <v>43555</v>
      </c>
    </row>
    <row r="58" spans="1:16" s="5" customFormat="1" ht="17.100000000000001" customHeight="1">
      <c r="A58" s="104">
        <f t="shared" si="10"/>
        <v>21</v>
      </c>
      <c r="B58" s="567" t="str">
        <f t="shared" si="8"/>
        <v>Tháng 04/2019</v>
      </c>
      <c r="C58" s="567"/>
      <c r="D58" s="568" t="str">
        <f t="shared" si="9"/>
        <v>Rải vải địa kỹ thuật 300x300</v>
      </c>
      <c r="E58" s="568"/>
      <c r="F58" s="568"/>
      <c r="G58" s="568"/>
      <c r="H58" s="569">
        <f t="shared" si="5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6"/>
        <v>43556</v>
      </c>
      <c r="P58" s="103">
        <f t="shared" si="7"/>
        <v>43585</v>
      </c>
    </row>
    <row r="59" spans="1:16" s="5" customFormat="1" ht="17.100000000000001" customHeight="1">
      <c r="A59" s="104">
        <f t="shared" si="10"/>
        <v>22</v>
      </c>
      <c r="B59" s="567" t="str">
        <f t="shared" si="8"/>
        <v>Tháng 05/2019</v>
      </c>
      <c r="C59" s="567"/>
      <c r="D59" s="568" t="str">
        <f t="shared" si="9"/>
        <v>Rải vải địa kỹ thuật 300x300</v>
      </c>
      <c r="E59" s="568"/>
      <c r="F59" s="568"/>
      <c r="G59" s="568"/>
      <c r="H59" s="569">
        <f t="shared" si="5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6"/>
        <v>43586</v>
      </c>
      <c r="P59" s="103">
        <f t="shared" si="7"/>
        <v>43616</v>
      </c>
    </row>
    <row r="60" spans="1:16" s="5" customFormat="1" ht="17.100000000000001" customHeight="1">
      <c r="A60" s="104">
        <f t="shared" si="10"/>
        <v>23</v>
      </c>
      <c r="B60" s="567" t="str">
        <f t="shared" si="8"/>
        <v>Tháng 06/2019</v>
      </c>
      <c r="C60" s="567"/>
      <c r="D60" s="568" t="str">
        <f t="shared" si="9"/>
        <v>Rải vải địa kỹ thuật 300x300</v>
      </c>
      <c r="E60" s="568"/>
      <c r="F60" s="568"/>
      <c r="G60" s="568"/>
      <c r="H60" s="569">
        <f t="shared" si="5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6"/>
        <v>43617</v>
      </c>
      <c r="P60" s="103">
        <f t="shared" si="7"/>
        <v>43646</v>
      </c>
    </row>
    <row r="61" spans="1:16" s="5" customFormat="1" ht="17.100000000000001" customHeight="1">
      <c r="A61" s="104">
        <f t="shared" si="10"/>
        <v>24</v>
      </c>
      <c r="B61" s="567" t="str">
        <f t="shared" si="8"/>
        <v>Tháng 07/2019</v>
      </c>
      <c r="C61" s="567"/>
      <c r="D61" s="568" t="str">
        <f t="shared" si="9"/>
        <v>Rải vải địa kỹ thuật 300x300</v>
      </c>
      <c r="E61" s="568"/>
      <c r="F61" s="568"/>
      <c r="G61" s="568"/>
      <c r="H61" s="569">
        <f t="shared" si="5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6"/>
        <v>43647</v>
      </c>
      <c r="P61" s="103">
        <f t="shared" si="7"/>
        <v>43677</v>
      </c>
    </row>
    <row r="62" spans="1:16" s="5" customFormat="1" ht="17.100000000000001" customHeight="1">
      <c r="A62" s="104">
        <f t="shared" si="10"/>
        <v>25</v>
      </c>
      <c r="B62" s="567" t="str">
        <f t="shared" si="8"/>
        <v>Tháng 08/2019</v>
      </c>
      <c r="C62" s="567"/>
      <c r="D62" s="568" t="str">
        <f t="shared" si="9"/>
        <v>Rải vải địa kỹ thuật 300x300</v>
      </c>
      <c r="E62" s="568"/>
      <c r="F62" s="568"/>
      <c r="G62" s="568"/>
      <c r="H62" s="569">
        <f t="shared" ref="H62:H63" si="11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6"/>
        <v>43678</v>
      </c>
      <c r="P62" s="103">
        <f t="shared" si="7"/>
        <v>43708</v>
      </c>
    </row>
    <row r="63" spans="1:16" s="5" customFormat="1" ht="17.100000000000001" customHeight="1">
      <c r="A63" s="104">
        <f t="shared" si="10"/>
        <v>26</v>
      </c>
      <c r="B63" s="616" t="str">
        <f t="shared" si="8"/>
        <v>Tháng 09/2019</v>
      </c>
      <c r="C63" s="616"/>
      <c r="D63" s="652" t="str">
        <f>D61</f>
        <v>Rải vải địa kỹ thuật 300x300</v>
      </c>
      <c r="E63" s="652"/>
      <c r="F63" s="652"/>
      <c r="G63" s="652"/>
      <c r="H63" s="615">
        <f t="shared" si="11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2">SUM(H38:I63)</f>
        <v>673.68000000000006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3:C63"/>
    <mergeCell ref="D63:G63"/>
    <mergeCell ref="H63:I63"/>
    <mergeCell ref="J63:K63"/>
    <mergeCell ref="I9:I11"/>
    <mergeCell ref="J9:J11"/>
    <mergeCell ref="K9:K11"/>
    <mergeCell ref="C12:E12"/>
    <mergeCell ref="C13:E13"/>
    <mergeCell ref="C14:E14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>
    <tabColor rgb="FF92D05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C.II.1.5.2. Lắp đặt ống nhựa D50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350</v>
      </c>
      <c r="N6" s="245" t="str">
        <f>THKLQT!C144</f>
        <v>Lắp đặt ống nhựa D50</v>
      </c>
      <c r="Q6" s="17"/>
    </row>
    <row r="7" spans="1:20" s="178" customFormat="1" ht="18.75" customHeight="1">
      <c r="A7" s="634">
        <f>I15</f>
        <v>79.599999999999994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THKLQT!D144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43513</v>
      </c>
      <c r="C12" s="571" t="str">
        <f>T12</f>
        <v>Lắp đặt ống nhựa D50 A1</v>
      </c>
      <c r="D12" s="572"/>
      <c r="E12" s="573"/>
      <c r="F12" s="2">
        <f>'[6]TONG KL '!$G$27</f>
        <v>39.799999999999997</v>
      </c>
      <c r="G12" s="1">
        <f>P12</f>
        <v>39.799999999999997</v>
      </c>
      <c r="H12" s="295">
        <f>P12</f>
        <v>39.799999999999997</v>
      </c>
      <c r="I12" s="107">
        <f>P12</f>
        <v>39.799999999999997</v>
      </c>
      <c r="J12" s="107">
        <f>P12</f>
        <v>39.799999999999997</v>
      </c>
      <c r="K12" s="82"/>
      <c r="N12" s="118"/>
      <c r="O12" s="118" t="s">
        <v>349</v>
      </c>
      <c r="P12" s="88">
        <v>39.799999999999997</v>
      </c>
      <c r="Q12" s="89">
        <v>43513</v>
      </c>
      <c r="R12" s="88"/>
      <c r="S12" s="88" t="e">
        <f>VLOOKUP($S$11,hamchuigoi3,M12,0)</f>
        <v>#VALUE!</v>
      </c>
      <c r="T12" s="3" t="str">
        <f>$N$6&amp;" "&amp;O12</f>
        <v>Lắp đặt ống nhựa D50 A1</v>
      </c>
    </row>
    <row r="13" spans="1:20" ht="14.25" outlineLevel="2">
      <c r="A13" s="81">
        <f>SUBTOTAL(103,$B$12:B13)</f>
        <v>2</v>
      </c>
      <c r="B13" s="78">
        <f t="shared" ref="B13" si="0">Q13</f>
        <v>43517</v>
      </c>
      <c r="C13" s="571" t="str">
        <f t="shared" ref="C13" si="1">T13</f>
        <v>Lắp đặt ống nhựa D50 A2</v>
      </c>
      <c r="D13" s="572"/>
      <c r="E13" s="573"/>
      <c r="F13" s="2">
        <f>'[6]TONG KL '!$H$27</f>
        <v>39.799999999999997</v>
      </c>
      <c r="G13" s="1">
        <f t="shared" ref="G13" si="2">P13</f>
        <v>39.799999999999997</v>
      </c>
      <c r="H13" s="295">
        <f t="shared" ref="H13" si="3">P13</f>
        <v>39.799999999999997</v>
      </c>
      <c r="I13" s="107">
        <f t="shared" ref="I13" si="4">P13</f>
        <v>39.799999999999997</v>
      </c>
      <c r="J13" s="107">
        <f t="shared" ref="J13" si="5">P13</f>
        <v>39.799999999999997</v>
      </c>
      <c r="K13" s="82"/>
      <c r="N13" s="118"/>
      <c r="O13" s="118" t="s">
        <v>348</v>
      </c>
      <c r="P13" s="88">
        <f>+P12</f>
        <v>39.799999999999997</v>
      </c>
      <c r="Q13" s="89">
        <v>43517</v>
      </c>
      <c r="R13" s="88"/>
      <c r="S13" s="88" t="e">
        <f>VLOOKUP($S$11,hamchuigoi3,M13,0)</f>
        <v>#VALUE!</v>
      </c>
      <c r="T13" s="3" t="str">
        <f t="shared" ref="T13" si="6">$N$6&amp;" "&amp;O13</f>
        <v>Lắp đặt ống nhựa D50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'!$I$27</f>
        <v>79.599999999999994</v>
      </c>
      <c r="G15" s="79">
        <f t="shared" ref="G15:J15" si="7">ROUND(SUM(G12:G14),2)</f>
        <v>79.599999999999994</v>
      </c>
      <c r="H15" s="79">
        <f t="shared" si="7"/>
        <v>79.599999999999994</v>
      </c>
      <c r="I15" s="79">
        <f t="shared" si="7"/>
        <v>79.599999999999994</v>
      </c>
      <c r="J15" s="79">
        <f t="shared" si="7"/>
        <v>79.599999999999994</v>
      </c>
      <c r="K15" s="80"/>
      <c r="N15" s="118"/>
      <c r="O15" s="118"/>
      <c r="P15" s="90">
        <f>SUM(P12:P12)</f>
        <v>39.799999999999997</v>
      </c>
    </row>
    <row r="16" spans="1:20" s="175" customFormat="1" ht="18" customHeight="1" thickTop="1" thickBot="1">
      <c r="A16" s="227"/>
      <c r="B16" s="227"/>
      <c r="C16" s="227"/>
      <c r="D16" s="227"/>
      <c r="E16" s="227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27"/>
      <c r="B26" s="227"/>
      <c r="C26" s="227"/>
      <c r="D26" s="227"/>
      <c r="E26" s="227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8" t="str">
        <f>A5</f>
        <v>Hạng mục C.II. HỆ MẶT CẦU, LAN CAN, THẢM MẶT CẦU, THOÁT NƯỚC, KHE CO GIÃN</v>
      </c>
      <c r="B32" s="229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28" t="str">
        <f>A6</f>
        <v>Mục C.II.1.5.2. Lắp đặt ống nhựa D50</v>
      </c>
      <c r="B33" s="229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79.599999999999994</v>
      </c>
      <c r="B34" s="640"/>
      <c r="C34" s="640"/>
      <c r="D34" s="640"/>
      <c r="E34" s="131" t="str">
        <f>E7</f>
        <v>(m)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5"/>
      <c r="P37" s="95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Lắp đặt ống nhựa D50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Lắp đặt ống nhựa D50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Lắp đặt ống nhựa D50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Lắp đặt ống nhựa D50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Lắp đặt ống nhựa D50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Lắp đặt ống nhựa D50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Lắp đặt ống nhựa D50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Lắp đặt ống nhựa D50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Lắp đặt ống nhựa D50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Lắp đặt ống nhựa D50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Lắp đặt ống nhựa D50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Lắp đặt ống nhựa D50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Lắp đặt ống nhựa D50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Lắp đặt ống nhựa D50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Lắp đặt ống nhựa D50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Lắp đặt ống nhựa D50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Lắp đặt ống nhựa D50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Lắp đặt ống nhựa D50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Lắp đặt ống nhựa D50</v>
      </c>
      <c r="E56" s="568"/>
      <c r="F56" s="568"/>
      <c r="G56" s="568"/>
      <c r="H56" s="569">
        <f t="shared" si="8"/>
        <v>79.599999999999994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Lắp đặt ống nhựa D50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Lắp đặt ống nhựa D50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Lắp đặt ống nhựa D50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Lắp đặt ống nhựa D50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Lắp đặt ống nhựa D50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Lắp đặt ống nhựa D50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Lắp đặt ống nhựa D50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79.599999999999994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3:C63"/>
    <mergeCell ref="D63:G63"/>
    <mergeCell ref="H63:I63"/>
    <mergeCell ref="J63:K63"/>
    <mergeCell ref="I9:I11"/>
    <mergeCell ref="J9:J11"/>
    <mergeCell ref="K9:K11"/>
    <mergeCell ref="C12:E12"/>
    <mergeCell ref="C13:E13"/>
    <mergeCell ref="C14:E14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tabColor rgb="FF92D050"/>
  </sheetPr>
  <dimension ref="A1:T75"/>
  <sheetViews>
    <sheetView view="pageBreakPreview" topLeftCell="A61" zoomScaleSheetLayoutView="100" workbookViewId="0">
      <selection activeCell="A68" sqref="A68:K7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 HỆ MẶT CẦU, LAN CAN, THẢM MẶT CẦU, THOÁT NƯỚC, KHE CO GIÃN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117</v>
      </c>
      <c r="N5" s="6" t="s">
        <v>176</v>
      </c>
      <c r="Q5" s="17"/>
    </row>
    <row r="6" spans="1:20" s="16" customFormat="1" ht="15.75" customHeight="1">
      <c r="A6" s="91" t="str">
        <f>L6&amp;M6&amp;". "&amp;N6</f>
        <v>Mục C.II.1.5.2. Cút nối góc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</v>
      </c>
      <c r="M6" s="16" t="s">
        <v>350</v>
      </c>
      <c r="N6" s="245" t="str">
        <f>THKLQT!C145</f>
        <v>Cút nối góc</v>
      </c>
      <c r="Q6" s="17"/>
    </row>
    <row r="7" spans="1:20" s="178" customFormat="1" ht="18.75" customHeight="1">
      <c r="A7" s="634">
        <f>I15</f>
        <v>4</v>
      </c>
      <c r="B7" s="635"/>
      <c r="C7" s="635"/>
      <c r="D7" s="635"/>
      <c r="E7" s="106" t="str">
        <f>"("&amp;L7&amp;")"</f>
        <v>(m)</v>
      </c>
      <c r="F7" s="113"/>
      <c r="G7" s="113"/>
      <c r="H7" s="113"/>
      <c r="I7" s="113"/>
      <c r="J7" s="113"/>
      <c r="K7" s="114"/>
      <c r="L7" s="26" t="str">
        <f>THKLQT!D145</f>
        <v>m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2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43513</v>
      </c>
      <c r="C12" s="571" t="str">
        <f>T12</f>
        <v>Cút nối góc A1</v>
      </c>
      <c r="D12" s="572"/>
      <c r="E12" s="573"/>
      <c r="F12" s="2">
        <f>'[6]TONG KL '!$G$26</f>
        <v>2</v>
      </c>
      <c r="G12" s="1">
        <f>P12</f>
        <v>2</v>
      </c>
      <c r="H12" s="295">
        <f>P12</f>
        <v>2</v>
      </c>
      <c r="I12" s="107">
        <f>P12</f>
        <v>2</v>
      </c>
      <c r="J12" s="107">
        <f>P12</f>
        <v>2</v>
      </c>
      <c r="K12" s="82"/>
      <c r="N12" s="118"/>
      <c r="O12" s="118" t="s">
        <v>349</v>
      </c>
      <c r="P12" s="88">
        <v>2</v>
      </c>
      <c r="Q12" s="89">
        <v>43513</v>
      </c>
      <c r="R12" s="88"/>
      <c r="S12" s="88" t="e">
        <f>VLOOKUP($S$11,hamchuigoi3,M12,0)</f>
        <v>#VALUE!</v>
      </c>
      <c r="T12" s="3" t="str">
        <f>$N$6&amp;" "&amp;O12</f>
        <v>Cút nối góc A1</v>
      </c>
    </row>
    <row r="13" spans="1:20" ht="14.25" outlineLevel="2">
      <c r="A13" s="81">
        <f>SUBTOTAL(103,$B$12:B13)</f>
        <v>2</v>
      </c>
      <c r="B13" s="78">
        <f t="shared" ref="B13" si="0">Q13</f>
        <v>43517</v>
      </c>
      <c r="C13" s="571" t="str">
        <f t="shared" ref="C13" si="1">T13</f>
        <v>Cút nối góc A2</v>
      </c>
      <c r="D13" s="572"/>
      <c r="E13" s="573"/>
      <c r="F13" s="2">
        <f>'[6]TONG KL '!$H$26</f>
        <v>2</v>
      </c>
      <c r="G13" s="1">
        <f t="shared" ref="G13" si="2">P13</f>
        <v>2</v>
      </c>
      <c r="H13" s="295">
        <f t="shared" ref="H13" si="3">P13</f>
        <v>2</v>
      </c>
      <c r="I13" s="107">
        <f t="shared" ref="I13" si="4">P13</f>
        <v>2</v>
      </c>
      <c r="J13" s="107">
        <f t="shared" ref="J13" si="5">P13</f>
        <v>2</v>
      </c>
      <c r="K13" s="82"/>
      <c r="N13" s="118"/>
      <c r="O13" s="118" t="s">
        <v>348</v>
      </c>
      <c r="P13" s="88">
        <f>+P12</f>
        <v>2</v>
      </c>
      <c r="Q13" s="89">
        <v>43517</v>
      </c>
      <c r="R13" s="88"/>
      <c r="S13" s="88" t="e">
        <f>VLOOKUP($S$11,hamchuigoi3,M13,0)</f>
        <v>#VALUE!</v>
      </c>
      <c r="T13" s="3" t="str">
        <f t="shared" ref="T13" si="6">$N$6&amp;" "&amp;O13</f>
        <v>Cút nối góc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ROUND(SUM(F12:F14),2)</f>
        <v>4</v>
      </c>
      <c r="G15" s="79">
        <f t="shared" ref="G15:J15" si="7">ROUND(SUM(G12:G14),2)</f>
        <v>4</v>
      </c>
      <c r="H15" s="79">
        <f t="shared" si="7"/>
        <v>4</v>
      </c>
      <c r="I15" s="79">
        <f t="shared" si="7"/>
        <v>4</v>
      </c>
      <c r="J15" s="79">
        <f t="shared" si="7"/>
        <v>4</v>
      </c>
      <c r="K15" s="80"/>
      <c r="N15" s="118"/>
      <c r="O15" s="118"/>
      <c r="P15" s="90">
        <f>SUM(P12:P12)</f>
        <v>2</v>
      </c>
    </row>
    <row r="16" spans="1:20" s="175" customFormat="1" ht="18" customHeight="1" thickTop="1" thickBot="1">
      <c r="A16" s="227"/>
      <c r="B16" s="227"/>
      <c r="C16" s="227"/>
      <c r="D16" s="227"/>
      <c r="E16" s="227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27"/>
      <c r="B26" s="227"/>
      <c r="C26" s="227"/>
      <c r="D26" s="227"/>
      <c r="E26" s="227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28" t="str">
        <f>A5</f>
        <v>Hạng mục C.II. HỆ MẶT CẦU, LAN CAN, THẢM MẶT CẦU, THOÁT NƯỚC, KHE CO GIÃN</v>
      </c>
      <c r="B32" s="229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28" t="str">
        <f>A6</f>
        <v>Mục C.II.1.5.2. Cút nối góc</v>
      </c>
      <c r="B33" s="229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4</v>
      </c>
      <c r="B34" s="640"/>
      <c r="C34" s="640"/>
      <c r="D34" s="640"/>
      <c r="E34" s="131" t="str">
        <f>E7</f>
        <v>(m)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Cút nối góc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Cút nối góc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Cút nối góc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Cút nối góc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Cút nối góc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Cút nối góc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Cút nối góc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Cút nối góc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Cút nối góc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Cút nối góc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Cút nối góc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Cút nối góc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Cút nối góc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Cút nối góc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Cút nối góc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Cút nối góc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Cút nối góc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Cút nối góc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Cút nối góc</v>
      </c>
      <c r="E56" s="568"/>
      <c r="F56" s="568"/>
      <c r="G56" s="568"/>
      <c r="H56" s="569">
        <f t="shared" si="8"/>
        <v>4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Cút nối góc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Cút nối góc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Cút nối góc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Cút nối góc</v>
      </c>
      <c r="E60" s="568"/>
      <c r="F60" s="568"/>
      <c r="G60" s="568"/>
      <c r="H60" s="569">
        <f t="shared" si="8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Cút nối góc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Cút nối góc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Cút nối góc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4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7"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36:C37"/>
    <mergeCell ref="D36:G37"/>
    <mergeCell ref="H36:I37"/>
    <mergeCell ref="J36:K37"/>
    <mergeCell ref="B38:C38"/>
    <mergeCell ref="D38:G38"/>
    <mergeCell ref="H38:I38"/>
    <mergeCell ref="J38:K38"/>
    <mergeCell ref="B41:C41"/>
    <mergeCell ref="D41:G41"/>
    <mergeCell ref="H41:I41"/>
    <mergeCell ref="J41:K4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3:C63"/>
    <mergeCell ref="D63:G63"/>
    <mergeCell ref="H63:I63"/>
    <mergeCell ref="J63:K63"/>
    <mergeCell ref="I9:I11"/>
    <mergeCell ref="J9:J11"/>
    <mergeCell ref="K9:K11"/>
    <mergeCell ref="C12:E12"/>
    <mergeCell ref="C13:E13"/>
    <mergeCell ref="C14:E14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A36:A3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8">
    <tabColor rgb="FF92D050"/>
  </sheetPr>
  <dimension ref="A1:T75"/>
  <sheetViews>
    <sheetView view="pageBreakPreview" topLeftCell="A15" zoomScaleSheetLayoutView="100" workbookViewId="0">
      <selection activeCell="F15" sqref="F1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C.II.1.6. Bậc thang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292</v>
      </c>
      <c r="N5" s="245" t="str">
        <f>THKLQT!C146</f>
        <v>Bậc thang</v>
      </c>
      <c r="Q5" s="17"/>
    </row>
    <row r="6" spans="1:20" s="16" customFormat="1" ht="15.75" customHeight="1">
      <c r="A6" s="91" t="str">
        <f>L6&amp;M6&amp;". "&amp;N6</f>
        <v>Mục C.II.1.6.1. Bê tông bậc thang 16MPa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C.II.1.6.</v>
      </c>
      <c r="M6" s="16">
        <v>1</v>
      </c>
      <c r="N6" s="245" t="str">
        <f>THKLQT!C147</f>
        <v>Bê tông bậc thang 16MPa</v>
      </c>
      <c r="Q6" s="17"/>
    </row>
    <row r="7" spans="1:20" s="178" customFormat="1" ht="18.75" customHeight="1">
      <c r="A7" s="634">
        <f>I15</f>
        <v>5.15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THKLQT!D147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6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43625</v>
      </c>
      <c r="C12" s="571" t="str">
        <f>T12</f>
        <v>Bê tông bậc thang 16MPa A1</v>
      </c>
      <c r="D12" s="572"/>
      <c r="E12" s="573"/>
      <c r="F12" s="2">
        <f>'[6]TONG KL '!$G$30</f>
        <v>2.65</v>
      </c>
      <c r="G12" s="1">
        <f>P12</f>
        <v>2.65</v>
      </c>
      <c r="H12" s="295">
        <f>P12</f>
        <v>2.65</v>
      </c>
      <c r="I12" s="107">
        <f>P12</f>
        <v>2.65</v>
      </c>
      <c r="J12" s="107">
        <f>P12</f>
        <v>2.65</v>
      </c>
      <c r="K12" s="700" t="s">
        <v>704</v>
      </c>
      <c r="N12" s="118"/>
      <c r="O12" s="118" t="s">
        <v>349</v>
      </c>
      <c r="P12" s="88">
        <v>2.65</v>
      </c>
      <c r="Q12" s="89">
        <v>43625</v>
      </c>
      <c r="R12" s="88"/>
      <c r="S12" s="88" t="e">
        <f>VLOOKUP($S$11,hamchuigoi3,M12,0)</f>
        <v>#VALUE!</v>
      </c>
      <c r="T12" s="3" t="str">
        <f>$N$6&amp;" "&amp;O12</f>
        <v>Bê tông bậc thang 16MPa A1</v>
      </c>
    </row>
    <row r="13" spans="1:20" ht="14.25" outlineLevel="2">
      <c r="A13" s="81">
        <f>SUBTOTAL(103,$B$12:B13)</f>
        <v>2</v>
      </c>
      <c r="B13" s="78">
        <f t="shared" ref="B13" si="0">Q13</f>
        <v>43628</v>
      </c>
      <c r="C13" s="571" t="str">
        <f t="shared" ref="C13" si="1">T13</f>
        <v>Bê tông bậc thang 16MPa A2</v>
      </c>
      <c r="D13" s="572"/>
      <c r="E13" s="573"/>
      <c r="F13" s="2">
        <f>'[6]TONG KL '!$H$30</f>
        <v>2.5</v>
      </c>
      <c r="G13" s="1">
        <f t="shared" ref="G13" si="2">P13</f>
        <v>2.5</v>
      </c>
      <c r="H13" s="295">
        <f t="shared" ref="H13" si="3">P13</f>
        <v>2.5</v>
      </c>
      <c r="I13" s="107">
        <f t="shared" ref="I13" si="4">P13</f>
        <v>2.5</v>
      </c>
      <c r="J13" s="107">
        <f t="shared" ref="J13" si="5">P13</f>
        <v>2.5</v>
      </c>
      <c r="K13" s="702"/>
      <c r="N13" s="118"/>
      <c r="O13" s="118" t="s">
        <v>348</v>
      </c>
      <c r="P13" s="88">
        <v>2.5</v>
      </c>
      <c r="Q13" s="89">
        <v>43628</v>
      </c>
      <c r="R13" s="88"/>
      <c r="S13" s="88" t="e">
        <f>VLOOKUP($S$11,hamchuigoi3,M13,0)</f>
        <v>#VALUE!</v>
      </c>
      <c r="T13" s="3" t="str">
        <f t="shared" ref="T13" si="6">$N$6&amp;" "&amp;O13</f>
        <v>Bê tông bậc thang 16MPa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f>'[7]TONG KL '!$I$30</f>
        <v>5.15</v>
      </c>
      <c r="G15" s="79">
        <f t="shared" ref="G15:J15" si="7">ROUND(SUM(G12:G14),2)</f>
        <v>5.15</v>
      </c>
      <c r="H15" s="79">
        <f t="shared" si="7"/>
        <v>5.15</v>
      </c>
      <c r="I15" s="79">
        <f t="shared" si="7"/>
        <v>5.15</v>
      </c>
      <c r="J15" s="79">
        <f t="shared" si="7"/>
        <v>5.15</v>
      </c>
      <c r="K15" s="80"/>
      <c r="N15" s="118"/>
      <c r="O15" s="118"/>
      <c r="P15" s="90">
        <f>SUM(P12:P12)</f>
        <v>2.65</v>
      </c>
    </row>
    <row r="16" spans="1:20" s="175" customFormat="1" ht="18" customHeight="1" thickTop="1" thickBot="1">
      <c r="A16" s="268"/>
      <c r="B16" s="268"/>
      <c r="C16" s="268"/>
      <c r="D16" s="268"/>
      <c r="E16" s="268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68"/>
      <c r="B26" s="268"/>
      <c r="C26" s="268"/>
      <c r="D26" s="268"/>
      <c r="E26" s="268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69" t="str">
        <f>A5</f>
        <v>Hạng mục C.II.1.6. Bậc thang</v>
      </c>
      <c r="B32" s="27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69" t="str">
        <f>A6</f>
        <v>Mục C.II.1.6.1. Bê tông bậc thang 16MPa</v>
      </c>
      <c r="B33" s="270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5.15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Bê tông bậc thang 16MPa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Bê tông bậc thang 16MPa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Bê tông bậc thang 16MPa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Bê tông bậc thang 16MPa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Bê tông bậc thang 16MPa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Bê tông bậc thang 16MPa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Bê tông bậc thang 16MPa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Bê tông bậc thang 16MPa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Bê tông bậc thang 16MPa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Bê tông bậc thang 16MPa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Bê tông bậc thang 16MPa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Bê tông bậc thang 16MPa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Bê tông bậc thang 16MPa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Bê tông bậc thang 16MPa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Bê tông bậc thang 16MPa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Bê tông bậc thang 16MPa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Bê tông bậc thang 16MPa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Bê tông bậc thang 16MPa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Bê tông bậc thang 16MPa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Bê tông bậc thang 16MPa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Bê tông bậc thang 16MPa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Bê tông bậc thang 16MPa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Bê tông bậc thang 16MPa</v>
      </c>
      <c r="E60" s="568"/>
      <c r="F60" s="568"/>
      <c r="G60" s="568"/>
      <c r="H60" s="569">
        <f t="shared" si="8"/>
        <v>5.15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Bê tông bậc thang 16MPa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Bê tông bậc thang 16MPa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Bê tông bậc thang 16MPa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5.15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A66:E66"/>
    <mergeCell ref="F66:K66"/>
    <mergeCell ref="A67:E67"/>
    <mergeCell ref="F67:K67"/>
    <mergeCell ref="A68:E74"/>
    <mergeCell ref="F68:K74"/>
    <mergeCell ref="B63:C63"/>
    <mergeCell ref="D63:G63"/>
    <mergeCell ref="H63:I63"/>
    <mergeCell ref="J63:K63"/>
    <mergeCell ref="A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>
    <tabColor rgb="FF92D050"/>
  </sheetPr>
  <dimension ref="A1:T75"/>
  <sheetViews>
    <sheetView view="pageBreakPreview" topLeftCell="A58" zoomScaleSheetLayoutView="100" workbookViewId="0">
      <selection activeCell="A68" sqref="A68:K7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C.II.1.6. Bậc thang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292</v>
      </c>
      <c r="N5" s="245" t="str">
        <f>THKLQT!C146</f>
        <v>Bậc thang</v>
      </c>
      <c r="Q5" s="17"/>
    </row>
    <row r="6" spans="1:20" s="16" customFormat="1" ht="15.75" customHeight="1">
      <c r="A6" s="91" t="str">
        <f>L6&amp;M6&amp;". "&amp;N6</f>
        <v>Mục C.II.1.6.2. Đá dăm đệm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C.II.1.6.</v>
      </c>
      <c r="M6" s="16">
        <v>2</v>
      </c>
      <c r="N6" s="245" t="str">
        <f>THKLQT!C148</f>
        <v>Đá dăm đệm</v>
      </c>
      <c r="Q6" s="17"/>
    </row>
    <row r="7" spans="1:20" s="178" customFormat="1" ht="18.75" customHeight="1">
      <c r="A7" s="634">
        <f>I15</f>
        <v>1.81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THKLQT!D148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6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43623</v>
      </c>
      <c r="C12" s="571" t="str">
        <f>T12</f>
        <v>Đá dăm đệm A1</v>
      </c>
      <c r="D12" s="572"/>
      <c r="E12" s="573"/>
      <c r="F12" s="2">
        <f>'[6]TONG KL '!$G$29</f>
        <v>0.92</v>
      </c>
      <c r="G12" s="1">
        <f>P12</f>
        <v>0.92</v>
      </c>
      <c r="H12" s="297">
        <f>P12</f>
        <v>0.92</v>
      </c>
      <c r="I12" s="107">
        <f>P12</f>
        <v>0.92</v>
      </c>
      <c r="J12" s="107">
        <f>P12</f>
        <v>0.92</v>
      </c>
      <c r="K12" s="603" t="s">
        <v>677</v>
      </c>
      <c r="N12" s="118"/>
      <c r="O12" s="118" t="s">
        <v>349</v>
      </c>
      <c r="P12" s="88">
        <v>0.92</v>
      </c>
      <c r="Q12" s="89">
        <v>43623</v>
      </c>
      <c r="R12" s="88"/>
      <c r="S12" s="88" t="e">
        <f>VLOOKUP($S$11,hamchuigoi3,M12,0)</f>
        <v>#VALUE!</v>
      </c>
      <c r="T12" s="3" t="str">
        <f>$N$6&amp;" "&amp;O12</f>
        <v>Đá dăm đệm A1</v>
      </c>
    </row>
    <row r="13" spans="1:20" ht="14.25" outlineLevel="2">
      <c r="A13" s="81">
        <f>SUBTOTAL(103,$B$12:B13)</f>
        <v>2</v>
      </c>
      <c r="B13" s="78">
        <f t="shared" ref="B13" si="0">Q13</f>
        <v>43626</v>
      </c>
      <c r="C13" s="571" t="str">
        <f t="shared" ref="C13" si="1">T13</f>
        <v>Đá dăm đệm A2</v>
      </c>
      <c r="D13" s="572"/>
      <c r="E13" s="573"/>
      <c r="F13" s="2">
        <f>'[6]TONG KL '!$H$29</f>
        <v>0.89</v>
      </c>
      <c r="G13" s="1">
        <f t="shared" ref="G13" si="2">P13</f>
        <v>0.89</v>
      </c>
      <c r="H13" s="297">
        <f t="shared" ref="H13" si="3">P13</f>
        <v>0.89</v>
      </c>
      <c r="I13" s="107">
        <f t="shared" ref="I13" si="4">P13</f>
        <v>0.89</v>
      </c>
      <c r="J13" s="107">
        <f t="shared" ref="J13" si="5">P13</f>
        <v>0.89</v>
      </c>
      <c r="K13" s="605"/>
      <c r="N13" s="118"/>
      <c r="O13" s="118" t="s">
        <v>348</v>
      </c>
      <c r="P13" s="88">
        <v>0.89</v>
      </c>
      <c r="Q13" s="89">
        <v>43626</v>
      </c>
      <c r="R13" s="88"/>
      <c r="S13" s="88" t="e">
        <f>VLOOKUP($S$11,hamchuigoi3,M13,0)</f>
        <v>#VALUE!</v>
      </c>
      <c r="T13" s="3" t="str">
        <f t="shared" ref="T13" si="6">$N$6&amp;" "&amp;O13</f>
        <v>Đá dăm đệm A2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ROUND(SUM(F12:F14),2)</f>
        <v>1.81</v>
      </c>
      <c r="G15" s="79">
        <f t="shared" ref="G15:J15" si="7">ROUND(SUM(G12:G14),2)</f>
        <v>1.81</v>
      </c>
      <c r="H15" s="79">
        <f t="shared" si="7"/>
        <v>1.81</v>
      </c>
      <c r="I15" s="79">
        <f t="shared" si="7"/>
        <v>1.81</v>
      </c>
      <c r="J15" s="79">
        <f t="shared" si="7"/>
        <v>1.81</v>
      </c>
      <c r="K15" s="80"/>
      <c r="N15" s="118"/>
      <c r="O15" s="118"/>
      <c r="P15" s="90">
        <f>SUM(P12:P12)</f>
        <v>0.92</v>
      </c>
    </row>
    <row r="16" spans="1:20" s="175" customFormat="1" ht="18" customHeight="1" thickTop="1" thickBot="1">
      <c r="A16" s="268"/>
      <c r="B16" s="268"/>
      <c r="C16" s="268"/>
      <c r="D16" s="268"/>
      <c r="E16" s="268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68"/>
      <c r="B26" s="268"/>
      <c r="C26" s="268"/>
      <c r="D26" s="268"/>
      <c r="E26" s="268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69" t="str">
        <f>A5</f>
        <v>Hạng mục C.II.1.6. Bậc thang</v>
      </c>
      <c r="B32" s="27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69" t="str">
        <f>A6</f>
        <v>Mục C.II.1.6.2. Đá dăm đệm</v>
      </c>
      <c r="B33" s="270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1.81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Đá dăm đệm</v>
      </c>
      <c r="E38" s="624"/>
      <c r="F38" s="624"/>
      <c r="G38" s="624"/>
      <c r="H38" s="625">
        <f t="shared" ref="H38:H61" si="8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9">DATE(M38,L38,1)</f>
        <v>42948</v>
      </c>
      <c r="P38" s="103">
        <f t="shared" ref="P38:P62" si="10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1">"Tháng "&amp;IF(L39&lt;10,0&amp;L39&amp;"/"&amp;M39,L39&amp;"/"&amp;M39)</f>
        <v>Tháng 09/2017</v>
      </c>
      <c r="C39" s="567"/>
      <c r="D39" s="568" t="str">
        <f>D38</f>
        <v>Đá dăm đệm</v>
      </c>
      <c r="E39" s="568"/>
      <c r="F39" s="568"/>
      <c r="G39" s="568"/>
      <c r="H39" s="569">
        <f t="shared" si="8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9"/>
        <v>42979</v>
      </c>
      <c r="P39" s="103">
        <f t="shared" si="10"/>
        <v>43008</v>
      </c>
    </row>
    <row r="40" spans="1:20" s="5" customFormat="1" ht="17.100000000000001" customHeight="1">
      <c r="A40" s="104">
        <f>A39+1</f>
        <v>3</v>
      </c>
      <c r="B40" s="567" t="str">
        <f t="shared" si="11"/>
        <v>Tháng 10/2017</v>
      </c>
      <c r="C40" s="567"/>
      <c r="D40" s="568" t="str">
        <f t="shared" ref="D40:D62" si="12">D39</f>
        <v>Đá dăm đệm</v>
      </c>
      <c r="E40" s="568"/>
      <c r="F40" s="568"/>
      <c r="G40" s="568"/>
      <c r="H40" s="569">
        <f t="shared" si="8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9"/>
        <v>43009</v>
      </c>
      <c r="P40" s="103">
        <f t="shared" si="10"/>
        <v>43039</v>
      </c>
    </row>
    <row r="41" spans="1:20" s="5" customFormat="1" ht="17.100000000000001" customHeight="1">
      <c r="A41" s="104">
        <f t="shared" ref="A41:A63" si="13">A40+1</f>
        <v>4</v>
      </c>
      <c r="B41" s="567" t="str">
        <f t="shared" si="11"/>
        <v>Tháng 11/2017</v>
      </c>
      <c r="C41" s="567"/>
      <c r="D41" s="568" t="str">
        <f t="shared" si="12"/>
        <v>Đá dăm đệm</v>
      </c>
      <c r="E41" s="568"/>
      <c r="F41" s="568"/>
      <c r="G41" s="568"/>
      <c r="H41" s="569">
        <f t="shared" si="8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9"/>
        <v>43040</v>
      </c>
      <c r="P41" s="103">
        <f t="shared" si="10"/>
        <v>43069</v>
      </c>
    </row>
    <row r="42" spans="1:20" s="5" customFormat="1" ht="17.100000000000001" customHeight="1">
      <c r="A42" s="104">
        <f t="shared" si="13"/>
        <v>5</v>
      </c>
      <c r="B42" s="567" t="str">
        <f t="shared" si="11"/>
        <v>Tháng 12/2017</v>
      </c>
      <c r="C42" s="567"/>
      <c r="D42" s="568" t="str">
        <f t="shared" si="12"/>
        <v>Đá dăm đệm</v>
      </c>
      <c r="E42" s="568"/>
      <c r="F42" s="568"/>
      <c r="G42" s="568"/>
      <c r="H42" s="569">
        <f t="shared" si="8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9"/>
        <v>43070</v>
      </c>
      <c r="P42" s="103">
        <f t="shared" si="10"/>
        <v>43100</v>
      </c>
    </row>
    <row r="43" spans="1:20" s="5" customFormat="1" ht="17.100000000000001" customHeight="1">
      <c r="A43" s="104">
        <f t="shared" si="13"/>
        <v>6</v>
      </c>
      <c r="B43" s="567" t="str">
        <f t="shared" si="11"/>
        <v>Tháng 01/2018</v>
      </c>
      <c r="C43" s="567"/>
      <c r="D43" s="568" t="str">
        <f t="shared" si="12"/>
        <v>Đá dăm đệm</v>
      </c>
      <c r="E43" s="568"/>
      <c r="F43" s="568"/>
      <c r="G43" s="568"/>
      <c r="H43" s="569">
        <f t="shared" si="8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9"/>
        <v>43101</v>
      </c>
      <c r="P43" s="103">
        <f t="shared" si="10"/>
        <v>43131</v>
      </c>
    </row>
    <row r="44" spans="1:20" s="5" customFormat="1" ht="17.100000000000001" customHeight="1">
      <c r="A44" s="104">
        <f t="shared" si="13"/>
        <v>7</v>
      </c>
      <c r="B44" s="567" t="str">
        <f t="shared" si="11"/>
        <v>Tháng 02/2018</v>
      </c>
      <c r="C44" s="567"/>
      <c r="D44" s="568" t="str">
        <f t="shared" si="12"/>
        <v>Đá dăm đệm</v>
      </c>
      <c r="E44" s="568"/>
      <c r="F44" s="568"/>
      <c r="G44" s="568"/>
      <c r="H44" s="569">
        <f t="shared" si="8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9"/>
        <v>43132</v>
      </c>
      <c r="P44" s="103">
        <f t="shared" si="10"/>
        <v>43159</v>
      </c>
    </row>
    <row r="45" spans="1:20" s="5" customFormat="1" ht="17.100000000000001" customHeight="1">
      <c r="A45" s="104">
        <f t="shared" si="13"/>
        <v>8</v>
      </c>
      <c r="B45" s="567" t="str">
        <f t="shared" si="11"/>
        <v>Tháng 03/2018</v>
      </c>
      <c r="C45" s="567"/>
      <c r="D45" s="568" t="str">
        <f t="shared" si="12"/>
        <v>Đá dăm đệm</v>
      </c>
      <c r="E45" s="568"/>
      <c r="F45" s="568"/>
      <c r="G45" s="568"/>
      <c r="H45" s="569">
        <f t="shared" si="8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9"/>
        <v>43160</v>
      </c>
      <c r="P45" s="103">
        <f t="shared" si="10"/>
        <v>43190</v>
      </c>
    </row>
    <row r="46" spans="1:20" s="5" customFormat="1" ht="17.100000000000001" customHeight="1">
      <c r="A46" s="104">
        <f t="shared" si="13"/>
        <v>9</v>
      </c>
      <c r="B46" s="567" t="str">
        <f t="shared" si="11"/>
        <v>Tháng 04/2018</v>
      </c>
      <c r="C46" s="567"/>
      <c r="D46" s="568" t="str">
        <f t="shared" si="12"/>
        <v>Đá dăm đệm</v>
      </c>
      <c r="E46" s="568"/>
      <c r="F46" s="568"/>
      <c r="G46" s="568"/>
      <c r="H46" s="569">
        <f t="shared" si="8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9"/>
        <v>43191</v>
      </c>
      <c r="P46" s="103">
        <f t="shared" si="10"/>
        <v>43220</v>
      </c>
    </row>
    <row r="47" spans="1:20" s="5" customFormat="1" ht="17.100000000000001" customHeight="1">
      <c r="A47" s="104">
        <f t="shared" si="13"/>
        <v>10</v>
      </c>
      <c r="B47" s="567" t="str">
        <f t="shared" si="11"/>
        <v>Tháng 05/2018</v>
      </c>
      <c r="C47" s="567"/>
      <c r="D47" s="568" t="str">
        <f t="shared" si="12"/>
        <v>Đá dăm đệm</v>
      </c>
      <c r="E47" s="568"/>
      <c r="F47" s="568"/>
      <c r="G47" s="568"/>
      <c r="H47" s="569">
        <f t="shared" si="8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9"/>
        <v>43221</v>
      </c>
      <c r="P47" s="103">
        <f t="shared" si="10"/>
        <v>43251</v>
      </c>
    </row>
    <row r="48" spans="1:20" s="5" customFormat="1" ht="17.100000000000001" customHeight="1">
      <c r="A48" s="104">
        <f t="shared" si="13"/>
        <v>11</v>
      </c>
      <c r="B48" s="567" t="str">
        <f t="shared" si="11"/>
        <v>Tháng 06/2018</v>
      </c>
      <c r="C48" s="567"/>
      <c r="D48" s="568" t="str">
        <f t="shared" si="12"/>
        <v>Đá dăm đệm</v>
      </c>
      <c r="E48" s="568"/>
      <c r="F48" s="568"/>
      <c r="G48" s="568"/>
      <c r="H48" s="569">
        <f t="shared" si="8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9"/>
        <v>43252</v>
      </c>
      <c r="P48" s="103">
        <f t="shared" si="10"/>
        <v>43281</v>
      </c>
    </row>
    <row r="49" spans="1:16" s="5" customFormat="1" ht="17.100000000000001" customHeight="1">
      <c r="A49" s="104">
        <f t="shared" si="13"/>
        <v>12</v>
      </c>
      <c r="B49" s="567" t="str">
        <f t="shared" si="11"/>
        <v>Tháng 07/2018</v>
      </c>
      <c r="C49" s="567"/>
      <c r="D49" s="568" t="str">
        <f t="shared" si="12"/>
        <v>Đá dăm đệm</v>
      </c>
      <c r="E49" s="568"/>
      <c r="F49" s="568"/>
      <c r="G49" s="568"/>
      <c r="H49" s="569">
        <f t="shared" si="8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9"/>
        <v>43282</v>
      </c>
      <c r="P49" s="103">
        <f t="shared" si="10"/>
        <v>43312</v>
      </c>
    </row>
    <row r="50" spans="1:16" s="5" customFormat="1" ht="17.100000000000001" customHeight="1">
      <c r="A50" s="104">
        <f t="shared" si="13"/>
        <v>13</v>
      </c>
      <c r="B50" s="567" t="str">
        <f t="shared" si="11"/>
        <v>Tháng 08/2018</v>
      </c>
      <c r="C50" s="567"/>
      <c r="D50" s="568" t="str">
        <f t="shared" si="12"/>
        <v>Đá dăm đệm</v>
      </c>
      <c r="E50" s="568"/>
      <c r="F50" s="568"/>
      <c r="G50" s="568"/>
      <c r="H50" s="569">
        <f t="shared" si="8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9"/>
        <v>43313</v>
      </c>
      <c r="P50" s="103">
        <f t="shared" si="10"/>
        <v>43343</v>
      </c>
    </row>
    <row r="51" spans="1:16" s="5" customFormat="1" ht="17.100000000000001" customHeight="1">
      <c r="A51" s="104">
        <f t="shared" si="13"/>
        <v>14</v>
      </c>
      <c r="B51" s="567" t="str">
        <f t="shared" si="11"/>
        <v>Tháng 09/2018</v>
      </c>
      <c r="C51" s="567"/>
      <c r="D51" s="568" t="str">
        <f t="shared" si="12"/>
        <v>Đá dăm đệm</v>
      </c>
      <c r="E51" s="568"/>
      <c r="F51" s="568"/>
      <c r="G51" s="568"/>
      <c r="H51" s="569">
        <f t="shared" si="8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9"/>
        <v>43344</v>
      </c>
      <c r="P51" s="103">
        <f t="shared" si="10"/>
        <v>43373</v>
      </c>
    </row>
    <row r="52" spans="1:16" s="5" customFormat="1" ht="17.100000000000001" customHeight="1">
      <c r="A52" s="104">
        <f t="shared" si="13"/>
        <v>15</v>
      </c>
      <c r="B52" s="567" t="str">
        <f t="shared" si="11"/>
        <v>Tháng 10/2018</v>
      </c>
      <c r="C52" s="567"/>
      <c r="D52" s="568" t="str">
        <f t="shared" si="12"/>
        <v>Đá dăm đệm</v>
      </c>
      <c r="E52" s="568"/>
      <c r="F52" s="568"/>
      <c r="G52" s="568"/>
      <c r="H52" s="569">
        <f t="shared" si="8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9"/>
        <v>43374</v>
      </c>
      <c r="P52" s="103">
        <f t="shared" si="10"/>
        <v>43404</v>
      </c>
    </row>
    <row r="53" spans="1:16" s="5" customFormat="1" ht="17.100000000000001" customHeight="1">
      <c r="A53" s="104">
        <f t="shared" si="13"/>
        <v>16</v>
      </c>
      <c r="B53" s="567" t="str">
        <f t="shared" si="11"/>
        <v>Tháng 11/2018</v>
      </c>
      <c r="C53" s="567"/>
      <c r="D53" s="568" t="str">
        <f t="shared" si="12"/>
        <v>Đá dăm đệm</v>
      </c>
      <c r="E53" s="568"/>
      <c r="F53" s="568"/>
      <c r="G53" s="568"/>
      <c r="H53" s="569">
        <f t="shared" si="8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9"/>
        <v>43405</v>
      </c>
      <c r="P53" s="103">
        <f t="shared" si="10"/>
        <v>43434</v>
      </c>
    </row>
    <row r="54" spans="1:16" s="5" customFormat="1" ht="17.100000000000001" customHeight="1">
      <c r="A54" s="104">
        <f t="shared" si="13"/>
        <v>17</v>
      </c>
      <c r="B54" s="567" t="str">
        <f t="shared" si="11"/>
        <v>Tháng 12/2018</v>
      </c>
      <c r="C54" s="567"/>
      <c r="D54" s="568" t="str">
        <f t="shared" si="12"/>
        <v>Đá dăm đệm</v>
      </c>
      <c r="E54" s="568"/>
      <c r="F54" s="568"/>
      <c r="G54" s="568"/>
      <c r="H54" s="569">
        <f t="shared" si="8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9"/>
        <v>43435</v>
      </c>
      <c r="P54" s="103">
        <f t="shared" si="10"/>
        <v>43465</v>
      </c>
    </row>
    <row r="55" spans="1:16" s="5" customFormat="1" ht="17.100000000000001" customHeight="1">
      <c r="A55" s="104">
        <f t="shared" si="13"/>
        <v>18</v>
      </c>
      <c r="B55" s="567" t="str">
        <f t="shared" si="11"/>
        <v>Tháng 01/2019</v>
      </c>
      <c r="C55" s="567"/>
      <c r="D55" s="568" t="str">
        <f t="shared" si="12"/>
        <v>Đá dăm đệm</v>
      </c>
      <c r="E55" s="568"/>
      <c r="F55" s="568"/>
      <c r="G55" s="568"/>
      <c r="H55" s="569">
        <f t="shared" si="8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9"/>
        <v>43466</v>
      </c>
      <c r="P55" s="103">
        <f t="shared" si="10"/>
        <v>43496</v>
      </c>
    </row>
    <row r="56" spans="1:16" s="5" customFormat="1" ht="17.100000000000001" customHeight="1">
      <c r="A56" s="104">
        <f t="shared" si="13"/>
        <v>19</v>
      </c>
      <c r="B56" s="567" t="str">
        <f t="shared" si="11"/>
        <v>Tháng 02/2019</v>
      </c>
      <c r="C56" s="567"/>
      <c r="D56" s="568" t="str">
        <f t="shared" si="12"/>
        <v>Đá dăm đệm</v>
      </c>
      <c r="E56" s="568"/>
      <c r="F56" s="568"/>
      <c r="G56" s="568"/>
      <c r="H56" s="569">
        <f t="shared" si="8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9"/>
        <v>43497</v>
      </c>
      <c r="P56" s="103">
        <f t="shared" si="10"/>
        <v>43524</v>
      </c>
    </row>
    <row r="57" spans="1:16" s="5" customFormat="1" ht="17.100000000000001" customHeight="1">
      <c r="A57" s="104">
        <f t="shared" si="13"/>
        <v>20</v>
      </c>
      <c r="B57" s="567" t="str">
        <f t="shared" si="11"/>
        <v>Tháng 03/2019</v>
      </c>
      <c r="C57" s="567"/>
      <c r="D57" s="568" t="str">
        <f t="shared" si="12"/>
        <v>Đá dăm đệm</v>
      </c>
      <c r="E57" s="568"/>
      <c r="F57" s="568"/>
      <c r="G57" s="568"/>
      <c r="H57" s="569">
        <f t="shared" si="8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9"/>
        <v>43525</v>
      </c>
      <c r="P57" s="103">
        <f t="shared" si="10"/>
        <v>43555</v>
      </c>
    </row>
    <row r="58" spans="1:16" s="5" customFormat="1" ht="17.100000000000001" customHeight="1">
      <c r="A58" s="104">
        <f t="shared" si="13"/>
        <v>21</v>
      </c>
      <c r="B58" s="567" t="str">
        <f t="shared" si="11"/>
        <v>Tháng 04/2019</v>
      </c>
      <c r="C58" s="567"/>
      <c r="D58" s="568" t="str">
        <f t="shared" si="12"/>
        <v>Đá dăm đệm</v>
      </c>
      <c r="E58" s="568"/>
      <c r="F58" s="568"/>
      <c r="G58" s="568"/>
      <c r="H58" s="569">
        <f t="shared" si="8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9"/>
        <v>43556</v>
      </c>
      <c r="P58" s="103">
        <f t="shared" si="10"/>
        <v>43585</v>
      </c>
    </row>
    <row r="59" spans="1:16" s="5" customFormat="1" ht="17.100000000000001" customHeight="1">
      <c r="A59" s="104">
        <f t="shared" si="13"/>
        <v>22</v>
      </c>
      <c r="B59" s="567" t="str">
        <f t="shared" si="11"/>
        <v>Tháng 05/2019</v>
      </c>
      <c r="C59" s="567"/>
      <c r="D59" s="568" t="str">
        <f t="shared" si="12"/>
        <v>Đá dăm đệm</v>
      </c>
      <c r="E59" s="568"/>
      <c r="F59" s="568"/>
      <c r="G59" s="568"/>
      <c r="H59" s="569">
        <f t="shared" si="8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9"/>
        <v>43586</v>
      </c>
      <c r="P59" s="103">
        <f t="shared" si="10"/>
        <v>43616</v>
      </c>
    </row>
    <row r="60" spans="1:16" s="5" customFormat="1" ht="17.100000000000001" customHeight="1">
      <c r="A60" s="104">
        <f t="shared" si="13"/>
        <v>23</v>
      </c>
      <c r="B60" s="567" t="str">
        <f t="shared" si="11"/>
        <v>Tháng 06/2019</v>
      </c>
      <c r="C60" s="567"/>
      <c r="D60" s="568" t="str">
        <f t="shared" si="12"/>
        <v>Đá dăm đệm</v>
      </c>
      <c r="E60" s="568"/>
      <c r="F60" s="568"/>
      <c r="G60" s="568"/>
      <c r="H60" s="569">
        <f t="shared" si="8"/>
        <v>1.81</v>
      </c>
      <c r="I60" s="569"/>
      <c r="J60" s="567"/>
      <c r="K60" s="570"/>
      <c r="L60">
        <v>6</v>
      </c>
      <c r="M60" s="101">
        <v>2019</v>
      </c>
      <c r="N60"/>
      <c r="O60" s="103">
        <f t="shared" si="9"/>
        <v>43617</v>
      </c>
      <c r="P60" s="103">
        <f t="shared" si="10"/>
        <v>43646</v>
      </c>
    </row>
    <row r="61" spans="1:16" s="5" customFormat="1" ht="17.100000000000001" customHeight="1">
      <c r="A61" s="104">
        <f t="shared" si="13"/>
        <v>24</v>
      </c>
      <c r="B61" s="567" t="str">
        <f t="shared" si="11"/>
        <v>Tháng 07/2019</v>
      </c>
      <c r="C61" s="567"/>
      <c r="D61" s="568" t="str">
        <f t="shared" si="12"/>
        <v>Đá dăm đệm</v>
      </c>
      <c r="E61" s="568"/>
      <c r="F61" s="568"/>
      <c r="G61" s="568"/>
      <c r="H61" s="569">
        <f t="shared" si="8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9"/>
        <v>43647</v>
      </c>
      <c r="P61" s="103">
        <f t="shared" si="10"/>
        <v>43677</v>
      </c>
    </row>
    <row r="62" spans="1:16" s="5" customFormat="1" ht="17.100000000000001" customHeight="1">
      <c r="A62" s="104">
        <f t="shared" si="13"/>
        <v>25</v>
      </c>
      <c r="B62" s="567" t="str">
        <f t="shared" si="11"/>
        <v>Tháng 08/2019</v>
      </c>
      <c r="C62" s="567"/>
      <c r="D62" s="568" t="str">
        <f t="shared" si="12"/>
        <v>Đá dăm đệm</v>
      </c>
      <c r="E62" s="568"/>
      <c r="F62" s="568"/>
      <c r="G62" s="568"/>
      <c r="H62" s="569">
        <f t="shared" ref="H62:H63" si="14">+SUMIFS($I$12:$I$35,$B$12:$B$35,"&gt;="&amp;$O62,$B$12:$B$35,"&lt;="&amp;$P62)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9"/>
        <v>43678</v>
      </c>
      <c r="P62" s="103">
        <f t="shared" si="10"/>
        <v>43708</v>
      </c>
    </row>
    <row r="63" spans="1:16" s="5" customFormat="1" ht="17.100000000000001" customHeight="1">
      <c r="A63" s="104">
        <f t="shared" si="13"/>
        <v>26</v>
      </c>
      <c r="B63" s="616" t="str">
        <f t="shared" si="11"/>
        <v>Tháng 09/2019</v>
      </c>
      <c r="C63" s="616"/>
      <c r="D63" s="652" t="str">
        <f>D61</f>
        <v>Đá dăm đệm</v>
      </c>
      <c r="E63" s="652"/>
      <c r="F63" s="652"/>
      <c r="G63" s="652"/>
      <c r="H63" s="615">
        <f t="shared" si="14"/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1.81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A66:E66"/>
    <mergeCell ref="F66:K66"/>
    <mergeCell ref="A67:E67"/>
    <mergeCell ref="F67:K67"/>
    <mergeCell ref="A68:E74"/>
    <mergeCell ref="F68:K74"/>
    <mergeCell ref="B63:C63"/>
    <mergeCell ref="D63:G63"/>
    <mergeCell ref="H63:I63"/>
    <mergeCell ref="J63:K63"/>
    <mergeCell ref="A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A36:A37"/>
    <mergeCell ref="B36:C37"/>
    <mergeCell ref="D36:G37"/>
    <mergeCell ref="H36:I37"/>
    <mergeCell ref="J36:K37"/>
    <mergeCell ref="B38:C38"/>
    <mergeCell ref="D38:G38"/>
    <mergeCell ref="H38:I38"/>
    <mergeCell ref="J38:K38"/>
    <mergeCell ref="A27:K27"/>
    <mergeCell ref="A28:K28"/>
    <mergeCell ref="A29:K29"/>
    <mergeCell ref="A30:K30"/>
    <mergeCell ref="A31:K31"/>
    <mergeCell ref="A34:D34"/>
    <mergeCell ref="A15:E15"/>
    <mergeCell ref="A17:E17"/>
    <mergeCell ref="F17:K17"/>
    <mergeCell ref="A18:E18"/>
    <mergeCell ref="F18:K18"/>
    <mergeCell ref="A19:E25"/>
    <mergeCell ref="F19:K25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0">
    <tabColor rgb="FF92D050"/>
  </sheetPr>
  <dimension ref="A1:T74"/>
  <sheetViews>
    <sheetView view="pageBreakPreview" topLeftCell="A61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C.II.1.7.1. San ủi mặt bằng (phát quang)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1</v>
      </c>
      <c r="N6" s="245" t="str">
        <f>THKLQT!C151</f>
        <v>San ủi mặt bằng (phát quang)</v>
      </c>
      <c r="Q6" s="17"/>
    </row>
    <row r="7" spans="1:20" s="178" customFormat="1" ht="18.75" customHeight="1">
      <c r="A7" s="634">
        <f>I14</f>
        <v>1351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THKLQT!D151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6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outlineLevel="2">
      <c r="A12" s="81">
        <f>SUBTOTAL(103,$B$12:B12)</f>
        <v>1</v>
      </c>
      <c r="B12" s="78">
        <f>Q12</f>
        <v>43277</v>
      </c>
      <c r="C12" s="571" t="str">
        <f>T12</f>
        <v xml:space="preserve">San ủi mặt bằng (phát quang) </v>
      </c>
      <c r="D12" s="572"/>
      <c r="E12" s="573"/>
      <c r="F12" s="2">
        <f>P12</f>
        <v>1351</v>
      </c>
      <c r="G12" s="1">
        <f>P12</f>
        <v>1351</v>
      </c>
      <c r="H12" s="297">
        <f>P12</f>
        <v>1351</v>
      </c>
      <c r="I12" s="107">
        <f>P12</f>
        <v>1351</v>
      </c>
      <c r="J12" s="107">
        <f>P12</f>
        <v>1351</v>
      </c>
      <c r="K12" s="296" t="s">
        <v>677</v>
      </c>
      <c r="N12" s="118"/>
      <c r="O12" s="266"/>
      <c r="P12" s="88">
        <v>1351</v>
      </c>
      <c r="Q12" s="89">
        <v>43277</v>
      </c>
      <c r="R12" s="88"/>
      <c r="S12" s="88" t="e">
        <f t="shared" ref="S12" si="0">VLOOKUP($S$11,hamchuigoi3,M12,0)</f>
        <v>#VALUE!</v>
      </c>
      <c r="T12" s="3" t="str">
        <f>$N$6&amp;" "&amp;O12</f>
        <v xml:space="preserve">San ủi mặt bằng (phát quang)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F12</f>
        <v>1351</v>
      </c>
      <c r="G14" s="79">
        <f>ROUND(SUM(G12:G13),2)</f>
        <v>1351</v>
      </c>
      <c r="H14" s="79">
        <f>ROUND(SUM(H12:H13),2)</f>
        <v>1351</v>
      </c>
      <c r="I14" s="79">
        <f>ROUND(SUM(I12:I13),2)</f>
        <v>1351</v>
      </c>
      <c r="J14" s="79">
        <f>ROUND(SUM(J12:J13),2)</f>
        <v>1351</v>
      </c>
      <c r="K14" s="80"/>
      <c r="N14" s="118"/>
      <c r="O14" s="118"/>
      <c r="P14" s="90">
        <f>SUM(P12:P12)</f>
        <v>1351</v>
      </c>
    </row>
    <row r="15" spans="1:20" s="175" customFormat="1" ht="18" customHeight="1" thickTop="1" thickBot="1">
      <c r="A15" s="268"/>
      <c r="B15" s="268"/>
      <c r="C15" s="268"/>
      <c r="D15" s="268"/>
      <c r="E15" s="268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68"/>
      <c r="B25" s="268"/>
      <c r="C25" s="268"/>
      <c r="D25" s="268"/>
      <c r="E25" s="268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69" t="str">
        <f>A5</f>
        <v>Hạng mục C.II.1.7. Đường đầu cầu</v>
      </c>
      <c r="B31" s="270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69" t="str">
        <f>A6</f>
        <v>Mục C.II.1.7.1. San ủi mặt bằng (phát quang)</v>
      </c>
      <c r="B32" s="27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1351</v>
      </c>
      <c r="B33" s="640"/>
      <c r="C33" s="640"/>
      <c r="D33" s="640"/>
      <c r="E33" s="131" t="str">
        <f>E7</f>
        <v>(m2)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San ủi mặt bằng (phát quang)</v>
      </c>
      <c r="E37" s="624"/>
      <c r="F37" s="624"/>
      <c r="G37" s="624"/>
      <c r="H37" s="625">
        <f t="shared" ref="H37:H60" si="1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2">DATE(M37,L37,1)</f>
        <v>42948</v>
      </c>
      <c r="P37" s="103">
        <f t="shared" ref="P37:P61" si="3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4">"Tháng "&amp;IF(L38&lt;10,0&amp;L38&amp;"/"&amp;M38,L38&amp;"/"&amp;M38)</f>
        <v>Tháng 09/2017</v>
      </c>
      <c r="C38" s="567"/>
      <c r="D38" s="568" t="str">
        <f>D37</f>
        <v>San ủi mặt bằng (phát quang)</v>
      </c>
      <c r="E38" s="568"/>
      <c r="F38" s="568"/>
      <c r="G38" s="568"/>
      <c r="H38" s="569">
        <f t="shared" si="1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2"/>
        <v>42979</v>
      </c>
      <c r="P38" s="103">
        <f t="shared" si="3"/>
        <v>43008</v>
      </c>
    </row>
    <row r="39" spans="1:20" s="5" customFormat="1" ht="17.100000000000001" customHeight="1">
      <c r="A39" s="104">
        <f>A38+1</f>
        <v>3</v>
      </c>
      <c r="B39" s="567" t="str">
        <f t="shared" si="4"/>
        <v>Tháng 10/2017</v>
      </c>
      <c r="C39" s="567"/>
      <c r="D39" s="568" t="str">
        <f t="shared" ref="D39:D61" si="5">D38</f>
        <v>San ủi mặt bằng (phát quang)</v>
      </c>
      <c r="E39" s="568"/>
      <c r="F39" s="568"/>
      <c r="G39" s="568"/>
      <c r="H39" s="569">
        <f t="shared" si="1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2"/>
        <v>43009</v>
      </c>
      <c r="P39" s="103">
        <f t="shared" si="3"/>
        <v>43039</v>
      </c>
    </row>
    <row r="40" spans="1:20" s="5" customFormat="1" ht="17.100000000000001" customHeight="1">
      <c r="A40" s="104">
        <f t="shared" ref="A40:A62" si="6">A39+1</f>
        <v>4</v>
      </c>
      <c r="B40" s="567" t="str">
        <f t="shared" si="4"/>
        <v>Tháng 11/2017</v>
      </c>
      <c r="C40" s="567"/>
      <c r="D40" s="568" t="str">
        <f t="shared" si="5"/>
        <v>San ủi mặt bằng (phát quang)</v>
      </c>
      <c r="E40" s="568"/>
      <c r="F40" s="568"/>
      <c r="G40" s="568"/>
      <c r="H40" s="569">
        <f t="shared" si="1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2"/>
        <v>43040</v>
      </c>
      <c r="P40" s="103">
        <f t="shared" si="3"/>
        <v>43069</v>
      </c>
    </row>
    <row r="41" spans="1:20" s="5" customFormat="1" ht="17.100000000000001" customHeight="1">
      <c r="A41" s="104">
        <f t="shared" si="6"/>
        <v>5</v>
      </c>
      <c r="B41" s="567" t="str">
        <f t="shared" si="4"/>
        <v>Tháng 12/2017</v>
      </c>
      <c r="C41" s="567"/>
      <c r="D41" s="568" t="str">
        <f t="shared" si="5"/>
        <v>San ủi mặt bằng (phát quang)</v>
      </c>
      <c r="E41" s="568"/>
      <c r="F41" s="568"/>
      <c r="G41" s="568"/>
      <c r="H41" s="569">
        <f t="shared" si="1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2"/>
        <v>43070</v>
      </c>
      <c r="P41" s="103">
        <f t="shared" si="3"/>
        <v>43100</v>
      </c>
    </row>
    <row r="42" spans="1:20" s="5" customFormat="1" ht="17.100000000000001" customHeight="1">
      <c r="A42" s="104">
        <f t="shared" si="6"/>
        <v>6</v>
      </c>
      <c r="B42" s="567" t="str">
        <f t="shared" si="4"/>
        <v>Tháng 01/2018</v>
      </c>
      <c r="C42" s="567"/>
      <c r="D42" s="568" t="str">
        <f t="shared" si="5"/>
        <v>San ủi mặt bằng (phát quang)</v>
      </c>
      <c r="E42" s="568"/>
      <c r="F42" s="568"/>
      <c r="G42" s="568"/>
      <c r="H42" s="569">
        <f t="shared" si="1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2"/>
        <v>43101</v>
      </c>
      <c r="P42" s="103">
        <f t="shared" si="3"/>
        <v>43131</v>
      </c>
    </row>
    <row r="43" spans="1:20" s="5" customFormat="1" ht="17.100000000000001" customHeight="1">
      <c r="A43" s="104">
        <f t="shared" si="6"/>
        <v>7</v>
      </c>
      <c r="B43" s="567" t="str">
        <f t="shared" si="4"/>
        <v>Tháng 02/2018</v>
      </c>
      <c r="C43" s="567"/>
      <c r="D43" s="568" t="str">
        <f t="shared" si="5"/>
        <v>San ủi mặt bằng (phát quang)</v>
      </c>
      <c r="E43" s="568"/>
      <c r="F43" s="568"/>
      <c r="G43" s="568"/>
      <c r="H43" s="569">
        <f t="shared" si="1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2"/>
        <v>43132</v>
      </c>
      <c r="P43" s="103">
        <f t="shared" si="3"/>
        <v>43159</v>
      </c>
    </row>
    <row r="44" spans="1:20" s="5" customFormat="1" ht="17.100000000000001" customHeight="1">
      <c r="A44" s="104">
        <f t="shared" si="6"/>
        <v>8</v>
      </c>
      <c r="B44" s="567" t="str">
        <f t="shared" si="4"/>
        <v>Tháng 03/2018</v>
      </c>
      <c r="C44" s="567"/>
      <c r="D44" s="568" t="str">
        <f t="shared" si="5"/>
        <v>San ủi mặt bằng (phát quang)</v>
      </c>
      <c r="E44" s="568"/>
      <c r="F44" s="568"/>
      <c r="G44" s="568"/>
      <c r="H44" s="569">
        <f t="shared" si="1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2"/>
        <v>43160</v>
      </c>
      <c r="P44" s="103">
        <f t="shared" si="3"/>
        <v>43190</v>
      </c>
    </row>
    <row r="45" spans="1:20" s="5" customFormat="1" ht="17.100000000000001" customHeight="1">
      <c r="A45" s="104">
        <f t="shared" si="6"/>
        <v>9</v>
      </c>
      <c r="B45" s="567" t="str">
        <f t="shared" si="4"/>
        <v>Tháng 04/2018</v>
      </c>
      <c r="C45" s="567"/>
      <c r="D45" s="568" t="str">
        <f t="shared" si="5"/>
        <v>San ủi mặt bằng (phát quang)</v>
      </c>
      <c r="E45" s="568"/>
      <c r="F45" s="568"/>
      <c r="G45" s="568"/>
      <c r="H45" s="569">
        <f t="shared" si="1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2"/>
        <v>43191</v>
      </c>
      <c r="P45" s="103">
        <f t="shared" si="3"/>
        <v>43220</v>
      </c>
    </row>
    <row r="46" spans="1:20" s="5" customFormat="1" ht="17.100000000000001" customHeight="1">
      <c r="A46" s="104">
        <f t="shared" si="6"/>
        <v>10</v>
      </c>
      <c r="B46" s="567" t="str">
        <f t="shared" si="4"/>
        <v>Tháng 05/2018</v>
      </c>
      <c r="C46" s="567"/>
      <c r="D46" s="568" t="str">
        <f t="shared" si="5"/>
        <v>San ủi mặt bằng (phát quang)</v>
      </c>
      <c r="E46" s="568"/>
      <c r="F46" s="568"/>
      <c r="G46" s="568"/>
      <c r="H46" s="569">
        <f t="shared" si="1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2"/>
        <v>43221</v>
      </c>
      <c r="P46" s="103">
        <f t="shared" si="3"/>
        <v>43251</v>
      </c>
    </row>
    <row r="47" spans="1:20" s="5" customFormat="1" ht="17.100000000000001" customHeight="1">
      <c r="A47" s="104">
        <f t="shared" si="6"/>
        <v>11</v>
      </c>
      <c r="B47" s="567" t="str">
        <f t="shared" si="4"/>
        <v>Tháng 06/2018</v>
      </c>
      <c r="C47" s="567"/>
      <c r="D47" s="568" t="str">
        <f t="shared" si="5"/>
        <v>San ủi mặt bằng (phát quang)</v>
      </c>
      <c r="E47" s="568"/>
      <c r="F47" s="568"/>
      <c r="G47" s="568"/>
      <c r="H47" s="569">
        <f t="shared" si="1"/>
        <v>1351</v>
      </c>
      <c r="I47" s="569"/>
      <c r="J47" s="567"/>
      <c r="K47" s="570"/>
      <c r="L47">
        <v>6</v>
      </c>
      <c r="M47" s="101">
        <v>2018</v>
      </c>
      <c r="N47"/>
      <c r="O47" s="103">
        <f t="shared" si="2"/>
        <v>43252</v>
      </c>
      <c r="P47" s="103">
        <f t="shared" si="3"/>
        <v>43281</v>
      </c>
    </row>
    <row r="48" spans="1:20" s="5" customFormat="1" ht="17.100000000000001" customHeight="1">
      <c r="A48" s="104">
        <f t="shared" si="6"/>
        <v>12</v>
      </c>
      <c r="B48" s="567" t="str">
        <f t="shared" si="4"/>
        <v>Tháng 07/2018</v>
      </c>
      <c r="C48" s="567"/>
      <c r="D48" s="568" t="str">
        <f t="shared" si="5"/>
        <v>San ủi mặt bằng (phát quang)</v>
      </c>
      <c r="E48" s="568"/>
      <c r="F48" s="568"/>
      <c r="G48" s="568"/>
      <c r="H48" s="569">
        <f t="shared" si="1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2"/>
        <v>43282</v>
      </c>
      <c r="P48" s="103">
        <f t="shared" si="3"/>
        <v>43312</v>
      </c>
    </row>
    <row r="49" spans="1:16" s="5" customFormat="1" ht="17.100000000000001" customHeight="1">
      <c r="A49" s="104">
        <f t="shared" si="6"/>
        <v>13</v>
      </c>
      <c r="B49" s="567" t="str">
        <f t="shared" si="4"/>
        <v>Tháng 08/2018</v>
      </c>
      <c r="C49" s="567"/>
      <c r="D49" s="568" t="str">
        <f t="shared" si="5"/>
        <v>San ủi mặt bằng (phát quang)</v>
      </c>
      <c r="E49" s="568"/>
      <c r="F49" s="568"/>
      <c r="G49" s="568"/>
      <c r="H49" s="569">
        <f t="shared" si="1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2"/>
        <v>43313</v>
      </c>
      <c r="P49" s="103">
        <f t="shared" si="3"/>
        <v>43343</v>
      </c>
    </row>
    <row r="50" spans="1:16" s="5" customFormat="1" ht="17.100000000000001" customHeight="1">
      <c r="A50" s="104">
        <f t="shared" si="6"/>
        <v>14</v>
      </c>
      <c r="B50" s="567" t="str">
        <f t="shared" si="4"/>
        <v>Tháng 09/2018</v>
      </c>
      <c r="C50" s="567"/>
      <c r="D50" s="568" t="str">
        <f t="shared" si="5"/>
        <v>San ủi mặt bằng (phát quang)</v>
      </c>
      <c r="E50" s="568"/>
      <c r="F50" s="568"/>
      <c r="G50" s="568"/>
      <c r="H50" s="569">
        <f t="shared" si="1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2"/>
        <v>43344</v>
      </c>
      <c r="P50" s="103">
        <f t="shared" si="3"/>
        <v>43373</v>
      </c>
    </row>
    <row r="51" spans="1:16" s="5" customFormat="1" ht="17.100000000000001" customHeight="1">
      <c r="A51" s="104">
        <f t="shared" si="6"/>
        <v>15</v>
      </c>
      <c r="B51" s="567" t="str">
        <f t="shared" si="4"/>
        <v>Tháng 10/2018</v>
      </c>
      <c r="C51" s="567"/>
      <c r="D51" s="568" t="str">
        <f t="shared" si="5"/>
        <v>San ủi mặt bằng (phát quang)</v>
      </c>
      <c r="E51" s="568"/>
      <c r="F51" s="568"/>
      <c r="G51" s="568"/>
      <c r="H51" s="569">
        <f t="shared" si="1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2"/>
        <v>43374</v>
      </c>
      <c r="P51" s="103">
        <f t="shared" si="3"/>
        <v>43404</v>
      </c>
    </row>
    <row r="52" spans="1:16" s="5" customFormat="1" ht="17.100000000000001" customHeight="1">
      <c r="A52" s="104">
        <f t="shared" si="6"/>
        <v>16</v>
      </c>
      <c r="B52" s="567" t="str">
        <f t="shared" si="4"/>
        <v>Tháng 11/2018</v>
      </c>
      <c r="C52" s="567"/>
      <c r="D52" s="568" t="str">
        <f t="shared" si="5"/>
        <v>San ủi mặt bằng (phát quang)</v>
      </c>
      <c r="E52" s="568"/>
      <c r="F52" s="568"/>
      <c r="G52" s="568"/>
      <c r="H52" s="569">
        <f t="shared" si="1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2"/>
        <v>43405</v>
      </c>
      <c r="P52" s="103">
        <f t="shared" si="3"/>
        <v>43434</v>
      </c>
    </row>
    <row r="53" spans="1:16" s="5" customFormat="1" ht="17.100000000000001" customHeight="1">
      <c r="A53" s="104">
        <f t="shared" si="6"/>
        <v>17</v>
      </c>
      <c r="B53" s="567" t="str">
        <f t="shared" si="4"/>
        <v>Tháng 12/2018</v>
      </c>
      <c r="C53" s="567"/>
      <c r="D53" s="568" t="str">
        <f t="shared" si="5"/>
        <v>San ủi mặt bằng (phát quang)</v>
      </c>
      <c r="E53" s="568"/>
      <c r="F53" s="568"/>
      <c r="G53" s="568"/>
      <c r="H53" s="569">
        <f t="shared" si="1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2"/>
        <v>43435</v>
      </c>
      <c r="P53" s="103">
        <f t="shared" si="3"/>
        <v>43465</v>
      </c>
    </row>
    <row r="54" spans="1:16" s="5" customFormat="1" ht="17.100000000000001" customHeight="1">
      <c r="A54" s="104">
        <f t="shared" si="6"/>
        <v>18</v>
      </c>
      <c r="B54" s="567" t="str">
        <f t="shared" si="4"/>
        <v>Tháng 01/2019</v>
      </c>
      <c r="C54" s="567"/>
      <c r="D54" s="568" t="str">
        <f t="shared" si="5"/>
        <v>San ủi mặt bằng (phát quang)</v>
      </c>
      <c r="E54" s="568"/>
      <c r="F54" s="568"/>
      <c r="G54" s="568"/>
      <c r="H54" s="569">
        <f t="shared" si="1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2"/>
        <v>43466</v>
      </c>
      <c r="P54" s="103">
        <f t="shared" si="3"/>
        <v>43496</v>
      </c>
    </row>
    <row r="55" spans="1:16" s="5" customFormat="1" ht="17.100000000000001" customHeight="1">
      <c r="A55" s="104">
        <f t="shared" si="6"/>
        <v>19</v>
      </c>
      <c r="B55" s="567" t="str">
        <f t="shared" si="4"/>
        <v>Tháng 02/2019</v>
      </c>
      <c r="C55" s="567"/>
      <c r="D55" s="568" t="str">
        <f t="shared" si="5"/>
        <v>San ủi mặt bằng (phát quang)</v>
      </c>
      <c r="E55" s="568"/>
      <c r="F55" s="568"/>
      <c r="G55" s="568"/>
      <c r="H55" s="569">
        <f t="shared" si="1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2"/>
        <v>43497</v>
      </c>
      <c r="P55" s="103">
        <f t="shared" si="3"/>
        <v>43524</v>
      </c>
    </row>
    <row r="56" spans="1:16" s="5" customFormat="1" ht="17.100000000000001" customHeight="1">
      <c r="A56" s="104">
        <f t="shared" si="6"/>
        <v>20</v>
      </c>
      <c r="B56" s="567" t="str">
        <f t="shared" si="4"/>
        <v>Tháng 03/2019</v>
      </c>
      <c r="C56" s="567"/>
      <c r="D56" s="568" t="str">
        <f t="shared" si="5"/>
        <v>San ủi mặt bằng (phát quang)</v>
      </c>
      <c r="E56" s="568"/>
      <c r="F56" s="568"/>
      <c r="G56" s="568"/>
      <c r="H56" s="569">
        <f t="shared" si="1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2"/>
        <v>43525</v>
      </c>
      <c r="P56" s="103">
        <f t="shared" si="3"/>
        <v>43555</v>
      </c>
    </row>
    <row r="57" spans="1:16" s="5" customFormat="1" ht="17.100000000000001" customHeight="1">
      <c r="A57" s="104">
        <f t="shared" si="6"/>
        <v>21</v>
      </c>
      <c r="B57" s="567" t="str">
        <f t="shared" si="4"/>
        <v>Tháng 04/2019</v>
      </c>
      <c r="C57" s="567"/>
      <c r="D57" s="568" t="str">
        <f t="shared" si="5"/>
        <v>San ủi mặt bằng (phát quang)</v>
      </c>
      <c r="E57" s="568"/>
      <c r="F57" s="568"/>
      <c r="G57" s="568"/>
      <c r="H57" s="569">
        <f t="shared" si="1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2"/>
        <v>43556</v>
      </c>
      <c r="P57" s="103">
        <f t="shared" si="3"/>
        <v>43585</v>
      </c>
    </row>
    <row r="58" spans="1:16" s="5" customFormat="1" ht="17.100000000000001" customHeight="1">
      <c r="A58" s="104">
        <f t="shared" si="6"/>
        <v>22</v>
      </c>
      <c r="B58" s="567" t="str">
        <f t="shared" si="4"/>
        <v>Tháng 05/2019</v>
      </c>
      <c r="C58" s="567"/>
      <c r="D58" s="568" t="str">
        <f t="shared" si="5"/>
        <v>San ủi mặt bằng (phát quang)</v>
      </c>
      <c r="E58" s="568"/>
      <c r="F58" s="568"/>
      <c r="G58" s="568"/>
      <c r="H58" s="569">
        <f t="shared" si="1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2"/>
        <v>43586</v>
      </c>
      <c r="P58" s="103">
        <f t="shared" si="3"/>
        <v>43616</v>
      </c>
    </row>
    <row r="59" spans="1:16" s="5" customFormat="1" ht="17.100000000000001" customHeight="1">
      <c r="A59" s="104">
        <f t="shared" si="6"/>
        <v>23</v>
      </c>
      <c r="B59" s="567" t="str">
        <f t="shared" si="4"/>
        <v>Tháng 06/2019</v>
      </c>
      <c r="C59" s="567"/>
      <c r="D59" s="568" t="str">
        <f t="shared" si="5"/>
        <v>San ủi mặt bằng (phát quang)</v>
      </c>
      <c r="E59" s="568"/>
      <c r="F59" s="568"/>
      <c r="G59" s="568"/>
      <c r="H59" s="569">
        <f t="shared" si="1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2"/>
        <v>43617</v>
      </c>
      <c r="P59" s="103">
        <f t="shared" si="3"/>
        <v>43646</v>
      </c>
    </row>
    <row r="60" spans="1:16" s="5" customFormat="1" ht="17.100000000000001" customHeight="1">
      <c r="A60" s="104">
        <f t="shared" si="6"/>
        <v>24</v>
      </c>
      <c r="B60" s="567" t="str">
        <f t="shared" si="4"/>
        <v>Tháng 07/2019</v>
      </c>
      <c r="C60" s="567"/>
      <c r="D60" s="568" t="str">
        <f t="shared" si="5"/>
        <v>San ủi mặt bằng (phát quang)</v>
      </c>
      <c r="E60" s="568"/>
      <c r="F60" s="568"/>
      <c r="G60" s="568"/>
      <c r="H60" s="569">
        <f t="shared" si="1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2"/>
        <v>43647</v>
      </c>
      <c r="P60" s="103">
        <f t="shared" si="3"/>
        <v>43677</v>
      </c>
    </row>
    <row r="61" spans="1:16" s="5" customFormat="1" ht="17.100000000000001" customHeight="1">
      <c r="A61" s="104">
        <f t="shared" si="6"/>
        <v>25</v>
      </c>
      <c r="B61" s="567" t="str">
        <f t="shared" si="4"/>
        <v>Tháng 08/2019</v>
      </c>
      <c r="C61" s="567"/>
      <c r="D61" s="568" t="str">
        <f t="shared" si="5"/>
        <v>San ủi mặt bằng (phát quang)</v>
      </c>
      <c r="E61" s="568"/>
      <c r="F61" s="568"/>
      <c r="G61" s="568"/>
      <c r="H61" s="569">
        <f>+SUMIFS($I$12:$I$12,$B$12:$B$12,"&gt;="&amp;$O61,$B$12:$B$12,"&lt;="&amp;$P61)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2"/>
        <v>43678</v>
      </c>
      <c r="P61" s="103">
        <f t="shared" si="3"/>
        <v>43708</v>
      </c>
    </row>
    <row r="62" spans="1:16" s="5" customFormat="1" ht="17.100000000000001" customHeight="1">
      <c r="A62" s="104">
        <f t="shared" si="6"/>
        <v>26</v>
      </c>
      <c r="B62" s="616" t="str">
        <f t="shared" si="4"/>
        <v>Tháng 09/2019</v>
      </c>
      <c r="C62" s="616"/>
      <c r="D62" s="652" t="str">
        <f>D60</f>
        <v>San ủi mặt bằng (phát quang)</v>
      </c>
      <c r="E62" s="652"/>
      <c r="F62" s="652"/>
      <c r="G62" s="652"/>
      <c r="H62" s="615">
        <f>+SUMIFS($I$12:$I$12,$B$12:$B$12,"&gt;="&amp;$O62,$B$12:$B$12,"&lt;="&amp;$P62)</f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1351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37:C37"/>
    <mergeCell ref="D37:G37"/>
    <mergeCell ref="H37:I37"/>
    <mergeCell ref="J37:K37"/>
    <mergeCell ref="B38:C38"/>
    <mergeCell ref="D38:G38"/>
    <mergeCell ref="H38:I38"/>
    <mergeCell ref="J38:K38"/>
    <mergeCell ref="A27:K27"/>
    <mergeCell ref="A28:K28"/>
    <mergeCell ref="A29:K29"/>
    <mergeCell ref="A30:K30"/>
    <mergeCell ref="A33:D33"/>
    <mergeCell ref="A35:A36"/>
    <mergeCell ref="B35:C36"/>
    <mergeCell ref="D35:G36"/>
    <mergeCell ref="H35:I36"/>
    <mergeCell ref="J35:K36"/>
    <mergeCell ref="F16:K16"/>
    <mergeCell ref="A17:E17"/>
    <mergeCell ref="F17:K17"/>
    <mergeCell ref="A18:E24"/>
    <mergeCell ref="F18:K24"/>
    <mergeCell ref="A26:K26"/>
    <mergeCell ref="C13:E13"/>
    <mergeCell ref="A14:E14"/>
    <mergeCell ref="A16:E16"/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1">
    <tabColor rgb="FF92D050"/>
  </sheetPr>
  <dimension ref="A1:T75"/>
  <sheetViews>
    <sheetView view="pageBreakPreview" topLeftCell="A58" zoomScaleSheetLayoutView="100" workbookViewId="0">
      <selection activeCell="A68" sqref="A68:K7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C.II.1.7.2. Đào vật liệu không thích hợp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2</v>
      </c>
      <c r="N6" s="245" t="str">
        <f>THKLQT!C152</f>
        <v>Đào vật liệu không thích hợp</v>
      </c>
      <c r="Q6" s="17"/>
    </row>
    <row r="7" spans="1:20" s="178" customFormat="1" ht="18.75" customHeight="1">
      <c r="A7" s="634">
        <f>I15</f>
        <v>198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THKLQT!D152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6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43277</v>
      </c>
      <c r="C12" s="571" t="str">
        <f>T12</f>
        <v xml:space="preserve">Đào vật liệu không thích hợp </v>
      </c>
      <c r="D12" s="572"/>
      <c r="E12" s="573"/>
      <c r="F12" s="2">
        <f>P12</f>
        <v>198</v>
      </c>
      <c r="G12" s="1">
        <f>P12</f>
        <v>198</v>
      </c>
      <c r="H12" s="297">
        <f>P12</f>
        <v>198</v>
      </c>
      <c r="I12" s="107">
        <f>P12</f>
        <v>198</v>
      </c>
      <c r="J12" s="107">
        <f>P12</f>
        <v>198</v>
      </c>
      <c r="K12" s="603" t="s">
        <v>677</v>
      </c>
      <c r="N12" s="118"/>
      <c r="O12" s="266"/>
      <c r="P12" s="88">
        <v>198</v>
      </c>
      <c r="Q12" s="89">
        <v>43277</v>
      </c>
      <c r="R12" s="88"/>
      <c r="S12" s="88" t="e">
        <f t="shared" ref="S12:S13" si="0">VLOOKUP($S$11,hamchuigoi3,M12,0)</f>
        <v>#VALUE!</v>
      </c>
      <c r="T12" s="3" t="str">
        <f>$N$6&amp;" "&amp;O12</f>
        <v xml:space="preserve">Đào vật liệu không thích hợp </v>
      </c>
    </row>
    <row r="13" spans="1:20" ht="14.25" outlineLevel="2">
      <c r="A13" s="81">
        <f>SUBTOTAL(103,$B$12:B13)</f>
        <v>2</v>
      </c>
      <c r="B13" s="78">
        <f t="shared" ref="B13" si="1">Q13</f>
        <v>43275</v>
      </c>
      <c r="C13" s="571" t="str">
        <f t="shared" ref="C13" si="2">T13</f>
        <v xml:space="preserve">Đào vật liệu không thích hợp </v>
      </c>
      <c r="D13" s="572"/>
      <c r="E13" s="573"/>
      <c r="F13" s="2">
        <f t="shared" ref="F13" si="3">P13</f>
        <v>0</v>
      </c>
      <c r="G13" s="1">
        <f t="shared" ref="G13" si="4">P13</f>
        <v>0</v>
      </c>
      <c r="H13" s="297">
        <f t="shared" ref="H13" si="5">P13</f>
        <v>0</v>
      </c>
      <c r="I13" s="107">
        <f t="shared" ref="I13" si="6">P13</f>
        <v>0</v>
      </c>
      <c r="J13" s="107">
        <f t="shared" ref="J13" si="7">P13</f>
        <v>0</v>
      </c>
      <c r="K13" s="605"/>
      <c r="N13" s="118"/>
      <c r="O13" s="266"/>
      <c r="P13" s="88">
        <v>0</v>
      </c>
      <c r="Q13" s="89">
        <f>+Q12-2</f>
        <v>43275</v>
      </c>
      <c r="R13" s="88"/>
      <c r="S13" s="88" t="e">
        <f t="shared" si="0"/>
        <v>#VALUE!</v>
      </c>
      <c r="T13" s="3" t="str">
        <f t="shared" ref="T13" si="8">$N$6&amp;" "&amp;O13</f>
        <v xml:space="preserve">Đào vật liệu không thích hợp 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277">
        <f>'[6]TONG KL '!$I$4</f>
        <v>206.45</v>
      </c>
      <c r="G15" s="79">
        <f>ROUND(SUM(G12:G14),2)</f>
        <v>198</v>
      </c>
      <c r="H15" s="79">
        <f>ROUND(SUM(H12:H14),2)</f>
        <v>198</v>
      </c>
      <c r="I15" s="79">
        <f>ROUND(SUM(I12:I14),2)</f>
        <v>198</v>
      </c>
      <c r="J15" s="79">
        <f>ROUND(SUM(J12:J14),2)</f>
        <v>198</v>
      </c>
      <c r="K15" s="80"/>
      <c r="N15" s="118"/>
      <c r="O15" s="118"/>
      <c r="P15" s="90">
        <f>SUM(P12:P12)</f>
        <v>198</v>
      </c>
    </row>
    <row r="16" spans="1:20" s="175" customFormat="1" ht="18" customHeight="1" thickTop="1" thickBot="1">
      <c r="A16" s="268"/>
      <c r="B16" s="268"/>
      <c r="C16" s="268"/>
      <c r="D16" s="268"/>
      <c r="E16" s="268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268"/>
      <c r="B26" s="268"/>
      <c r="C26" s="268"/>
      <c r="D26" s="268"/>
      <c r="E26" s="268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69" t="str">
        <f>A5</f>
        <v>Hạng mục C.II.1.7. Đường đầu cầu</v>
      </c>
      <c r="B32" s="27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269" t="str">
        <f>A6</f>
        <v>Mục C.II.1.7.2. Đào vật liệu không thích hợp</v>
      </c>
      <c r="B33" s="270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198</v>
      </c>
      <c r="B34" s="640"/>
      <c r="C34" s="640"/>
      <c r="D34" s="640"/>
      <c r="E34" s="131" t="str">
        <f>E7</f>
        <v>(m3)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Đào vật liệu không thích hợp</v>
      </c>
      <c r="E38" s="624"/>
      <c r="F38" s="624"/>
      <c r="G38" s="624"/>
      <c r="H38" s="625">
        <f t="shared" ref="H38:H61" si="9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10">DATE(M38,L38,1)</f>
        <v>42948</v>
      </c>
      <c r="P38" s="103">
        <f t="shared" ref="P38:P62" si="11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12">"Tháng "&amp;IF(L39&lt;10,0&amp;L39&amp;"/"&amp;M39,L39&amp;"/"&amp;M39)</f>
        <v>Tháng 09/2017</v>
      </c>
      <c r="C39" s="567"/>
      <c r="D39" s="568" t="str">
        <f>D38</f>
        <v>Đào vật liệu không thích hợp</v>
      </c>
      <c r="E39" s="568"/>
      <c r="F39" s="568"/>
      <c r="G39" s="568"/>
      <c r="H39" s="569">
        <f t="shared" si="9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10"/>
        <v>42979</v>
      </c>
      <c r="P39" s="103">
        <f t="shared" si="11"/>
        <v>43008</v>
      </c>
    </row>
    <row r="40" spans="1:20" s="5" customFormat="1" ht="17.100000000000001" customHeight="1">
      <c r="A40" s="104">
        <f>A39+1</f>
        <v>3</v>
      </c>
      <c r="B40" s="567" t="str">
        <f t="shared" si="12"/>
        <v>Tháng 10/2017</v>
      </c>
      <c r="C40" s="567"/>
      <c r="D40" s="568" t="str">
        <f t="shared" ref="D40:D62" si="13">D39</f>
        <v>Đào vật liệu không thích hợp</v>
      </c>
      <c r="E40" s="568"/>
      <c r="F40" s="568"/>
      <c r="G40" s="568"/>
      <c r="H40" s="569">
        <f t="shared" si="9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10"/>
        <v>43009</v>
      </c>
      <c r="P40" s="103">
        <f t="shared" si="11"/>
        <v>43039</v>
      </c>
    </row>
    <row r="41" spans="1:20" s="5" customFormat="1" ht="17.100000000000001" customHeight="1">
      <c r="A41" s="104">
        <f t="shared" ref="A41:A63" si="14">A40+1</f>
        <v>4</v>
      </c>
      <c r="B41" s="567" t="str">
        <f t="shared" si="12"/>
        <v>Tháng 11/2017</v>
      </c>
      <c r="C41" s="567"/>
      <c r="D41" s="568" t="str">
        <f t="shared" si="13"/>
        <v>Đào vật liệu không thích hợp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10"/>
        <v>43040</v>
      </c>
      <c r="P41" s="103">
        <f t="shared" si="11"/>
        <v>43069</v>
      </c>
    </row>
    <row r="42" spans="1:20" s="5" customFormat="1" ht="17.100000000000001" customHeight="1">
      <c r="A42" s="104">
        <f t="shared" si="14"/>
        <v>5</v>
      </c>
      <c r="B42" s="567" t="str">
        <f t="shared" si="12"/>
        <v>Tháng 12/2017</v>
      </c>
      <c r="C42" s="567"/>
      <c r="D42" s="568" t="str">
        <f t="shared" si="13"/>
        <v>Đào vật liệu không thích hợp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10"/>
        <v>43070</v>
      </c>
      <c r="P42" s="103">
        <f t="shared" si="11"/>
        <v>43100</v>
      </c>
    </row>
    <row r="43" spans="1:20" s="5" customFormat="1" ht="17.100000000000001" customHeight="1">
      <c r="A43" s="104">
        <f t="shared" si="14"/>
        <v>6</v>
      </c>
      <c r="B43" s="567" t="str">
        <f t="shared" si="12"/>
        <v>Tháng 01/2018</v>
      </c>
      <c r="C43" s="567"/>
      <c r="D43" s="568" t="str">
        <f t="shared" si="13"/>
        <v>Đào vật liệu không thích hợp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10"/>
        <v>43101</v>
      </c>
      <c r="P43" s="103">
        <f t="shared" si="11"/>
        <v>43131</v>
      </c>
    </row>
    <row r="44" spans="1:20" s="5" customFormat="1" ht="17.100000000000001" customHeight="1">
      <c r="A44" s="104">
        <f t="shared" si="14"/>
        <v>7</v>
      </c>
      <c r="B44" s="567" t="str">
        <f t="shared" si="12"/>
        <v>Tháng 02/2018</v>
      </c>
      <c r="C44" s="567"/>
      <c r="D44" s="568" t="str">
        <f t="shared" si="13"/>
        <v>Đào vật liệu không thích hợp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10"/>
        <v>43132</v>
      </c>
      <c r="P44" s="103">
        <f t="shared" si="11"/>
        <v>43159</v>
      </c>
    </row>
    <row r="45" spans="1:20" s="5" customFormat="1" ht="17.100000000000001" customHeight="1">
      <c r="A45" s="104">
        <f t="shared" si="14"/>
        <v>8</v>
      </c>
      <c r="B45" s="567" t="str">
        <f t="shared" si="12"/>
        <v>Tháng 03/2018</v>
      </c>
      <c r="C45" s="567"/>
      <c r="D45" s="568" t="str">
        <f t="shared" si="13"/>
        <v>Đào vật liệu không thích hợp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10"/>
        <v>43160</v>
      </c>
      <c r="P45" s="103">
        <f t="shared" si="11"/>
        <v>43190</v>
      </c>
    </row>
    <row r="46" spans="1:20" s="5" customFormat="1" ht="17.100000000000001" customHeight="1">
      <c r="A46" s="104">
        <f t="shared" si="14"/>
        <v>9</v>
      </c>
      <c r="B46" s="567" t="str">
        <f t="shared" si="12"/>
        <v>Tháng 04/2018</v>
      </c>
      <c r="C46" s="567"/>
      <c r="D46" s="568" t="str">
        <f t="shared" si="13"/>
        <v>Đào vật liệu không thích hợp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10"/>
        <v>43191</v>
      </c>
      <c r="P46" s="103">
        <f t="shared" si="11"/>
        <v>43220</v>
      </c>
    </row>
    <row r="47" spans="1:20" s="5" customFormat="1" ht="17.100000000000001" customHeight="1">
      <c r="A47" s="104">
        <f t="shared" si="14"/>
        <v>10</v>
      </c>
      <c r="B47" s="567" t="str">
        <f t="shared" si="12"/>
        <v>Tháng 05/2018</v>
      </c>
      <c r="C47" s="567"/>
      <c r="D47" s="568" t="str">
        <f t="shared" si="13"/>
        <v>Đào vật liệu không thích hợp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10"/>
        <v>43221</v>
      </c>
      <c r="P47" s="103">
        <f t="shared" si="11"/>
        <v>43251</v>
      </c>
    </row>
    <row r="48" spans="1:20" s="5" customFormat="1" ht="17.100000000000001" customHeight="1">
      <c r="A48" s="104">
        <f t="shared" si="14"/>
        <v>11</v>
      </c>
      <c r="B48" s="567" t="str">
        <f t="shared" si="12"/>
        <v>Tháng 06/2018</v>
      </c>
      <c r="C48" s="567"/>
      <c r="D48" s="568" t="str">
        <f t="shared" si="13"/>
        <v>Đào vật liệu không thích hợp</v>
      </c>
      <c r="E48" s="568"/>
      <c r="F48" s="568"/>
      <c r="G48" s="568"/>
      <c r="H48" s="569">
        <f t="shared" si="9"/>
        <v>198</v>
      </c>
      <c r="I48" s="569"/>
      <c r="J48" s="567"/>
      <c r="K48" s="570"/>
      <c r="L48">
        <v>6</v>
      </c>
      <c r="M48" s="101">
        <v>2018</v>
      </c>
      <c r="N48"/>
      <c r="O48" s="103">
        <f t="shared" si="10"/>
        <v>43252</v>
      </c>
      <c r="P48" s="103">
        <f t="shared" si="11"/>
        <v>43281</v>
      </c>
    </row>
    <row r="49" spans="1:16" s="5" customFormat="1" ht="17.100000000000001" customHeight="1">
      <c r="A49" s="104">
        <f t="shared" si="14"/>
        <v>12</v>
      </c>
      <c r="B49" s="567" t="str">
        <f t="shared" si="12"/>
        <v>Tháng 07/2018</v>
      </c>
      <c r="C49" s="567"/>
      <c r="D49" s="568" t="str">
        <f t="shared" si="13"/>
        <v>Đào vật liệu không thích hợp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10"/>
        <v>43282</v>
      </c>
      <c r="P49" s="103">
        <f t="shared" si="11"/>
        <v>43312</v>
      </c>
    </row>
    <row r="50" spans="1:16" s="5" customFormat="1" ht="17.100000000000001" customHeight="1">
      <c r="A50" s="104">
        <f t="shared" si="14"/>
        <v>13</v>
      </c>
      <c r="B50" s="567" t="str">
        <f t="shared" si="12"/>
        <v>Tháng 08/2018</v>
      </c>
      <c r="C50" s="567"/>
      <c r="D50" s="568" t="str">
        <f t="shared" si="13"/>
        <v>Đào vật liệu không thích hợp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10"/>
        <v>43313</v>
      </c>
      <c r="P50" s="103">
        <f t="shared" si="11"/>
        <v>43343</v>
      </c>
    </row>
    <row r="51" spans="1:16" s="5" customFormat="1" ht="17.100000000000001" customHeight="1">
      <c r="A51" s="104">
        <f t="shared" si="14"/>
        <v>14</v>
      </c>
      <c r="B51" s="567" t="str">
        <f t="shared" si="12"/>
        <v>Tháng 09/2018</v>
      </c>
      <c r="C51" s="567"/>
      <c r="D51" s="568" t="str">
        <f t="shared" si="13"/>
        <v>Đào vật liệu không thích hợp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9</v>
      </c>
      <c r="M51" s="101">
        <v>2018</v>
      </c>
      <c r="N51"/>
      <c r="O51" s="103">
        <f t="shared" si="10"/>
        <v>43344</v>
      </c>
      <c r="P51" s="103">
        <f t="shared" si="11"/>
        <v>43373</v>
      </c>
    </row>
    <row r="52" spans="1:16" s="5" customFormat="1" ht="17.100000000000001" customHeight="1">
      <c r="A52" s="104">
        <f t="shared" si="14"/>
        <v>15</v>
      </c>
      <c r="B52" s="567" t="str">
        <f t="shared" si="12"/>
        <v>Tháng 10/2018</v>
      </c>
      <c r="C52" s="567"/>
      <c r="D52" s="568" t="str">
        <f t="shared" si="13"/>
        <v>Đào vật liệu không thích hợp</v>
      </c>
      <c r="E52" s="568"/>
      <c r="F52" s="568"/>
      <c r="G52" s="568"/>
      <c r="H52" s="569">
        <f t="shared" si="9"/>
        <v>0</v>
      </c>
      <c r="I52" s="569"/>
      <c r="J52" s="567"/>
      <c r="K52" s="570"/>
      <c r="L52">
        <v>10</v>
      </c>
      <c r="M52" s="101">
        <v>2018</v>
      </c>
      <c r="N52"/>
      <c r="O52" s="103">
        <f t="shared" si="10"/>
        <v>43374</v>
      </c>
      <c r="P52" s="103">
        <f t="shared" si="11"/>
        <v>43404</v>
      </c>
    </row>
    <row r="53" spans="1:16" s="5" customFormat="1" ht="17.100000000000001" customHeight="1">
      <c r="A53" s="104">
        <f t="shared" si="14"/>
        <v>16</v>
      </c>
      <c r="B53" s="567" t="str">
        <f t="shared" si="12"/>
        <v>Tháng 11/2018</v>
      </c>
      <c r="C53" s="567"/>
      <c r="D53" s="568" t="str">
        <f t="shared" si="13"/>
        <v>Đào vật liệu không thích hợp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10"/>
        <v>43405</v>
      </c>
      <c r="P53" s="103">
        <f t="shared" si="11"/>
        <v>43434</v>
      </c>
    </row>
    <row r="54" spans="1:16" s="5" customFormat="1" ht="17.100000000000001" customHeight="1">
      <c r="A54" s="104">
        <f t="shared" si="14"/>
        <v>17</v>
      </c>
      <c r="B54" s="567" t="str">
        <f t="shared" si="12"/>
        <v>Tháng 12/2018</v>
      </c>
      <c r="C54" s="567"/>
      <c r="D54" s="568" t="str">
        <f t="shared" si="13"/>
        <v>Đào vật liệu không thích hợp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10"/>
        <v>43435</v>
      </c>
      <c r="P54" s="103">
        <f t="shared" si="11"/>
        <v>43465</v>
      </c>
    </row>
    <row r="55" spans="1:16" s="5" customFormat="1" ht="17.100000000000001" customHeight="1">
      <c r="A55" s="104">
        <f t="shared" si="14"/>
        <v>18</v>
      </c>
      <c r="B55" s="567" t="str">
        <f t="shared" si="12"/>
        <v>Tháng 01/2019</v>
      </c>
      <c r="C55" s="567"/>
      <c r="D55" s="568" t="str">
        <f t="shared" si="13"/>
        <v>Đào vật liệu không thích hợp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10"/>
        <v>43466</v>
      </c>
      <c r="P55" s="103">
        <f t="shared" si="11"/>
        <v>43496</v>
      </c>
    </row>
    <row r="56" spans="1:16" s="5" customFormat="1" ht="17.100000000000001" customHeight="1">
      <c r="A56" s="104">
        <f t="shared" si="14"/>
        <v>19</v>
      </c>
      <c r="B56" s="567" t="str">
        <f t="shared" si="12"/>
        <v>Tháng 02/2019</v>
      </c>
      <c r="C56" s="567"/>
      <c r="D56" s="568" t="str">
        <f t="shared" si="13"/>
        <v>Đào vật liệu không thích hợp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10"/>
        <v>43497</v>
      </c>
      <c r="P56" s="103">
        <f t="shared" si="11"/>
        <v>43524</v>
      </c>
    </row>
    <row r="57" spans="1:16" s="5" customFormat="1" ht="17.100000000000001" customHeight="1">
      <c r="A57" s="104">
        <f t="shared" si="14"/>
        <v>20</v>
      </c>
      <c r="B57" s="567" t="str">
        <f t="shared" si="12"/>
        <v>Tháng 03/2019</v>
      </c>
      <c r="C57" s="567"/>
      <c r="D57" s="568" t="str">
        <f t="shared" si="13"/>
        <v>Đào vật liệu không thích hợp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10"/>
        <v>43525</v>
      </c>
      <c r="P57" s="103">
        <f t="shared" si="11"/>
        <v>43555</v>
      </c>
    </row>
    <row r="58" spans="1:16" s="5" customFormat="1" ht="17.100000000000001" customHeight="1">
      <c r="A58" s="104">
        <f t="shared" si="14"/>
        <v>21</v>
      </c>
      <c r="B58" s="567" t="str">
        <f t="shared" si="12"/>
        <v>Tháng 04/2019</v>
      </c>
      <c r="C58" s="567"/>
      <c r="D58" s="568" t="str">
        <f t="shared" si="13"/>
        <v>Đào vật liệu không thích hợp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10"/>
        <v>43556</v>
      </c>
      <c r="P58" s="103">
        <f t="shared" si="11"/>
        <v>43585</v>
      </c>
    </row>
    <row r="59" spans="1:16" s="5" customFormat="1" ht="17.100000000000001" customHeight="1">
      <c r="A59" s="104">
        <f t="shared" si="14"/>
        <v>22</v>
      </c>
      <c r="B59" s="567" t="str">
        <f t="shared" si="12"/>
        <v>Tháng 05/2019</v>
      </c>
      <c r="C59" s="567"/>
      <c r="D59" s="568" t="str">
        <f t="shared" si="13"/>
        <v>Đào vật liệu không thích hợp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10"/>
        <v>43586</v>
      </c>
      <c r="P59" s="103">
        <f t="shared" si="11"/>
        <v>43616</v>
      </c>
    </row>
    <row r="60" spans="1:16" s="5" customFormat="1" ht="17.100000000000001" customHeight="1">
      <c r="A60" s="104">
        <f t="shared" si="14"/>
        <v>23</v>
      </c>
      <c r="B60" s="567" t="str">
        <f t="shared" si="12"/>
        <v>Tháng 06/2019</v>
      </c>
      <c r="C60" s="567"/>
      <c r="D60" s="568" t="str">
        <f t="shared" si="13"/>
        <v>Đào vật liệu không thích hợp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10"/>
        <v>43617</v>
      </c>
      <c r="P60" s="103">
        <f t="shared" si="11"/>
        <v>43646</v>
      </c>
    </row>
    <row r="61" spans="1:16" s="5" customFormat="1" ht="17.100000000000001" customHeight="1">
      <c r="A61" s="104">
        <f t="shared" si="14"/>
        <v>24</v>
      </c>
      <c r="B61" s="567" t="str">
        <f t="shared" si="12"/>
        <v>Tháng 07/2019</v>
      </c>
      <c r="C61" s="567"/>
      <c r="D61" s="568" t="str">
        <f t="shared" si="13"/>
        <v>Đào vật liệu không thích hợp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10"/>
        <v>43647</v>
      </c>
      <c r="P61" s="103">
        <f t="shared" si="11"/>
        <v>43677</v>
      </c>
    </row>
    <row r="62" spans="1:16" s="5" customFormat="1" ht="17.100000000000001" customHeight="1">
      <c r="A62" s="104">
        <f t="shared" si="14"/>
        <v>25</v>
      </c>
      <c r="B62" s="567" t="str">
        <f t="shared" si="12"/>
        <v>Tháng 08/2019</v>
      </c>
      <c r="C62" s="567"/>
      <c r="D62" s="568" t="str">
        <f t="shared" si="13"/>
        <v>Đào vật liệu không thích hợp</v>
      </c>
      <c r="E62" s="568"/>
      <c r="F62" s="568"/>
      <c r="G62" s="568"/>
      <c r="H62" s="569">
        <f>+SUMIFS($I$12:$I$13,$B$12:$B$13,"&gt;="&amp;$O62,$B$12:$B$13,"&lt;="&amp;$P62)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10"/>
        <v>43678</v>
      </c>
      <c r="P62" s="103">
        <f t="shared" si="11"/>
        <v>43708</v>
      </c>
    </row>
    <row r="63" spans="1:16" s="5" customFormat="1" ht="17.100000000000001" customHeight="1">
      <c r="A63" s="104">
        <f t="shared" si="14"/>
        <v>26</v>
      </c>
      <c r="B63" s="616" t="str">
        <f t="shared" si="12"/>
        <v>Tháng 09/2019</v>
      </c>
      <c r="C63" s="616"/>
      <c r="D63" s="652" t="str">
        <f>D61</f>
        <v>Đào vật liệu không thích hợp</v>
      </c>
      <c r="E63" s="652"/>
      <c r="F63" s="652"/>
      <c r="G63" s="652"/>
      <c r="H63" s="615">
        <f>+SUMIFS($I$12:$I$13,$B$12:$B$13,"&gt;="&amp;$O63,$B$12:$B$13,"&lt;="&amp;$P63)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5">SUM(H38:I63)</f>
        <v>198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2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A28:K28"/>
    <mergeCell ref="A29:K29"/>
    <mergeCell ref="A30:K30"/>
    <mergeCell ref="A31:K31"/>
    <mergeCell ref="A34:D34"/>
    <mergeCell ref="A36:A37"/>
    <mergeCell ref="B36:C37"/>
    <mergeCell ref="D36:G37"/>
    <mergeCell ref="H36:I37"/>
    <mergeCell ref="J36:K37"/>
    <mergeCell ref="F17:K17"/>
    <mergeCell ref="A18:E18"/>
    <mergeCell ref="F18:K18"/>
    <mergeCell ref="A19:E25"/>
    <mergeCell ref="F19:K25"/>
    <mergeCell ref="A27:K27"/>
    <mergeCell ref="C14:E14"/>
    <mergeCell ref="A15:E15"/>
    <mergeCell ref="A17:E17"/>
    <mergeCell ref="I9:I11"/>
    <mergeCell ref="J9:J11"/>
    <mergeCell ref="K9:K11"/>
    <mergeCell ref="C12:E12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2">
    <tabColor rgb="FF92D050"/>
  </sheetPr>
  <dimension ref="A1:T145"/>
  <sheetViews>
    <sheetView topLeftCell="A79" zoomScaleSheetLayoutView="100" workbookViewId="0">
      <selection activeCell="F85" sqref="F85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C.II.1.7.3. Đắp đất K95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3</v>
      </c>
      <c r="N6" s="245" t="str">
        <f>THKLQT!C153</f>
        <v>Đắp đất K95</v>
      </c>
      <c r="Q6" s="17"/>
    </row>
    <row r="7" spans="1:20" s="178" customFormat="1" ht="18.75" customHeight="1">
      <c r="A7" s="634">
        <f>I85</f>
        <v>3467.33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THKLQT!D154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62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customHeight="1" outlineLevel="2">
      <c r="A12" s="81">
        <f>SUBTOTAL(103,$B$12:B12)</f>
        <v>1</v>
      </c>
      <c r="B12" s="78">
        <f>Q12</f>
        <v>43461</v>
      </c>
      <c r="C12" s="571" t="str">
        <f>T12</f>
        <v>Đắp đất K95 km 101+778,79-km101+805,99 lớp 1</v>
      </c>
      <c r="D12" s="572"/>
      <c r="E12" s="573"/>
      <c r="F12" s="2">
        <v>18.262</v>
      </c>
      <c r="G12" s="1">
        <f>P12</f>
        <v>18.262</v>
      </c>
      <c r="H12" s="295">
        <f>P12</f>
        <v>18.262</v>
      </c>
      <c r="I12" s="107">
        <f>P12</f>
        <v>18.262</v>
      </c>
      <c r="J12" s="107">
        <f>P12</f>
        <v>18.262</v>
      </c>
      <c r="K12" s="603" t="s">
        <v>697</v>
      </c>
      <c r="N12" s="118"/>
      <c r="O12" s="266" t="s">
        <v>469</v>
      </c>
      <c r="P12" s="88">
        <v>18.262</v>
      </c>
      <c r="Q12" s="89">
        <v>43461</v>
      </c>
      <c r="R12" s="88"/>
      <c r="S12" s="88" t="e">
        <f t="shared" ref="S12:S43" si="0">VLOOKUP($S$11,hamchuigoi3,M12,0)</f>
        <v>#VALUE!</v>
      </c>
      <c r="T12" s="3" t="str">
        <f>$N$6&amp;" "&amp;O12</f>
        <v>Đắp đất K95 km 101+778,79-km101+805,99 lớp 1</v>
      </c>
    </row>
    <row r="13" spans="1:20" ht="14.25" outlineLevel="2">
      <c r="A13" s="81">
        <f>SUBTOTAL(103,$B$12:B13)</f>
        <v>2</v>
      </c>
      <c r="B13" s="78">
        <f t="shared" ref="B13:B15" si="1">Q13</f>
        <v>43459</v>
      </c>
      <c r="C13" s="571" t="str">
        <f t="shared" ref="C13:C15" si="2">T13</f>
        <v>Đắp đất K95 km 101+778,79-km101+805,99 lớp 2</v>
      </c>
      <c r="D13" s="572"/>
      <c r="E13" s="573"/>
      <c r="F13" s="2">
        <v>21.614000000000001</v>
      </c>
      <c r="G13" s="1">
        <f t="shared" ref="G13:G15" si="3">P13</f>
        <v>21.614000000000001</v>
      </c>
      <c r="H13" s="295">
        <f t="shared" ref="H13:H15" si="4">P13</f>
        <v>21.614000000000001</v>
      </c>
      <c r="I13" s="107">
        <f t="shared" ref="I13:I15" si="5">P13</f>
        <v>21.614000000000001</v>
      </c>
      <c r="J13" s="107">
        <f t="shared" ref="J13:J15" si="6">P13</f>
        <v>21.614000000000001</v>
      </c>
      <c r="K13" s="604"/>
      <c r="N13" s="118"/>
      <c r="O13" s="266" t="s">
        <v>470</v>
      </c>
      <c r="P13" s="88">
        <v>21.614000000000001</v>
      </c>
      <c r="Q13" s="89">
        <f>+Q12-2</f>
        <v>43459</v>
      </c>
      <c r="R13" s="88"/>
      <c r="S13" s="88" t="e">
        <f t="shared" si="0"/>
        <v>#VALUE!</v>
      </c>
      <c r="T13" s="3" t="str">
        <f t="shared" ref="T13:T15" si="7">$N$6&amp;" "&amp;O13</f>
        <v>Đắp đất K95 km 101+778,79-km101+805,99 lớp 2</v>
      </c>
    </row>
    <row r="14" spans="1:20" ht="14.25" outlineLevel="2">
      <c r="A14" s="81">
        <f>SUBTOTAL(103,$B$12:B14)</f>
        <v>3</v>
      </c>
      <c r="B14" s="78">
        <f t="shared" si="1"/>
        <v>43457</v>
      </c>
      <c r="C14" s="571" t="str">
        <f t="shared" si="2"/>
        <v>Đắp đất K95 km 101+778,79-km101+805,99 lớp 3</v>
      </c>
      <c r="D14" s="572"/>
      <c r="E14" s="573"/>
      <c r="F14" s="2">
        <v>25.067</v>
      </c>
      <c r="G14" s="1">
        <f t="shared" si="3"/>
        <v>25.067</v>
      </c>
      <c r="H14" s="295">
        <f t="shared" si="4"/>
        <v>25.067</v>
      </c>
      <c r="I14" s="107">
        <f t="shared" si="5"/>
        <v>25.067</v>
      </c>
      <c r="J14" s="107">
        <f t="shared" si="6"/>
        <v>25.067</v>
      </c>
      <c r="K14" s="604"/>
      <c r="N14" s="118"/>
      <c r="O14" s="266" t="s">
        <v>497</v>
      </c>
      <c r="P14" s="88">
        <v>25.067</v>
      </c>
      <c r="Q14" s="89">
        <f t="shared" ref="Q14:Q15" si="8">+Q13-2</f>
        <v>43457</v>
      </c>
      <c r="R14" s="88"/>
      <c r="S14" s="88" t="e">
        <f t="shared" si="0"/>
        <v>#VALUE!</v>
      </c>
      <c r="T14" s="3" t="str">
        <f t="shared" si="7"/>
        <v>Đắp đất K95 km 101+778,79-km101+805,99 lớp 3</v>
      </c>
    </row>
    <row r="15" spans="1:20" ht="14.25" outlineLevel="2">
      <c r="A15" s="81">
        <f>SUBTOTAL(103,$B$12:B15)</f>
        <v>4</v>
      </c>
      <c r="B15" s="78">
        <f t="shared" si="1"/>
        <v>43455</v>
      </c>
      <c r="C15" s="571" t="str">
        <f t="shared" si="2"/>
        <v>Đắp đất K95 km 101+778,79-km101+805,99 lớp 4</v>
      </c>
      <c r="D15" s="572"/>
      <c r="E15" s="573"/>
      <c r="F15" s="2">
        <v>50.918999999999997</v>
      </c>
      <c r="G15" s="1">
        <f t="shared" si="3"/>
        <v>50.918999999999997</v>
      </c>
      <c r="H15" s="295">
        <f t="shared" si="4"/>
        <v>50.918999999999997</v>
      </c>
      <c r="I15" s="107">
        <f t="shared" si="5"/>
        <v>50.918999999999997</v>
      </c>
      <c r="J15" s="107">
        <f t="shared" si="6"/>
        <v>50.918999999999997</v>
      </c>
      <c r="K15" s="604"/>
      <c r="N15" s="118"/>
      <c r="O15" s="266" t="s">
        <v>498</v>
      </c>
      <c r="P15" s="88">
        <v>50.918999999999997</v>
      </c>
      <c r="Q15" s="89">
        <f t="shared" si="8"/>
        <v>43455</v>
      </c>
      <c r="R15" s="88"/>
      <c r="S15" s="88" t="e">
        <f t="shared" si="0"/>
        <v>#VALUE!</v>
      </c>
      <c r="T15" s="3" t="str">
        <f t="shared" si="7"/>
        <v>Đắp đất K95 km 101+778,79-km101+805,99 lớp 4</v>
      </c>
    </row>
    <row r="16" spans="1:20" ht="14.25" outlineLevel="2">
      <c r="A16" s="81">
        <f>SUBTOTAL(103,$B$12:B16)</f>
        <v>5</v>
      </c>
      <c r="B16" s="78">
        <f t="shared" ref="B16:B47" si="9">Q16</f>
        <v>43453</v>
      </c>
      <c r="C16" s="571" t="str">
        <f t="shared" ref="C16:C47" si="10">T16</f>
        <v>Đắp đất K95 km 101+778,79-km101+805,99 lớp 5</v>
      </c>
      <c r="D16" s="572"/>
      <c r="E16" s="573"/>
      <c r="F16" s="2">
        <v>54.261000000000003</v>
      </c>
      <c r="G16" s="1">
        <f t="shared" ref="G16:G47" si="11">P16</f>
        <v>54.261000000000003</v>
      </c>
      <c r="H16" s="295">
        <f t="shared" ref="H16:H47" si="12">P16</f>
        <v>54.261000000000003</v>
      </c>
      <c r="I16" s="107">
        <f t="shared" ref="I16:I47" si="13">P16</f>
        <v>54.261000000000003</v>
      </c>
      <c r="J16" s="107">
        <f t="shared" ref="J16:J47" si="14">P16</f>
        <v>54.261000000000003</v>
      </c>
      <c r="K16" s="604"/>
      <c r="N16" s="118"/>
      <c r="O16" s="266" t="s">
        <v>499</v>
      </c>
      <c r="P16" s="88">
        <v>54.261000000000003</v>
      </c>
      <c r="Q16" s="89">
        <f t="shared" ref="Q16:Q47" si="15">+Q15-2</f>
        <v>43453</v>
      </c>
      <c r="R16" s="88"/>
      <c r="S16" s="88" t="e">
        <f t="shared" si="0"/>
        <v>#VALUE!</v>
      </c>
      <c r="T16" s="3" t="str">
        <f t="shared" ref="T16:T47" si="16">$N$6&amp;" "&amp;O16</f>
        <v>Đắp đất K95 km 101+778,79-km101+805,99 lớp 5</v>
      </c>
    </row>
    <row r="17" spans="1:20" ht="14.25" outlineLevel="2">
      <c r="A17" s="81">
        <f>SUBTOTAL(103,$B$12:B17)</f>
        <v>6</v>
      </c>
      <c r="B17" s="78">
        <f t="shared" si="9"/>
        <v>43451</v>
      </c>
      <c r="C17" s="571" t="str">
        <f t="shared" si="10"/>
        <v>Đắp đất K95 km 101+778,79-km101+805,99 lớp 6</v>
      </c>
      <c r="D17" s="572"/>
      <c r="E17" s="573"/>
      <c r="F17" s="2">
        <v>57.603000000000002</v>
      </c>
      <c r="G17" s="1">
        <f t="shared" si="11"/>
        <v>57.603000000000002</v>
      </c>
      <c r="H17" s="295">
        <f t="shared" si="12"/>
        <v>57.603000000000002</v>
      </c>
      <c r="I17" s="107">
        <f t="shared" si="13"/>
        <v>57.603000000000002</v>
      </c>
      <c r="J17" s="107">
        <f t="shared" si="14"/>
        <v>57.603000000000002</v>
      </c>
      <c r="K17" s="604"/>
      <c r="N17" s="118"/>
      <c r="O17" s="266" t="s">
        <v>500</v>
      </c>
      <c r="P17" s="88">
        <v>57.603000000000002</v>
      </c>
      <c r="Q17" s="89">
        <f t="shared" si="15"/>
        <v>43451</v>
      </c>
      <c r="R17" s="88"/>
      <c r="S17" s="88" t="e">
        <f t="shared" si="0"/>
        <v>#VALUE!</v>
      </c>
      <c r="T17" s="3" t="str">
        <f t="shared" si="16"/>
        <v>Đắp đất K95 km 101+778,79-km101+805,99 lớp 6</v>
      </c>
    </row>
    <row r="18" spans="1:20" ht="14.25" outlineLevel="2">
      <c r="A18" s="81">
        <f>SUBTOTAL(103,$B$12:B18)</f>
        <v>7</v>
      </c>
      <c r="B18" s="78">
        <f t="shared" si="9"/>
        <v>43449</v>
      </c>
      <c r="C18" s="571" t="str">
        <f t="shared" si="10"/>
        <v>Đắp đất K95 km 101+778,79-km101+805,99 lớp 7</v>
      </c>
      <c r="D18" s="572"/>
      <c r="E18" s="573"/>
      <c r="F18" s="2">
        <v>60.945</v>
      </c>
      <c r="G18" s="1">
        <f t="shared" si="11"/>
        <v>60.945</v>
      </c>
      <c r="H18" s="295">
        <f t="shared" si="12"/>
        <v>60.945</v>
      </c>
      <c r="I18" s="107">
        <f t="shared" si="13"/>
        <v>60.945</v>
      </c>
      <c r="J18" s="107">
        <f t="shared" si="14"/>
        <v>60.945</v>
      </c>
      <c r="K18" s="604"/>
      <c r="N18" s="118"/>
      <c r="O18" s="266" t="s">
        <v>501</v>
      </c>
      <c r="P18" s="88">
        <v>60.945</v>
      </c>
      <c r="Q18" s="89">
        <f t="shared" si="15"/>
        <v>43449</v>
      </c>
      <c r="R18" s="88"/>
      <c r="S18" s="88" t="e">
        <f t="shared" si="0"/>
        <v>#VALUE!</v>
      </c>
      <c r="T18" s="3" t="str">
        <f t="shared" si="16"/>
        <v>Đắp đất K95 km 101+778,79-km101+805,99 lớp 7</v>
      </c>
    </row>
    <row r="19" spans="1:20" ht="14.25" outlineLevel="2">
      <c r="A19" s="81">
        <f>SUBTOTAL(103,$B$12:B19)</f>
        <v>8</v>
      </c>
      <c r="B19" s="78">
        <f t="shared" si="9"/>
        <v>43447</v>
      </c>
      <c r="C19" s="571" t="str">
        <f t="shared" si="10"/>
        <v>Đắp đất K95 km 101+778,79-km101+805,99 lớp 8</v>
      </c>
      <c r="D19" s="572"/>
      <c r="E19" s="573"/>
      <c r="F19" s="2">
        <v>64.287000000000006</v>
      </c>
      <c r="G19" s="1">
        <f t="shared" si="11"/>
        <v>64.287000000000006</v>
      </c>
      <c r="H19" s="295">
        <f t="shared" si="12"/>
        <v>64.287000000000006</v>
      </c>
      <c r="I19" s="107">
        <f t="shared" si="13"/>
        <v>64.287000000000006</v>
      </c>
      <c r="J19" s="107">
        <f t="shared" si="14"/>
        <v>64.287000000000006</v>
      </c>
      <c r="K19" s="604"/>
      <c r="N19" s="118"/>
      <c r="O19" s="266" t="s">
        <v>502</v>
      </c>
      <c r="P19" s="88">
        <v>64.287000000000006</v>
      </c>
      <c r="Q19" s="89">
        <f t="shared" si="15"/>
        <v>43447</v>
      </c>
      <c r="R19" s="88"/>
      <c r="S19" s="88" t="e">
        <f t="shared" si="0"/>
        <v>#VALUE!</v>
      </c>
      <c r="T19" s="3" t="str">
        <f t="shared" si="16"/>
        <v>Đắp đất K95 km 101+778,79-km101+805,99 lớp 8</v>
      </c>
    </row>
    <row r="20" spans="1:20" ht="14.25" outlineLevel="2">
      <c r="A20" s="81">
        <f>SUBTOTAL(103,$B$12:B20)</f>
        <v>9</v>
      </c>
      <c r="B20" s="78">
        <f t="shared" si="9"/>
        <v>43445</v>
      </c>
      <c r="C20" s="571" t="str">
        <f t="shared" si="10"/>
        <v>Đắp đất K95 km 101+778,79-km101+805,99 lớp 9</v>
      </c>
      <c r="D20" s="572"/>
      <c r="E20" s="573"/>
      <c r="F20" s="2">
        <v>67.629000000000005</v>
      </c>
      <c r="G20" s="1">
        <f t="shared" si="11"/>
        <v>67.629000000000005</v>
      </c>
      <c r="H20" s="295">
        <f t="shared" si="12"/>
        <v>67.629000000000005</v>
      </c>
      <c r="I20" s="107">
        <f t="shared" si="13"/>
        <v>67.629000000000005</v>
      </c>
      <c r="J20" s="107">
        <f t="shared" si="14"/>
        <v>67.629000000000005</v>
      </c>
      <c r="K20" s="604"/>
      <c r="N20" s="118"/>
      <c r="O20" s="266" t="s">
        <v>503</v>
      </c>
      <c r="P20" s="88">
        <v>67.629000000000005</v>
      </c>
      <c r="Q20" s="89">
        <f t="shared" si="15"/>
        <v>43445</v>
      </c>
      <c r="R20" s="88"/>
      <c r="S20" s="88" t="e">
        <f t="shared" si="0"/>
        <v>#VALUE!</v>
      </c>
      <c r="T20" s="3" t="str">
        <f t="shared" si="16"/>
        <v>Đắp đất K95 km 101+778,79-km101+805,99 lớp 9</v>
      </c>
    </row>
    <row r="21" spans="1:20" ht="14.25" outlineLevel="2">
      <c r="A21" s="81">
        <f>SUBTOTAL(103,$B$12:B21)</f>
        <v>10</v>
      </c>
      <c r="B21" s="78">
        <f t="shared" si="9"/>
        <v>43443</v>
      </c>
      <c r="C21" s="571" t="str">
        <f t="shared" si="10"/>
        <v>Đắp đất K95 km 101+778,79-km101+805,99 lớp 10</v>
      </c>
      <c r="D21" s="572"/>
      <c r="E21" s="573"/>
      <c r="F21" s="2">
        <v>70.971000000000004</v>
      </c>
      <c r="G21" s="1">
        <f t="shared" si="11"/>
        <v>70.971000000000004</v>
      </c>
      <c r="H21" s="295">
        <f t="shared" si="12"/>
        <v>70.971000000000004</v>
      </c>
      <c r="I21" s="107">
        <f t="shared" si="13"/>
        <v>70.971000000000004</v>
      </c>
      <c r="J21" s="107">
        <f t="shared" si="14"/>
        <v>70.971000000000004</v>
      </c>
      <c r="K21" s="604"/>
      <c r="N21" s="118"/>
      <c r="O21" s="266" t="s">
        <v>504</v>
      </c>
      <c r="P21" s="88">
        <v>70.971000000000004</v>
      </c>
      <c r="Q21" s="89">
        <f t="shared" si="15"/>
        <v>43443</v>
      </c>
      <c r="R21" s="88"/>
      <c r="S21" s="88" t="e">
        <f t="shared" si="0"/>
        <v>#VALUE!</v>
      </c>
      <c r="T21" s="3" t="str">
        <f t="shared" si="16"/>
        <v>Đắp đất K95 km 101+778,79-km101+805,99 lớp 10</v>
      </c>
    </row>
    <row r="22" spans="1:20" ht="14.25" outlineLevel="2">
      <c r="A22" s="81">
        <f>SUBTOTAL(103,$B$12:B22)</f>
        <v>11</v>
      </c>
      <c r="B22" s="78">
        <f t="shared" si="9"/>
        <v>43441</v>
      </c>
      <c r="C22" s="571" t="str">
        <f t="shared" si="10"/>
        <v>Đắp đất K95 km 101+778,79-km101+805,99 lớp 11</v>
      </c>
      <c r="D22" s="572"/>
      <c r="E22" s="573"/>
      <c r="F22" s="2">
        <v>74.313000000000002</v>
      </c>
      <c r="G22" s="1">
        <f t="shared" si="11"/>
        <v>74.313000000000002</v>
      </c>
      <c r="H22" s="295">
        <f t="shared" si="12"/>
        <v>74.313000000000002</v>
      </c>
      <c r="I22" s="107">
        <f t="shared" si="13"/>
        <v>74.313000000000002</v>
      </c>
      <c r="J22" s="107">
        <f t="shared" si="14"/>
        <v>74.313000000000002</v>
      </c>
      <c r="K22" s="604"/>
      <c r="N22" s="118"/>
      <c r="O22" s="266" t="s">
        <v>505</v>
      </c>
      <c r="P22" s="88">
        <v>74.313000000000002</v>
      </c>
      <c r="Q22" s="89">
        <f t="shared" si="15"/>
        <v>43441</v>
      </c>
      <c r="R22" s="88"/>
      <c r="S22" s="88" t="e">
        <f t="shared" si="0"/>
        <v>#VALUE!</v>
      </c>
      <c r="T22" s="3" t="str">
        <f t="shared" si="16"/>
        <v>Đắp đất K95 km 101+778,79-km101+805,99 lớp 11</v>
      </c>
    </row>
    <row r="23" spans="1:20" ht="14.25" outlineLevel="2">
      <c r="A23" s="81">
        <f>SUBTOTAL(103,$B$12:B23)</f>
        <v>12</v>
      </c>
      <c r="B23" s="78">
        <f t="shared" si="9"/>
        <v>43439</v>
      </c>
      <c r="C23" s="571" t="str">
        <f t="shared" si="10"/>
        <v>Đắp đất K95 km 101+778,79-km101+805,99 lớp 12</v>
      </c>
      <c r="D23" s="572"/>
      <c r="E23" s="573"/>
      <c r="F23" s="2">
        <v>77.655000000000001</v>
      </c>
      <c r="G23" s="1">
        <f t="shared" si="11"/>
        <v>77.655000000000001</v>
      </c>
      <c r="H23" s="295">
        <f t="shared" si="12"/>
        <v>77.655000000000001</v>
      </c>
      <c r="I23" s="107">
        <f t="shared" si="13"/>
        <v>77.655000000000001</v>
      </c>
      <c r="J23" s="107">
        <f t="shared" si="14"/>
        <v>77.655000000000001</v>
      </c>
      <c r="K23" s="604"/>
      <c r="N23" s="118"/>
      <c r="O23" s="266" t="s">
        <v>506</v>
      </c>
      <c r="P23" s="88">
        <v>77.655000000000001</v>
      </c>
      <c r="Q23" s="89">
        <f t="shared" si="15"/>
        <v>43439</v>
      </c>
      <c r="R23" s="88"/>
      <c r="S23" s="88" t="e">
        <f t="shared" si="0"/>
        <v>#VALUE!</v>
      </c>
      <c r="T23" s="3" t="str">
        <f t="shared" si="16"/>
        <v>Đắp đất K95 km 101+778,79-km101+805,99 lớp 12</v>
      </c>
    </row>
    <row r="24" spans="1:20" ht="14.25" outlineLevel="2">
      <c r="A24" s="81">
        <f>SUBTOTAL(103,$B$12:B24)</f>
        <v>13</v>
      </c>
      <c r="B24" s="78">
        <f t="shared" si="9"/>
        <v>43437</v>
      </c>
      <c r="C24" s="571" t="str">
        <f t="shared" si="10"/>
        <v>Đắp đất K95 km 101+778,79-km101+805,99 lớp 13</v>
      </c>
      <c r="D24" s="572"/>
      <c r="E24" s="573"/>
      <c r="F24" s="2">
        <v>80.997</v>
      </c>
      <c r="G24" s="1">
        <f t="shared" si="11"/>
        <v>80.997</v>
      </c>
      <c r="H24" s="295">
        <f t="shared" si="12"/>
        <v>80.997</v>
      </c>
      <c r="I24" s="107">
        <f t="shared" si="13"/>
        <v>80.997</v>
      </c>
      <c r="J24" s="107">
        <f t="shared" si="14"/>
        <v>80.997</v>
      </c>
      <c r="K24" s="604"/>
      <c r="N24" s="118"/>
      <c r="O24" s="266" t="s">
        <v>507</v>
      </c>
      <c r="P24" s="88">
        <v>80.997</v>
      </c>
      <c r="Q24" s="89">
        <f t="shared" si="15"/>
        <v>43437</v>
      </c>
      <c r="R24" s="88"/>
      <c r="S24" s="88" t="e">
        <f t="shared" si="0"/>
        <v>#VALUE!</v>
      </c>
      <c r="T24" s="3" t="str">
        <f t="shared" si="16"/>
        <v>Đắp đất K95 km 101+778,79-km101+805,99 lớp 13</v>
      </c>
    </row>
    <row r="25" spans="1:20" ht="14.25" outlineLevel="2">
      <c r="A25" s="81">
        <f>SUBTOTAL(103,$B$12:B25)</f>
        <v>14</v>
      </c>
      <c r="B25" s="78">
        <f t="shared" si="9"/>
        <v>43435</v>
      </c>
      <c r="C25" s="571" t="str">
        <f t="shared" si="10"/>
        <v>Đắp đất K95 km 101+778,79-km101+805,99 lớp 14</v>
      </c>
      <c r="D25" s="572"/>
      <c r="E25" s="573"/>
      <c r="F25" s="2">
        <v>84.338999999999999</v>
      </c>
      <c r="G25" s="1">
        <f t="shared" si="11"/>
        <v>84.338999999999999</v>
      </c>
      <c r="H25" s="295">
        <f t="shared" si="12"/>
        <v>84.338999999999999</v>
      </c>
      <c r="I25" s="107">
        <f t="shared" si="13"/>
        <v>84.338999999999999</v>
      </c>
      <c r="J25" s="107">
        <f t="shared" si="14"/>
        <v>84.338999999999999</v>
      </c>
      <c r="K25" s="604"/>
      <c r="N25" s="118"/>
      <c r="O25" s="266" t="s">
        <v>508</v>
      </c>
      <c r="P25" s="88">
        <v>84.338999999999999</v>
      </c>
      <c r="Q25" s="89">
        <f t="shared" si="15"/>
        <v>43435</v>
      </c>
      <c r="R25" s="88"/>
      <c r="S25" s="88" t="e">
        <f t="shared" si="0"/>
        <v>#VALUE!</v>
      </c>
      <c r="T25" s="3" t="str">
        <f t="shared" si="16"/>
        <v>Đắp đất K95 km 101+778,79-km101+805,99 lớp 14</v>
      </c>
    </row>
    <row r="26" spans="1:20" ht="14.25" outlineLevel="2">
      <c r="A26" s="81">
        <f>SUBTOTAL(103,$B$12:B26)</f>
        <v>15</v>
      </c>
      <c r="B26" s="78">
        <f t="shared" si="9"/>
        <v>43433</v>
      </c>
      <c r="C26" s="571" t="str">
        <f t="shared" si="10"/>
        <v>Đắp đất K95 km 101+778,79-km101+805,99 lớp 15</v>
      </c>
      <c r="D26" s="572"/>
      <c r="E26" s="573"/>
      <c r="F26" s="2">
        <v>87.680999999999997</v>
      </c>
      <c r="G26" s="1">
        <f t="shared" si="11"/>
        <v>87.680999999999997</v>
      </c>
      <c r="H26" s="295">
        <f t="shared" si="12"/>
        <v>87.680999999999997</v>
      </c>
      <c r="I26" s="107">
        <f t="shared" si="13"/>
        <v>87.680999999999997</v>
      </c>
      <c r="J26" s="107">
        <f t="shared" si="14"/>
        <v>87.680999999999997</v>
      </c>
      <c r="K26" s="604"/>
      <c r="N26" s="118"/>
      <c r="O26" s="266" t="s">
        <v>509</v>
      </c>
      <c r="P26" s="88">
        <v>87.680999999999997</v>
      </c>
      <c r="Q26" s="89">
        <f t="shared" si="15"/>
        <v>43433</v>
      </c>
      <c r="R26" s="88"/>
      <c r="S26" s="88" t="e">
        <f t="shared" si="0"/>
        <v>#VALUE!</v>
      </c>
      <c r="T26" s="3" t="str">
        <f t="shared" si="16"/>
        <v>Đắp đất K95 km 101+778,79-km101+805,99 lớp 15</v>
      </c>
    </row>
    <row r="27" spans="1:20" ht="14.25" outlineLevel="2">
      <c r="A27" s="81">
        <f>SUBTOTAL(103,$B$12:B27)</f>
        <v>16</v>
      </c>
      <c r="B27" s="78">
        <f t="shared" si="9"/>
        <v>43431</v>
      </c>
      <c r="C27" s="571" t="str">
        <f t="shared" si="10"/>
        <v>Đắp đất K95 km 101+778,79-km101+805,99 lớp 16</v>
      </c>
      <c r="D27" s="572"/>
      <c r="E27" s="573"/>
      <c r="F27" s="2">
        <v>91.022000000000006</v>
      </c>
      <c r="G27" s="1">
        <f t="shared" si="11"/>
        <v>91.022000000000006</v>
      </c>
      <c r="H27" s="295">
        <f t="shared" si="12"/>
        <v>91.022000000000006</v>
      </c>
      <c r="I27" s="107">
        <f t="shared" si="13"/>
        <v>91.022000000000006</v>
      </c>
      <c r="J27" s="107">
        <f t="shared" si="14"/>
        <v>91.022000000000006</v>
      </c>
      <c r="K27" s="604"/>
      <c r="N27" s="118"/>
      <c r="O27" s="266" t="s">
        <v>510</v>
      </c>
      <c r="P27" s="88">
        <v>91.022000000000006</v>
      </c>
      <c r="Q27" s="89">
        <f t="shared" si="15"/>
        <v>43431</v>
      </c>
      <c r="R27" s="88"/>
      <c r="S27" s="88" t="e">
        <f t="shared" si="0"/>
        <v>#VALUE!</v>
      </c>
      <c r="T27" s="3" t="str">
        <f t="shared" si="16"/>
        <v>Đắp đất K95 km 101+778,79-km101+805,99 lớp 16</v>
      </c>
    </row>
    <row r="28" spans="1:20" ht="14.25" outlineLevel="2">
      <c r="A28" s="81">
        <f>SUBTOTAL(103,$B$12:B28)</f>
        <v>17</v>
      </c>
      <c r="B28" s="78">
        <f t="shared" si="9"/>
        <v>43429</v>
      </c>
      <c r="C28" s="571" t="str">
        <f t="shared" si="10"/>
        <v>Đắp đất K95 km 101+778,79-km101+805,99 lớp 17</v>
      </c>
      <c r="D28" s="572"/>
      <c r="E28" s="573"/>
      <c r="F28" s="2">
        <v>94.21</v>
      </c>
      <c r="G28" s="1">
        <f t="shared" si="11"/>
        <v>94.21</v>
      </c>
      <c r="H28" s="295">
        <f t="shared" si="12"/>
        <v>94.21</v>
      </c>
      <c r="I28" s="107">
        <f t="shared" si="13"/>
        <v>94.21</v>
      </c>
      <c r="J28" s="107">
        <f t="shared" si="14"/>
        <v>94.21</v>
      </c>
      <c r="K28" s="604"/>
      <c r="N28" s="118"/>
      <c r="O28" s="266" t="s">
        <v>511</v>
      </c>
      <c r="P28" s="88">
        <v>94.21</v>
      </c>
      <c r="Q28" s="89">
        <f t="shared" si="15"/>
        <v>43429</v>
      </c>
      <c r="R28" s="88"/>
      <c r="S28" s="88" t="e">
        <f t="shared" si="0"/>
        <v>#VALUE!</v>
      </c>
      <c r="T28" s="3" t="str">
        <f t="shared" si="16"/>
        <v>Đắp đất K95 km 101+778,79-km101+805,99 lớp 17</v>
      </c>
    </row>
    <row r="29" spans="1:20" ht="14.25" outlineLevel="2">
      <c r="A29" s="81">
        <f>SUBTOTAL(103,$B$12:B29)</f>
        <v>18</v>
      </c>
      <c r="B29" s="78">
        <f t="shared" si="9"/>
        <v>43427</v>
      </c>
      <c r="C29" s="571" t="str">
        <f t="shared" si="10"/>
        <v>Đắp đất K95 km 101+778,79-km101+805,99 lớp 18</v>
      </c>
      <c r="D29" s="572"/>
      <c r="E29" s="573"/>
      <c r="F29" s="2">
        <v>97.147999999999996</v>
      </c>
      <c r="G29" s="1">
        <f t="shared" si="11"/>
        <v>97.147999999999996</v>
      </c>
      <c r="H29" s="295">
        <f t="shared" si="12"/>
        <v>97.147999999999996</v>
      </c>
      <c r="I29" s="107">
        <f t="shared" si="13"/>
        <v>97.147999999999996</v>
      </c>
      <c r="J29" s="107">
        <f t="shared" si="14"/>
        <v>97.147999999999996</v>
      </c>
      <c r="K29" s="604"/>
      <c r="N29" s="118"/>
      <c r="O29" s="266" t="s">
        <v>512</v>
      </c>
      <c r="P29" s="88">
        <v>97.147999999999996</v>
      </c>
      <c r="Q29" s="89">
        <f t="shared" si="15"/>
        <v>43427</v>
      </c>
      <c r="R29" s="88"/>
      <c r="S29" s="88" t="e">
        <f t="shared" si="0"/>
        <v>#VALUE!</v>
      </c>
      <c r="T29" s="3" t="str">
        <f t="shared" si="16"/>
        <v>Đắp đất K95 km 101+778,79-km101+805,99 lớp 18</v>
      </c>
    </row>
    <row r="30" spans="1:20" ht="14.25" outlineLevel="2">
      <c r="A30" s="81">
        <f>SUBTOTAL(103,$B$12:B30)</f>
        <v>19</v>
      </c>
      <c r="B30" s="78">
        <f t="shared" si="9"/>
        <v>43425</v>
      </c>
      <c r="C30" s="571" t="str">
        <f t="shared" si="10"/>
        <v>Đắp đất K95 km 101+778,79-km101+805,99 lớp 19</v>
      </c>
      <c r="D30" s="572"/>
      <c r="E30" s="573"/>
      <c r="F30" s="2">
        <v>99.754999999999995</v>
      </c>
      <c r="G30" s="1">
        <f t="shared" si="11"/>
        <v>99.754999999999995</v>
      </c>
      <c r="H30" s="295">
        <f t="shared" si="12"/>
        <v>99.754999999999995</v>
      </c>
      <c r="I30" s="107">
        <f t="shared" si="13"/>
        <v>99.754999999999995</v>
      </c>
      <c r="J30" s="107">
        <f t="shared" si="14"/>
        <v>99.754999999999995</v>
      </c>
      <c r="K30" s="604"/>
      <c r="N30" s="118"/>
      <c r="O30" s="266" t="s">
        <v>513</v>
      </c>
      <c r="P30" s="88">
        <v>99.754999999999995</v>
      </c>
      <c r="Q30" s="89">
        <f t="shared" si="15"/>
        <v>43425</v>
      </c>
      <c r="R30" s="88"/>
      <c r="S30" s="88" t="e">
        <f t="shared" si="0"/>
        <v>#VALUE!</v>
      </c>
      <c r="T30" s="3" t="str">
        <f t="shared" si="16"/>
        <v>Đắp đất K95 km 101+778,79-km101+805,99 lớp 19</v>
      </c>
    </row>
    <row r="31" spans="1:20" ht="14.25" outlineLevel="2">
      <c r="A31" s="81">
        <f>SUBTOTAL(103,$B$12:B31)</f>
        <v>20</v>
      </c>
      <c r="B31" s="78">
        <f t="shared" si="9"/>
        <v>43423</v>
      </c>
      <c r="C31" s="571" t="str">
        <f t="shared" si="10"/>
        <v>Đắp đất K95 km 101+778,79-km101+805,99 lớp 20</v>
      </c>
      <c r="D31" s="572"/>
      <c r="E31" s="573"/>
      <c r="F31" s="2">
        <v>102.233</v>
      </c>
      <c r="G31" s="1">
        <f t="shared" si="11"/>
        <v>102.233</v>
      </c>
      <c r="H31" s="295">
        <f t="shared" si="12"/>
        <v>102.233</v>
      </c>
      <c r="I31" s="107">
        <f t="shared" si="13"/>
        <v>102.233</v>
      </c>
      <c r="J31" s="107">
        <f t="shared" si="14"/>
        <v>102.233</v>
      </c>
      <c r="K31" s="604"/>
      <c r="N31" s="118"/>
      <c r="O31" s="266" t="s">
        <v>514</v>
      </c>
      <c r="P31" s="88">
        <v>102.233</v>
      </c>
      <c r="Q31" s="89">
        <f t="shared" si="15"/>
        <v>43423</v>
      </c>
      <c r="R31" s="88"/>
      <c r="S31" s="88" t="e">
        <f t="shared" si="0"/>
        <v>#VALUE!</v>
      </c>
      <c r="T31" s="3" t="str">
        <f t="shared" si="16"/>
        <v>Đắp đất K95 km 101+778,79-km101+805,99 lớp 20</v>
      </c>
    </row>
    <row r="32" spans="1:20" ht="14.25" outlineLevel="2">
      <c r="A32" s="81">
        <f>SUBTOTAL(103,$B$12:B32)</f>
        <v>21</v>
      </c>
      <c r="B32" s="78">
        <f t="shared" si="9"/>
        <v>43420</v>
      </c>
      <c r="C32" s="571" t="str">
        <f t="shared" si="10"/>
        <v>Đắp đất K95 km 101+778,79-km101+805,99 lớp 21</v>
      </c>
      <c r="D32" s="572"/>
      <c r="E32" s="573"/>
      <c r="F32" s="2">
        <v>104.774</v>
      </c>
      <c r="G32" s="1">
        <f t="shared" si="11"/>
        <v>104.774</v>
      </c>
      <c r="H32" s="295">
        <f t="shared" si="12"/>
        <v>104.774</v>
      </c>
      <c r="I32" s="107">
        <f t="shared" si="13"/>
        <v>104.774</v>
      </c>
      <c r="J32" s="107">
        <f t="shared" si="14"/>
        <v>104.774</v>
      </c>
      <c r="K32" s="604"/>
      <c r="N32" s="118"/>
      <c r="O32" s="266" t="s">
        <v>515</v>
      </c>
      <c r="P32" s="88">
        <v>104.774</v>
      </c>
      <c r="Q32" s="89">
        <f>+Q31-3</f>
        <v>43420</v>
      </c>
      <c r="R32" s="88"/>
      <c r="S32" s="88" t="e">
        <f t="shared" si="0"/>
        <v>#VALUE!</v>
      </c>
      <c r="T32" s="3" t="str">
        <f t="shared" si="16"/>
        <v>Đắp đất K95 km 101+778,79-km101+805,99 lớp 21</v>
      </c>
    </row>
    <row r="33" spans="1:20" ht="14.25" outlineLevel="2">
      <c r="A33" s="81">
        <f>SUBTOTAL(103,$B$12:B33)</f>
        <v>22</v>
      </c>
      <c r="B33" s="78">
        <f t="shared" si="9"/>
        <v>43418</v>
      </c>
      <c r="C33" s="571" t="str">
        <f t="shared" si="10"/>
        <v>Đắp đất K95 km 101+778,79-km101+805,99 lớp 22</v>
      </c>
      <c r="D33" s="572"/>
      <c r="E33" s="573"/>
      <c r="F33" s="2">
        <v>128.38300000000001</v>
      </c>
      <c r="G33" s="1">
        <f t="shared" si="11"/>
        <v>128.38300000000001</v>
      </c>
      <c r="H33" s="295">
        <f t="shared" si="12"/>
        <v>128.38300000000001</v>
      </c>
      <c r="I33" s="107">
        <f t="shared" si="13"/>
        <v>128.38300000000001</v>
      </c>
      <c r="J33" s="107">
        <f t="shared" si="14"/>
        <v>128.38300000000001</v>
      </c>
      <c r="K33" s="604"/>
      <c r="N33" s="118"/>
      <c r="O33" s="266" t="s">
        <v>516</v>
      </c>
      <c r="P33" s="88">
        <v>128.38300000000001</v>
      </c>
      <c r="Q33" s="89">
        <f t="shared" si="15"/>
        <v>43418</v>
      </c>
      <c r="R33" s="88"/>
      <c r="S33" s="88" t="e">
        <f t="shared" si="0"/>
        <v>#VALUE!</v>
      </c>
      <c r="T33" s="3" t="str">
        <f t="shared" si="16"/>
        <v>Đắp đất K95 km 101+778,79-km101+805,99 lớp 22</v>
      </c>
    </row>
    <row r="34" spans="1:20" ht="14.25" outlineLevel="2">
      <c r="A34" s="81">
        <f>SUBTOTAL(103,$B$12:B34)</f>
        <v>23</v>
      </c>
      <c r="B34" s="78">
        <f t="shared" si="9"/>
        <v>43414</v>
      </c>
      <c r="C34" s="571" t="str">
        <f t="shared" si="10"/>
        <v>Đắp đất K95 km 101+778,79-km101+805,99 lớp 23</v>
      </c>
      <c r="D34" s="572"/>
      <c r="E34" s="573"/>
      <c r="F34" s="2">
        <v>134.40600000000001</v>
      </c>
      <c r="G34" s="1">
        <f t="shared" si="11"/>
        <v>134.40600000000001</v>
      </c>
      <c r="H34" s="295">
        <f t="shared" si="12"/>
        <v>134.40600000000001</v>
      </c>
      <c r="I34" s="107">
        <f t="shared" si="13"/>
        <v>134.40600000000001</v>
      </c>
      <c r="J34" s="107">
        <f t="shared" si="14"/>
        <v>134.40600000000001</v>
      </c>
      <c r="K34" s="604"/>
      <c r="N34" s="118"/>
      <c r="O34" s="266" t="s">
        <v>517</v>
      </c>
      <c r="P34" s="88">
        <v>134.40600000000001</v>
      </c>
      <c r="Q34" s="89">
        <f>+Q33-4</f>
        <v>43414</v>
      </c>
      <c r="R34" s="88"/>
      <c r="S34" s="88" t="e">
        <f t="shared" si="0"/>
        <v>#VALUE!</v>
      </c>
      <c r="T34" s="3" t="str">
        <f t="shared" si="16"/>
        <v>Đắp đất K95 km 101+778,79-km101+805,99 lớp 23</v>
      </c>
    </row>
    <row r="35" spans="1:20" ht="14.25" outlineLevel="2">
      <c r="A35" s="81">
        <f>SUBTOTAL(103,$B$12:B35)</f>
        <v>24</v>
      </c>
      <c r="B35" s="78">
        <f t="shared" si="9"/>
        <v>43412</v>
      </c>
      <c r="C35" s="571" t="str">
        <f t="shared" si="10"/>
        <v>Đắp đất K95 km 101+778,79-km101+805,99 lớp 24</v>
      </c>
      <c r="D35" s="572"/>
      <c r="E35" s="573"/>
      <c r="F35" s="2">
        <v>137.50200000000001</v>
      </c>
      <c r="G35" s="1">
        <f t="shared" si="11"/>
        <v>137.50200000000001</v>
      </c>
      <c r="H35" s="295">
        <f t="shared" si="12"/>
        <v>137.50200000000001</v>
      </c>
      <c r="I35" s="107">
        <f t="shared" si="13"/>
        <v>137.50200000000001</v>
      </c>
      <c r="J35" s="107">
        <f t="shared" si="14"/>
        <v>137.50200000000001</v>
      </c>
      <c r="K35" s="604"/>
      <c r="N35" s="118"/>
      <c r="O35" s="266" t="s">
        <v>518</v>
      </c>
      <c r="P35" s="88">
        <v>137.50200000000001</v>
      </c>
      <c r="Q35" s="89">
        <f t="shared" si="15"/>
        <v>43412</v>
      </c>
      <c r="R35" s="88"/>
      <c r="S35" s="88" t="e">
        <f t="shared" si="0"/>
        <v>#VALUE!</v>
      </c>
      <c r="T35" s="3" t="str">
        <f t="shared" si="16"/>
        <v>Đắp đất K95 km 101+778,79-km101+805,99 lớp 24</v>
      </c>
    </row>
    <row r="36" spans="1:20" ht="14.25" outlineLevel="2">
      <c r="A36" s="81">
        <f>SUBTOTAL(103,$B$12:B36)</f>
        <v>25</v>
      </c>
      <c r="B36" s="78">
        <f t="shared" si="9"/>
        <v>43410</v>
      </c>
      <c r="C36" s="571" t="str">
        <f t="shared" si="10"/>
        <v>Đắp đất K95 km 101+778,79-km101+805,99 lớp 25</v>
      </c>
      <c r="D36" s="572"/>
      <c r="E36" s="573"/>
      <c r="F36" s="2">
        <v>139.59700000000001</v>
      </c>
      <c r="G36" s="1">
        <f t="shared" si="11"/>
        <v>139.59700000000001</v>
      </c>
      <c r="H36" s="295">
        <f t="shared" si="12"/>
        <v>139.59700000000001</v>
      </c>
      <c r="I36" s="107">
        <f t="shared" si="13"/>
        <v>139.59700000000001</v>
      </c>
      <c r="J36" s="107">
        <f t="shared" si="14"/>
        <v>139.59700000000001</v>
      </c>
      <c r="K36" s="604"/>
      <c r="N36" s="118"/>
      <c r="O36" s="266" t="s">
        <v>519</v>
      </c>
      <c r="P36" s="88">
        <v>139.59700000000001</v>
      </c>
      <c r="Q36" s="89">
        <f t="shared" si="15"/>
        <v>43410</v>
      </c>
      <c r="R36" s="88"/>
      <c r="S36" s="88" t="e">
        <f t="shared" si="0"/>
        <v>#VALUE!</v>
      </c>
      <c r="T36" s="3" t="str">
        <f t="shared" si="16"/>
        <v>Đắp đất K95 km 101+778,79-km101+805,99 lớp 25</v>
      </c>
    </row>
    <row r="37" spans="1:20" ht="14.25" outlineLevel="2">
      <c r="A37" s="81">
        <f>SUBTOTAL(103,$B$12:B37)</f>
        <v>26</v>
      </c>
      <c r="B37" s="78">
        <f t="shared" si="9"/>
        <v>43408</v>
      </c>
      <c r="C37" s="571" t="str">
        <f t="shared" si="10"/>
        <v>Đắp đất K95 km 101+778,79-km101+805,99 lớp 26</v>
      </c>
      <c r="D37" s="572"/>
      <c r="E37" s="573"/>
      <c r="F37" s="2">
        <v>149.73400000000001</v>
      </c>
      <c r="G37" s="1">
        <f t="shared" si="11"/>
        <v>149.73400000000001</v>
      </c>
      <c r="H37" s="295">
        <f t="shared" si="12"/>
        <v>149.73400000000001</v>
      </c>
      <c r="I37" s="107">
        <f t="shared" si="13"/>
        <v>149.73400000000001</v>
      </c>
      <c r="J37" s="107">
        <f t="shared" si="14"/>
        <v>149.73400000000001</v>
      </c>
      <c r="K37" s="604"/>
      <c r="N37" s="118"/>
      <c r="O37" s="266" t="s">
        <v>520</v>
      </c>
      <c r="P37" s="88">
        <v>149.73400000000001</v>
      </c>
      <c r="Q37" s="89">
        <f t="shared" si="15"/>
        <v>43408</v>
      </c>
      <c r="R37" s="88"/>
      <c r="S37" s="88" t="e">
        <f t="shared" si="0"/>
        <v>#VALUE!</v>
      </c>
      <c r="T37" s="3" t="str">
        <f t="shared" si="16"/>
        <v>Đắp đất K95 km 101+778,79-km101+805,99 lớp 26</v>
      </c>
    </row>
    <row r="38" spans="1:20" ht="14.25" outlineLevel="2">
      <c r="A38" s="81">
        <f>SUBTOTAL(103,$B$12:B38)</f>
        <v>27</v>
      </c>
      <c r="B38" s="78">
        <f t="shared" si="9"/>
        <v>43406</v>
      </c>
      <c r="C38" s="571" t="str">
        <f t="shared" si="10"/>
        <v>Đắp đất K95 km 101+778,79-km101+805,99 lớp 27</v>
      </c>
      <c r="D38" s="572"/>
      <c r="E38" s="573"/>
      <c r="F38" s="2">
        <v>146.786</v>
      </c>
      <c r="G38" s="1">
        <f t="shared" si="11"/>
        <v>146.786</v>
      </c>
      <c r="H38" s="295">
        <f t="shared" si="12"/>
        <v>146.786</v>
      </c>
      <c r="I38" s="107">
        <f t="shared" si="13"/>
        <v>146.786</v>
      </c>
      <c r="J38" s="107">
        <f t="shared" si="14"/>
        <v>146.786</v>
      </c>
      <c r="K38" s="604"/>
      <c r="N38" s="118"/>
      <c r="O38" s="266" t="s">
        <v>521</v>
      </c>
      <c r="P38" s="88">
        <v>146.786</v>
      </c>
      <c r="Q38" s="89">
        <f t="shared" si="15"/>
        <v>43406</v>
      </c>
      <c r="R38" s="88"/>
      <c r="S38" s="88" t="e">
        <f t="shared" si="0"/>
        <v>#VALUE!</v>
      </c>
      <c r="T38" s="3" t="str">
        <f t="shared" si="16"/>
        <v>Đắp đất K95 km 101+778,79-km101+805,99 lớp 27</v>
      </c>
    </row>
    <row r="39" spans="1:20" ht="14.25" outlineLevel="2">
      <c r="A39" s="81">
        <f>SUBTOTAL(103,$B$12:B39)</f>
        <v>28</v>
      </c>
      <c r="B39" s="78">
        <f t="shared" si="9"/>
        <v>43403</v>
      </c>
      <c r="C39" s="571" t="str">
        <f t="shared" si="10"/>
        <v>Đắp đất K95 km 101+778,79-km101+805,99 lớp 28</v>
      </c>
      <c r="D39" s="572"/>
      <c r="E39" s="573"/>
      <c r="F39" s="2">
        <v>150.63499999999999</v>
      </c>
      <c r="G39" s="1">
        <f t="shared" si="11"/>
        <v>150.63499999999999</v>
      </c>
      <c r="H39" s="295">
        <f t="shared" si="12"/>
        <v>150.63499999999999</v>
      </c>
      <c r="I39" s="107">
        <f t="shared" si="13"/>
        <v>150.63499999999999</v>
      </c>
      <c r="J39" s="107">
        <f t="shared" si="14"/>
        <v>150.63499999999999</v>
      </c>
      <c r="K39" s="604"/>
      <c r="N39" s="118"/>
      <c r="O39" s="266" t="s">
        <v>522</v>
      </c>
      <c r="P39" s="88">
        <v>150.63499999999999</v>
      </c>
      <c r="Q39" s="89">
        <f>+Q38-2-1</f>
        <v>43403</v>
      </c>
      <c r="R39" s="88"/>
      <c r="S39" s="88" t="e">
        <f t="shared" si="0"/>
        <v>#VALUE!</v>
      </c>
      <c r="T39" s="3" t="str">
        <f t="shared" si="16"/>
        <v>Đắp đất K95 km 101+778,79-km101+805,99 lớp 28</v>
      </c>
    </row>
    <row r="40" spans="1:20" ht="14.25" outlineLevel="2">
      <c r="A40" s="81">
        <f>SUBTOTAL(103,$B$12:B40)</f>
        <v>29</v>
      </c>
      <c r="B40" s="78">
        <f t="shared" si="9"/>
        <v>43401</v>
      </c>
      <c r="C40" s="571" t="str">
        <f t="shared" si="10"/>
        <v>Đắp đất K95 km 101+778,79-km101+805,99 lớp 29</v>
      </c>
      <c r="D40" s="572"/>
      <c r="E40" s="573"/>
      <c r="F40" s="2">
        <v>148.48699999999999</v>
      </c>
      <c r="G40" s="1">
        <f t="shared" si="11"/>
        <v>148.48699999999999</v>
      </c>
      <c r="H40" s="295">
        <f t="shared" si="12"/>
        <v>148.48699999999999</v>
      </c>
      <c r="I40" s="107">
        <f t="shared" si="13"/>
        <v>148.48699999999999</v>
      </c>
      <c r="J40" s="107">
        <f t="shared" si="14"/>
        <v>148.48699999999999</v>
      </c>
      <c r="K40" s="604"/>
      <c r="N40" s="118"/>
      <c r="O40" s="266" t="s">
        <v>523</v>
      </c>
      <c r="P40" s="88">
        <v>148.48699999999999</v>
      </c>
      <c r="Q40" s="89">
        <f t="shared" si="15"/>
        <v>43401</v>
      </c>
      <c r="R40" s="88"/>
      <c r="S40" s="88" t="e">
        <f t="shared" si="0"/>
        <v>#VALUE!</v>
      </c>
      <c r="T40" s="3" t="str">
        <f t="shared" si="16"/>
        <v>Đắp đất K95 km 101+778,79-km101+805,99 lớp 29</v>
      </c>
    </row>
    <row r="41" spans="1:20" ht="14.25" outlineLevel="2">
      <c r="A41" s="81">
        <f>SUBTOTAL(103,$B$12:B41)</f>
        <v>30</v>
      </c>
      <c r="B41" s="78">
        <f t="shared" si="9"/>
        <v>43399</v>
      </c>
      <c r="C41" s="571" t="str">
        <f t="shared" si="10"/>
        <v>Đắp đất K95 km 101+778,79-km101+805,99 lớp 30</v>
      </c>
      <c r="D41" s="572"/>
      <c r="E41" s="573"/>
      <c r="F41" s="2">
        <v>146.244</v>
      </c>
      <c r="G41" s="1">
        <f t="shared" si="11"/>
        <v>146.244</v>
      </c>
      <c r="H41" s="295">
        <f t="shared" si="12"/>
        <v>146.244</v>
      </c>
      <c r="I41" s="107">
        <f t="shared" si="13"/>
        <v>146.244</v>
      </c>
      <c r="J41" s="107">
        <f t="shared" si="14"/>
        <v>146.244</v>
      </c>
      <c r="K41" s="604"/>
      <c r="N41" s="118"/>
      <c r="O41" s="266" t="s">
        <v>524</v>
      </c>
      <c r="P41" s="88">
        <v>146.244</v>
      </c>
      <c r="Q41" s="89">
        <f t="shared" si="15"/>
        <v>43399</v>
      </c>
      <c r="R41" s="88"/>
      <c r="S41" s="88" t="e">
        <f t="shared" si="0"/>
        <v>#VALUE!</v>
      </c>
      <c r="T41" s="3" t="str">
        <f t="shared" si="16"/>
        <v>Đắp đất K95 km 101+778,79-km101+805,99 lớp 30</v>
      </c>
    </row>
    <row r="42" spans="1:20" ht="14.25" outlineLevel="2">
      <c r="A42" s="81">
        <f>SUBTOTAL(103,$B$12:B42)</f>
        <v>31</v>
      </c>
      <c r="B42" s="78">
        <f t="shared" si="9"/>
        <v>43397</v>
      </c>
      <c r="C42" s="571" t="str">
        <f t="shared" si="10"/>
        <v>Đắp đất K95 km 101+778,79-km101+805,99 lớp 31</v>
      </c>
      <c r="D42" s="572"/>
      <c r="E42" s="573"/>
      <c r="F42" s="2">
        <v>131.03299999999999</v>
      </c>
      <c r="G42" s="1">
        <f t="shared" si="11"/>
        <v>131.03299999999999</v>
      </c>
      <c r="H42" s="295">
        <f t="shared" si="12"/>
        <v>131.03299999999999</v>
      </c>
      <c r="I42" s="107">
        <f t="shared" si="13"/>
        <v>131.03299999999999</v>
      </c>
      <c r="J42" s="107">
        <f t="shared" si="14"/>
        <v>131.03299999999999</v>
      </c>
      <c r="K42" s="604"/>
      <c r="N42" s="118"/>
      <c r="O42" s="266" t="s">
        <v>525</v>
      </c>
      <c r="P42" s="88">
        <v>131.03299999999999</v>
      </c>
      <c r="Q42" s="89">
        <f t="shared" si="15"/>
        <v>43397</v>
      </c>
      <c r="R42" s="88"/>
      <c r="S42" s="88" t="e">
        <f t="shared" si="0"/>
        <v>#VALUE!</v>
      </c>
      <c r="T42" s="3" t="str">
        <f t="shared" si="16"/>
        <v>Đắp đất K95 km 101+778,79-km101+805,99 lớp 31</v>
      </c>
    </row>
    <row r="43" spans="1:20" ht="14.25" outlineLevel="2">
      <c r="A43" s="81">
        <f>SUBTOTAL(103,$B$12:B43)</f>
        <v>32</v>
      </c>
      <c r="B43" s="78">
        <f t="shared" si="9"/>
        <v>43395</v>
      </c>
      <c r="C43" s="571" t="str">
        <f t="shared" si="10"/>
        <v>Đắp đất K95 km 101+778,79-km101+805,99 lớp 32</v>
      </c>
      <c r="D43" s="572"/>
      <c r="E43" s="573"/>
      <c r="F43" s="2">
        <v>82.394999999999996</v>
      </c>
      <c r="G43" s="1">
        <f t="shared" si="11"/>
        <v>82.394999999999996</v>
      </c>
      <c r="H43" s="295">
        <f t="shared" si="12"/>
        <v>82.394999999999996</v>
      </c>
      <c r="I43" s="107">
        <f t="shared" si="13"/>
        <v>82.394999999999996</v>
      </c>
      <c r="J43" s="107">
        <f t="shared" si="14"/>
        <v>82.394999999999996</v>
      </c>
      <c r="K43" s="604"/>
      <c r="N43" s="118"/>
      <c r="O43" s="266" t="s">
        <v>526</v>
      </c>
      <c r="P43" s="88">
        <v>82.394999999999996</v>
      </c>
      <c r="Q43" s="89">
        <f t="shared" si="15"/>
        <v>43395</v>
      </c>
      <c r="R43" s="88"/>
      <c r="S43" s="88" t="e">
        <f t="shared" si="0"/>
        <v>#VALUE!</v>
      </c>
      <c r="T43" s="3" t="str">
        <f t="shared" si="16"/>
        <v>Đắp đất K95 km 101+778,79-km101+805,99 lớp 32</v>
      </c>
    </row>
    <row r="44" spans="1:20" ht="14.25" outlineLevel="2">
      <c r="A44" s="81">
        <f>SUBTOTAL(103,$B$12:B44)</f>
        <v>33</v>
      </c>
      <c r="B44" s="78">
        <f t="shared" si="9"/>
        <v>43393</v>
      </c>
      <c r="C44" s="571" t="str">
        <f t="shared" si="10"/>
        <v>Đắp đất K95 km 101+778,79-km101+805,99 lớp 33</v>
      </c>
      <c r="D44" s="572"/>
      <c r="E44" s="573"/>
      <c r="F44" s="2">
        <v>62.429000000000002</v>
      </c>
      <c r="G44" s="1">
        <f t="shared" si="11"/>
        <v>62.429000000000002</v>
      </c>
      <c r="H44" s="295">
        <f t="shared" si="12"/>
        <v>62.429000000000002</v>
      </c>
      <c r="I44" s="107">
        <f t="shared" si="13"/>
        <v>62.429000000000002</v>
      </c>
      <c r="J44" s="107">
        <f t="shared" si="14"/>
        <v>62.429000000000002</v>
      </c>
      <c r="K44" s="604"/>
      <c r="N44" s="118"/>
      <c r="O44" s="266" t="s">
        <v>527</v>
      </c>
      <c r="P44" s="88">
        <v>62.429000000000002</v>
      </c>
      <c r="Q44" s="89">
        <f t="shared" si="15"/>
        <v>43393</v>
      </c>
      <c r="R44" s="88"/>
      <c r="S44" s="88" t="e">
        <f t="shared" ref="S44:S75" si="17">VLOOKUP($S$11,hamchuigoi3,M44,0)</f>
        <v>#VALUE!</v>
      </c>
      <c r="T44" s="3" t="str">
        <f t="shared" si="16"/>
        <v>Đắp đất K95 km 101+778,79-km101+805,99 lớp 33</v>
      </c>
    </row>
    <row r="45" spans="1:20" ht="14.25" outlineLevel="2">
      <c r="A45" s="81">
        <f>SUBTOTAL(103,$B$12:B45)</f>
        <v>34</v>
      </c>
      <c r="B45" s="78">
        <f t="shared" si="9"/>
        <v>43391</v>
      </c>
      <c r="C45" s="571" t="str">
        <f t="shared" si="10"/>
        <v>Đắp đất K95 km 101+778,79-km101+805,99 lớp 34</v>
      </c>
      <c r="D45" s="572"/>
      <c r="E45" s="573"/>
      <c r="F45" s="2">
        <v>53.633000000000003</v>
      </c>
      <c r="G45" s="1">
        <f t="shared" si="11"/>
        <v>53.633000000000003</v>
      </c>
      <c r="H45" s="295">
        <f t="shared" si="12"/>
        <v>53.633000000000003</v>
      </c>
      <c r="I45" s="107">
        <f t="shared" si="13"/>
        <v>53.633000000000003</v>
      </c>
      <c r="J45" s="107">
        <f t="shared" si="14"/>
        <v>53.633000000000003</v>
      </c>
      <c r="K45" s="604"/>
      <c r="N45" s="118"/>
      <c r="O45" s="266" t="s">
        <v>528</v>
      </c>
      <c r="P45" s="88">
        <v>53.633000000000003</v>
      </c>
      <c r="Q45" s="89">
        <f t="shared" si="15"/>
        <v>43391</v>
      </c>
      <c r="R45" s="88"/>
      <c r="S45" s="88" t="e">
        <f t="shared" si="17"/>
        <v>#VALUE!</v>
      </c>
      <c r="T45" s="3" t="str">
        <f t="shared" si="16"/>
        <v>Đắp đất K95 km 101+778,79-km101+805,99 lớp 34</v>
      </c>
    </row>
    <row r="46" spans="1:20" ht="14.25" outlineLevel="2">
      <c r="A46" s="81">
        <f>SUBTOTAL(103,$B$12:B46)</f>
        <v>35</v>
      </c>
      <c r="B46" s="78">
        <f t="shared" si="9"/>
        <v>43389</v>
      </c>
      <c r="C46" s="571" t="str">
        <f t="shared" si="10"/>
        <v>Đắp đất K95 km 101+778,79-km101+805,99 lớp 35</v>
      </c>
      <c r="D46" s="572"/>
      <c r="E46" s="573"/>
      <c r="F46" s="2">
        <v>49.518999999999998</v>
      </c>
      <c r="G46" s="1">
        <f t="shared" si="11"/>
        <v>49.518999999999998</v>
      </c>
      <c r="H46" s="295">
        <f t="shared" si="12"/>
        <v>49.518999999999998</v>
      </c>
      <c r="I46" s="107">
        <f t="shared" si="13"/>
        <v>49.518999999999998</v>
      </c>
      <c r="J46" s="107">
        <f t="shared" si="14"/>
        <v>49.518999999999998</v>
      </c>
      <c r="K46" s="604"/>
      <c r="N46" s="118"/>
      <c r="O46" s="266" t="s">
        <v>529</v>
      </c>
      <c r="P46" s="88">
        <v>49.518999999999998</v>
      </c>
      <c r="Q46" s="89">
        <f t="shared" si="15"/>
        <v>43389</v>
      </c>
      <c r="R46" s="88"/>
      <c r="S46" s="88" t="e">
        <f t="shared" si="17"/>
        <v>#VALUE!</v>
      </c>
      <c r="T46" s="3" t="str">
        <f t="shared" si="16"/>
        <v>Đắp đất K95 km 101+778,79-km101+805,99 lớp 35</v>
      </c>
    </row>
    <row r="47" spans="1:20" ht="14.25" outlineLevel="2">
      <c r="A47" s="81">
        <f>SUBTOTAL(103,$B$12:B47)</f>
        <v>36</v>
      </c>
      <c r="B47" s="78">
        <f t="shared" si="9"/>
        <v>43387</v>
      </c>
      <c r="C47" s="571" t="str">
        <f t="shared" si="10"/>
        <v>Đắp đất K95 km 101+778,79-km101+805,99 lớp 36</v>
      </c>
      <c r="D47" s="572"/>
      <c r="E47" s="573"/>
      <c r="F47" s="2">
        <v>18.225000000000001</v>
      </c>
      <c r="G47" s="1">
        <f t="shared" si="11"/>
        <v>18.225000000000001</v>
      </c>
      <c r="H47" s="295">
        <f t="shared" si="12"/>
        <v>18.225000000000001</v>
      </c>
      <c r="I47" s="107">
        <f t="shared" si="13"/>
        <v>18.225000000000001</v>
      </c>
      <c r="J47" s="107">
        <f t="shared" si="14"/>
        <v>18.225000000000001</v>
      </c>
      <c r="K47" s="604"/>
      <c r="N47" s="118"/>
      <c r="O47" s="266" t="s">
        <v>530</v>
      </c>
      <c r="P47" s="88">
        <v>18.225000000000001</v>
      </c>
      <c r="Q47" s="89">
        <f t="shared" si="15"/>
        <v>43387</v>
      </c>
      <c r="R47" s="88"/>
      <c r="S47" s="88" t="e">
        <f t="shared" si="17"/>
        <v>#VALUE!</v>
      </c>
      <c r="T47" s="3" t="str">
        <f t="shared" si="16"/>
        <v>Đắp đất K95 km 101+778,79-km101+805,99 lớp 36</v>
      </c>
    </row>
    <row r="48" spans="1:20" ht="14.25" outlineLevel="2">
      <c r="A48" s="81">
        <f>SUBTOTAL(103,$B$12:B48)</f>
        <v>37</v>
      </c>
      <c r="B48" s="78">
        <f>Q48</f>
        <v>43461</v>
      </c>
      <c r="C48" s="571" t="str">
        <f>T48</f>
        <v>Đắp đất K95 km 101+820,87-km101+850,79 lớp 1</v>
      </c>
      <c r="D48" s="572"/>
      <c r="E48" s="573"/>
      <c r="F48" s="2">
        <v>8.0329999999999995</v>
      </c>
      <c r="G48" s="1">
        <f>P48</f>
        <v>8.0329999999999995</v>
      </c>
      <c r="H48" s="295">
        <f>P48</f>
        <v>8.0329999999999995</v>
      </c>
      <c r="I48" s="107">
        <f>P48</f>
        <v>8.0329999999999995</v>
      </c>
      <c r="J48" s="107">
        <f>P48</f>
        <v>8.0329999999999995</v>
      </c>
      <c r="K48" s="604"/>
      <c r="N48" s="118"/>
      <c r="O48" s="266" t="s">
        <v>465</v>
      </c>
      <c r="P48" s="411">
        <v>8.0329999999999995</v>
      </c>
      <c r="Q48" s="89">
        <v>43461</v>
      </c>
      <c r="R48" s="88"/>
      <c r="S48" s="88" t="e">
        <f t="shared" si="17"/>
        <v>#VALUE!</v>
      </c>
      <c r="T48" s="3" t="str">
        <f>$N$6&amp;" "&amp;O48</f>
        <v>Đắp đất K95 km 101+820,87-km101+850,79 lớp 1</v>
      </c>
    </row>
    <row r="49" spans="1:20" ht="14.25" outlineLevel="2">
      <c r="A49" s="81">
        <f>SUBTOTAL(103,$B$12:B49)</f>
        <v>38</v>
      </c>
      <c r="B49" s="78">
        <f t="shared" ref="B49:B83" si="18">Q49</f>
        <v>43459</v>
      </c>
      <c r="C49" s="571" t="str">
        <f t="shared" ref="C49:C83" si="19">T49</f>
        <v>Đắp đất K95 km 101+820,87-km101+850,79 lớp 2</v>
      </c>
      <c r="D49" s="572"/>
      <c r="E49" s="573"/>
      <c r="F49" s="2">
        <v>9.4640000000000004</v>
      </c>
      <c r="G49" s="1">
        <f t="shared" ref="G49:G83" si="20">P49</f>
        <v>9.4640000000000004</v>
      </c>
      <c r="H49" s="295">
        <f t="shared" ref="H49:H83" si="21">P49</f>
        <v>9.4640000000000004</v>
      </c>
      <c r="I49" s="107">
        <f t="shared" ref="I49:I83" si="22">P49</f>
        <v>9.4640000000000004</v>
      </c>
      <c r="J49" s="107">
        <f t="shared" ref="J49:J83" si="23">P49</f>
        <v>9.4640000000000004</v>
      </c>
      <c r="K49" s="604"/>
      <c r="N49" s="118"/>
      <c r="O49" s="266" t="s">
        <v>466</v>
      </c>
      <c r="P49" s="411">
        <v>9.4640000000000004</v>
      </c>
      <c r="Q49" s="89">
        <f>+Q48-2</f>
        <v>43459</v>
      </c>
      <c r="R49" s="88"/>
      <c r="S49" s="88" t="e">
        <f t="shared" si="17"/>
        <v>#VALUE!</v>
      </c>
      <c r="T49" s="3" t="str">
        <f t="shared" ref="T49:T83" si="24">$N$6&amp;" "&amp;O49</f>
        <v>Đắp đất K95 km 101+820,87-km101+850,79 lớp 2</v>
      </c>
    </row>
    <row r="50" spans="1:20" ht="14.25" outlineLevel="2">
      <c r="A50" s="81">
        <f>SUBTOTAL(103,$B$12:B50)</f>
        <v>39</v>
      </c>
      <c r="B50" s="78">
        <f t="shared" si="18"/>
        <v>43457</v>
      </c>
      <c r="C50" s="571" t="str">
        <f t="shared" si="19"/>
        <v>Đắp đất K95 km 101+820,87-km101+850,79 lớp 3</v>
      </c>
      <c r="D50" s="572"/>
      <c r="E50" s="573"/>
      <c r="F50" s="2">
        <v>19.881</v>
      </c>
      <c r="G50" s="1">
        <f t="shared" si="20"/>
        <v>19.881</v>
      </c>
      <c r="H50" s="295">
        <f t="shared" si="21"/>
        <v>19.881</v>
      </c>
      <c r="I50" s="107">
        <f t="shared" si="22"/>
        <v>19.881</v>
      </c>
      <c r="J50" s="107">
        <f t="shared" si="23"/>
        <v>19.881</v>
      </c>
      <c r="K50" s="604"/>
      <c r="N50" s="118"/>
      <c r="O50" s="266" t="s">
        <v>467</v>
      </c>
      <c r="P50" s="411">
        <v>19.881</v>
      </c>
      <c r="Q50" s="89">
        <f t="shared" ref="Q50:Q67" si="25">+Q49-2</f>
        <v>43457</v>
      </c>
      <c r="R50" s="88"/>
      <c r="S50" s="88" t="e">
        <f t="shared" si="17"/>
        <v>#VALUE!</v>
      </c>
      <c r="T50" s="3" t="str">
        <f t="shared" si="24"/>
        <v>Đắp đất K95 km 101+820,87-km101+850,79 lớp 3</v>
      </c>
    </row>
    <row r="51" spans="1:20" ht="14.25" outlineLevel="2">
      <c r="A51" s="81">
        <f>SUBTOTAL(103,$B$12:B51)</f>
        <v>40</v>
      </c>
      <c r="B51" s="78">
        <f t="shared" si="18"/>
        <v>43455</v>
      </c>
      <c r="C51" s="571" t="str">
        <f t="shared" si="19"/>
        <v>Đắp đất K95 km 101+820,87-km101+850,79 lớp 4</v>
      </c>
      <c r="D51" s="572"/>
      <c r="E51" s="573"/>
      <c r="F51" s="2">
        <v>22.882999999999999</v>
      </c>
      <c r="G51" s="1">
        <f t="shared" si="20"/>
        <v>22.882999999999999</v>
      </c>
      <c r="H51" s="295">
        <f t="shared" si="21"/>
        <v>22.882999999999999</v>
      </c>
      <c r="I51" s="107">
        <f t="shared" si="22"/>
        <v>22.882999999999999</v>
      </c>
      <c r="J51" s="107">
        <f t="shared" si="23"/>
        <v>22.882999999999999</v>
      </c>
      <c r="K51" s="604"/>
      <c r="N51" s="118"/>
      <c r="O51" s="266" t="s">
        <v>468</v>
      </c>
      <c r="P51" s="411">
        <v>22.882999999999999</v>
      </c>
      <c r="Q51" s="89">
        <f t="shared" si="25"/>
        <v>43455</v>
      </c>
      <c r="R51" s="88"/>
      <c r="S51" s="88" t="e">
        <f t="shared" si="17"/>
        <v>#VALUE!</v>
      </c>
      <c r="T51" s="3" t="str">
        <f t="shared" si="24"/>
        <v>Đắp đất K95 km 101+820,87-km101+850,79 lớp 4</v>
      </c>
    </row>
    <row r="52" spans="1:20" ht="14.25" outlineLevel="2">
      <c r="A52" s="81">
        <f>SUBTOTAL(103,$B$12:B52)</f>
        <v>41</v>
      </c>
      <c r="B52" s="78">
        <f t="shared" si="18"/>
        <v>43453</v>
      </c>
      <c r="C52" s="571" t="str">
        <f t="shared" si="19"/>
        <v>Đắp đất K95 km 101+820,87-km101+850,79 lớp 5</v>
      </c>
      <c r="D52" s="572"/>
      <c r="E52" s="573"/>
      <c r="F52" s="2">
        <v>26.373999999999999</v>
      </c>
      <c r="G52" s="1">
        <f t="shared" si="20"/>
        <v>26.373999999999999</v>
      </c>
      <c r="H52" s="295">
        <f t="shared" si="21"/>
        <v>26.373999999999999</v>
      </c>
      <c r="I52" s="107">
        <f t="shared" si="22"/>
        <v>26.373999999999999</v>
      </c>
      <c r="J52" s="107">
        <f t="shared" si="23"/>
        <v>26.373999999999999</v>
      </c>
      <c r="K52" s="604"/>
      <c r="N52" s="118"/>
      <c r="O52" s="266" t="s">
        <v>531</v>
      </c>
      <c r="P52" s="411">
        <v>26.373999999999999</v>
      </c>
      <c r="Q52" s="89">
        <f t="shared" si="25"/>
        <v>43453</v>
      </c>
      <c r="R52" s="88"/>
      <c r="S52" s="88" t="e">
        <f t="shared" si="17"/>
        <v>#VALUE!</v>
      </c>
      <c r="T52" s="3" t="str">
        <f t="shared" si="24"/>
        <v>Đắp đất K95 km 101+820,87-km101+850,79 lớp 5</v>
      </c>
    </row>
    <row r="53" spans="1:20" ht="14.25" outlineLevel="2">
      <c r="A53" s="81">
        <f>SUBTOTAL(103,$B$12:B53)</f>
        <v>42</v>
      </c>
      <c r="B53" s="78">
        <f t="shared" si="18"/>
        <v>43451</v>
      </c>
      <c r="C53" s="571" t="str">
        <f t="shared" si="19"/>
        <v>Đắp đất K95 km 101+820,87-km101+850,79 lớp 6</v>
      </c>
      <c r="D53" s="572"/>
      <c r="E53" s="573"/>
      <c r="F53" s="2">
        <v>30.010999999999999</v>
      </c>
      <c r="G53" s="1">
        <f t="shared" si="20"/>
        <v>30.010999999999999</v>
      </c>
      <c r="H53" s="295">
        <f t="shared" si="21"/>
        <v>30.010999999999999</v>
      </c>
      <c r="I53" s="107">
        <f t="shared" si="22"/>
        <v>30.010999999999999</v>
      </c>
      <c r="J53" s="107">
        <f t="shared" si="23"/>
        <v>30.010999999999999</v>
      </c>
      <c r="K53" s="604"/>
      <c r="N53" s="118"/>
      <c r="O53" s="266" t="s">
        <v>532</v>
      </c>
      <c r="P53" s="411">
        <v>30.010999999999999</v>
      </c>
      <c r="Q53" s="89">
        <f t="shared" si="25"/>
        <v>43451</v>
      </c>
      <c r="R53" s="88"/>
      <c r="S53" s="88" t="e">
        <f t="shared" si="17"/>
        <v>#VALUE!</v>
      </c>
      <c r="T53" s="3" t="str">
        <f t="shared" si="24"/>
        <v>Đắp đất K95 km 101+820,87-km101+850,79 lớp 6</v>
      </c>
    </row>
    <row r="54" spans="1:20" ht="14.25" outlineLevel="2">
      <c r="A54" s="81">
        <f>SUBTOTAL(103,$B$12:B54)</f>
        <v>43</v>
      </c>
      <c r="B54" s="78">
        <f t="shared" si="18"/>
        <v>43449</v>
      </c>
      <c r="C54" s="571" t="str">
        <f t="shared" si="19"/>
        <v>Đắp đất K95 km 101+820,87-km101+850,79 lớp 7</v>
      </c>
      <c r="D54" s="572"/>
      <c r="E54" s="573"/>
      <c r="F54" s="2">
        <v>33.999000000000002</v>
      </c>
      <c r="G54" s="1">
        <f t="shared" si="20"/>
        <v>33.999000000000002</v>
      </c>
      <c r="H54" s="295">
        <f t="shared" si="21"/>
        <v>33.999000000000002</v>
      </c>
      <c r="I54" s="107">
        <f t="shared" si="22"/>
        <v>33.999000000000002</v>
      </c>
      <c r="J54" s="107">
        <f t="shared" si="23"/>
        <v>33.999000000000002</v>
      </c>
      <c r="K54" s="604"/>
      <c r="N54" s="118"/>
      <c r="O54" s="266" t="s">
        <v>533</v>
      </c>
      <c r="P54" s="411">
        <v>33.999000000000002</v>
      </c>
      <c r="Q54" s="89">
        <f t="shared" si="25"/>
        <v>43449</v>
      </c>
      <c r="R54" s="88"/>
      <c r="S54" s="88" t="e">
        <f t="shared" si="17"/>
        <v>#VALUE!</v>
      </c>
      <c r="T54" s="3" t="str">
        <f t="shared" si="24"/>
        <v>Đắp đất K95 km 101+820,87-km101+850,79 lớp 7</v>
      </c>
    </row>
    <row r="55" spans="1:20" ht="14.25" outlineLevel="2">
      <c r="A55" s="81">
        <f>SUBTOTAL(103,$B$12:B55)</f>
        <v>44</v>
      </c>
      <c r="B55" s="78">
        <f t="shared" si="18"/>
        <v>43447</v>
      </c>
      <c r="C55" s="571" t="str">
        <f t="shared" si="19"/>
        <v>Đắp đất K95 km 101+820,87-km101+850,79 lớp 8</v>
      </c>
      <c r="D55" s="572"/>
      <c r="E55" s="573"/>
      <c r="F55" s="2">
        <v>38.259</v>
      </c>
      <c r="G55" s="1">
        <f t="shared" si="20"/>
        <v>38.259</v>
      </c>
      <c r="H55" s="295">
        <f t="shared" si="21"/>
        <v>38.259</v>
      </c>
      <c r="I55" s="107">
        <f t="shared" si="22"/>
        <v>38.259</v>
      </c>
      <c r="J55" s="107">
        <f t="shared" si="23"/>
        <v>38.259</v>
      </c>
      <c r="K55" s="604"/>
      <c r="N55" s="118"/>
      <c r="O55" s="266" t="s">
        <v>534</v>
      </c>
      <c r="P55" s="411">
        <v>38.259</v>
      </c>
      <c r="Q55" s="89">
        <f t="shared" si="25"/>
        <v>43447</v>
      </c>
      <c r="R55" s="88"/>
      <c r="S55" s="88" t="e">
        <f t="shared" si="17"/>
        <v>#VALUE!</v>
      </c>
      <c r="T55" s="3" t="str">
        <f t="shared" si="24"/>
        <v>Đắp đất K95 km 101+820,87-km101+850,79 lớp 8</v>
      </c>
    </row>
    <row r="56" spans="1:20" ht="14.25" outlineLevel="2">
      <c r="A56" s="81">
        <f>SUBTOTAL(103,$B$12:B56)</f>
        <v>45</v>
      </c>
      <c r="B56" s="78">
        <f t="shared" si="18"/>
        <v>43445</v>
      </c>
      <c r="C56" s="571" t="str">
        <f t="shared" si="19"/>
        <v>Đắp đất K95 km 101+820,87-km101+850,79 lớp 9</v>
      </c>
      <c r="D56" s="572"/>
      <c r="E56" s="573"/>
      <c r="F56" s="2">
        <v>41.424999999999997</v>
      </c>
      <c r="G56" s="1">
        <f t="shared" si="20"/>
        <v>41.424999999999997</v>
      </c>
      <c r="H56" s="295">
        <f t="shared" si="21"/>
        <v>41.424999999999997</v>
      </c>
      <c r="I56" s="107">
        <f t="shared" si="22"/>
        <v>41.424999999999997</v>
      </c>
      <c r="J56" s="107">
        <f t="shared" si="23"/>
        <v>41.424999999999997</v>
      </c>
      <c r="K56" s="604"/>
      <c r="N56" s="118"/>
      <c r="O56" s="266" t="s">
        <v>535</v>
      </c>
      <c r="P56" s="411">
        <v>41.424999999999997</v>
      </c>
      <c r="Q56" s="89">
        <f t="shared" si="25"/>
        <v>43445</v>
      </c>
      <c r="R56" s="88"/>
      <c r="S56" s="88" t="e">
        <f t="shared" si="17"/>
        <v>#VALUE!</v>
      </c>
      <c r="T56" s="3" t="str">
        <f t="shared" si="24"/>
        <v>Đắp đất K95 km 101+820,87-km101+850,79 lớp 9</v>
      </c>
    </row>
    <row r="57" spans="1:20" ht="14.25" outlineLevel="2">
      <c r="A57" s="81">
        <f>SUBTOTAL(103,$B$12:B57)</f>
        <v>46</v>
      </c>
      <c r="B57" s="78">
        <f t="shared" si="18"/>
        <v>43443</v>
      </c>
      <c r="C57" s="571" t="str">
        <f t="shared" si="19"/>
        <v>Đắp đất K95 km 101+820,87-km101+850,79 lớp 10</v>
      </c>
      <c r="D57" s="572"/>
      <c r="E57" s="573"/>
      <c r="F57" s="2">
        <v>74.259</v>
      </c>
      <c r="G57" s="1">
        <f t="shared" si="20"/>
        <v>74.259</v>
      </c>
      <c r="H57" s="295">
        <f t="shared" si="21"/>
        <v>74.259</v>
      </c>
      <c r="I57" s="107">
        <f t="shared" si="22"/>
        <v>74.259</v>
      </c>
      <c r="J57" s="107">
        <f t="shared" si="23"/>
        <v>74.259</v>
      </c>
      <c r="K57" s="604"/>
      <c r="N57" s="118"/>
      <c r="O57" s="266" t="s">
        <v>536</v>
      </c>
      <c r="P57" s="411">
        <v>74.259</v>
      </c>
      <c r="Q57" s="89">
        <f t="shared" si="25"/>
        <v>43443</v>
      </c>
      <c r="R57" s="88"/>
      <c r="S57" s="88" t="e">
        <f t="shared" si="17"/>
        <v>#VALUE!</v>
      </c>
      <c r="T57" s="3" t="str">
        <f t="shared" si="24"/>
        <v>Đắp đất K95 km 101+820,87-km101+850,79 lớp 10</v>
      </c>
    </row>
    <row r="58" spans="1:20" ht="14.25" outlineLevel="2">
      <c r="A58" s="81">
        <f>SUBTOTAL(103,$B$12:B58)</f>
        <v>47</v>
      </c>
      <c r="B58" s="78">
        <f t="shared" si="18"/>
        <v>43441</v>
      </c>
      <c r="C58" s="571" t="str">
        <f t="shared" si="19"/>
        <v>Đắp đất K95 km 101+820,87-km101+850,79 lớp 11</v>
      </c>
      <c r="D58" s="572"/>
      <c r="E58" s="573"/>
      <c r="F58" s="2">
        <v>77.896000000000001</v>
      </c>
      <c r="G58" s="1">
        <f t="shared" si="20"/>
        <v>77.896000000000001</v>
      </c>
      <c r="H58" s="295">
        <f t="shared" si="21"/>
        <v>77.896000000000001</v>
      </c>
      <c r="I58" s="107">
        <f t="shared" si="22"/>
        <v>77.896000000000001</v>
      </c>
      <c r="J58" s="107">
        <f t="shared" si="23"/>
        <v>77.896000000000001</v>
      </c>
      <c r="K58" s="604"/>
      <c r="N58" s="118"/>
      <c r="O58" s="266" t="s">
        <v>537</v>
      </c>
      <c r="P58" s="411">
        <v>77.896000000000001</v>
      </c>
      <c r="Q58" s="89">
        <f t="shared" si="25"/>
        <v>43441</v>
      </c>
      <c r="R58" s="88"/>
      <c r="S58" s="88" t="e">
        <f t="shared" si="17"/>
        <v>#VALUE!</v>
      </c>
      <c r="T58" s="3" t="str">
        <f t="shared" si="24"/>
        <v>Đắp đất K95 km 101+820,87-km101+850,79 lớp 11</v>
      </c>
    </row>
    <row r="59" spans="1:20" ht="14.25" outlineLevel="2">
      <c r="A59" s="81">
        <f>SUBTOTAL(103,$B$12:B59)</f>
        <v>48</v>
      </c>
      <c r="B59" s="78">
        <f t="shared" si="18"/>
        <v>43439</v>
      </c>
      <c r="C59" s="571" t="str">
        <f t="shared" si="19"/>
        <v>Đắp đất K95 km 101+820,87-km101+850,79 lớp 12</v>
      </c>
      <c r="D59" s="572"/>
      <c r="E59" s="573"/>
      <c r="F59" s="2">
        <v>81.534000000000006</v>
      </c>
      <c r="G59" s="1">
        <f t="shared" si="20"/>
        <v>81.534000000000006</v>
      </c>
      <c r="H59" s="295">
        <f t="shared" si="21"/>
        <v>81.534000000000006</v>
      </c>
      <c r="I59" s="107">
        <f t="shared" si="22"/>
        <v>81.534000000000006</v>
      </c>
      <c r="J59" s="107">
        <f t="shared" si="23"/>
        <v>81.534000000000006</v>
      </c>
      <c r="K59" s="604"/>
      <c r="N59" s="118"/>
      <c r="O59" s="266" t="s">
        <v>538</v>
      </c>
      <c r="P59" s="411">
        <v>81.534000000000006</v>
      </c>
      <c r="Q59" s="89">
        <f t="shared" si="25"/>
        <v>43439</v>
      </c>
      <c r="R59" s="88"/>
      <c r="S59" s="88" t="e">
        <f t="shared" si="17"/>
        <v>#VALUE!</v>
      </c>
      <c r="T59" s="3" t="str">
        <f t="shared" si="24"/>
        <v>Đắp đất K95 km 101+820,87-km101+850,79 lớp 12</v>
      </c>
    </row>
    <row r="60" spans="1:20" ht="14.25" outlineLevel="2">
      <c r="A60" s="81">
        <f>SUBTOTAL(103,$B$12:B60)</f>
        <v>49</v>
      </c>
      <c r="B60" s="78">
        <f t="shared" si="18"/>
        <v>43437</v>
      </c>
      <c r="C60" s="571" t="str">
        <f t="shared" si="19"/>
        <v>Đắp đất K95 km 101+820,87-km101+850,79 lớp 13</v>
      </c>
      <c r="D60" s="572"/>
      <c r="E60" s="573"/>
      <c r="F60" s="2">
        <v>85.171000000000006</v>
      </c>
      <c r="G60" s="1">
        <f t="shared" si="20"/>
        <v>85.171000000000006</v>
      </c>
      <c r="H60" s="295">
        <f t="shared" si="21"/>
        <v>85.171000000000006</v>
      </c>
      <c r="I60" s="107">
        <f t="shared" si="22"/>
        <v>85.171000000000006</v>
      </c>
      <c r="J60" s="107">
        <f t="shared" si="23"/>
        <v>85.171000000000006</v>
      </c>
      <c r="K60" s="604"/>
      <c r="N60" s="118"/>
      <c r="O60" s="266" t="s">
        <v>539</v>
      </c>
      <c r="P60" s="411">
        <v>85.171000000000006</v>
      </c>
      <c r="Q60" s="89">
        <f t="shared" si="25"/>
        <v>43437</v>
      </c>
      <c r="R60" s="88"/>
      <c r="S60" s="88" t="e">
        <f t="shared" si="17"/>
        <v>#VALUE!</v>
      </c>
      <c r="T60" s="3" t="str">
        <f t="shared" si="24"/>
        <v>Đắp đất K95 km 101+820,87-km101+850,79 lớp 13</v>
      </c>
    </row>
    <row r="61" spans="1:20" ht="14.25" outlineLevel="2">
      <c r="A61" s="81">
        <f>SUBTOTAL(103,$B$12:B61)</f>
        <v>50</v>
      </c>
      <c r="B61" s="78">
        <f t="shared" si="18"/>
        <v>43435</v>
      </c>
      <c r="C61" s="571" t="str">
        <f t="shared" si="19"/>
        <v>Đắp đất K95 km 101+820,87-km101+850,79 lớp 14</v>
      </c>
      <c r="D61" s="572"/>
      <c r="E61" s="573"/>
      <c r="F61" s="2">
        <v>88.808000000000007</v>
      </c>
      <c r="G61" s="1">
        <f t="shared" si="20"/>
        <v>88.808000000000007</v>
      </c>
      <c r="H61" s="295">
        <f t="shared" si="21"/>
        <v>88.808000000000007</v>
      </c>
      <c r="I61" s="107">
        <f t="shared" si="22"/>
        <v>88.808000000000007</v>
      </c>
      <c r="J61" s="107">
        <f t="shared" si="23"/>
        <v>88.808000000000007</v>
      </c>
      <c r="K61" s="604"/>
      <c r="N61" s="118"/>
      <c r="O61" s="266" t="s">
        <v>540</v>
      </c>
      <c r="P61" s="411">
        <v>88.808000000000007</v>
      </c>
      <c r="Q61" s="89">
        <f t="shared" si="25"/>
        <v>43435</v>
      </c>
      <c r="R61" s="88"/>
      <c r="S61" s="88" t="e">
        <f t="shared" si="17"/>
        <v>#VALUE!</v>
      </c>
      <c r="T61" s="3" t="str">
        <f t="shared" si="24"/>
        <v>Đắp đất K95 km 101+820,87-km101+850,79 lớp 14</v>
      </c>
    </row>
    <row r="62" spans="1:20" ht="14.25" outlineLevel="2">
      <c r="A62" s="81">
        <f>SUBTOTAL(103,$B$12:B62)</f>
        <v>51</v>
      </c>
      <c r="B62" s="78">
        <f t="shared" si="18"/>
        <v>43433</v>
      </c>
      <c r="C62" s="571" t="str">
        <f t="shared" si="19"/>
        <v>Đắp đất K95 km 101+820,87-km101+850,79 lớp 15</v>
      </c>
      <c r="D62" s="572"/>
      <c r="E62" s="573"/>
      <c r="F62" s="2">
        <v>92.444999999999993</v>
      </c>
      <c r="G62" s="1">
        <f t="shared" si="20"/>
        <v>92.444999999999993</v>
      </c>
      <c r="H62" s="295">
        <f t="shared" si="21"/>
        <v>92.444999999999993</v>
      </c>
      <c r="I62" s="107">
        <f t="shared" si="22"/>
        <v>92.444999999999993</v>
      </c>
      <c r="J62" s="107">
        <f t="shared" si="23"/>
        <v>92.444999999999993</v>
      </c>
      <c r="K62" s="604"/>
      <c r="N62" s="118"/>
      <c r="O62" s="266" t="s">
        <v>541</v>
      </c>
      <c r="P62" s="411">
        <v>92.444999999999993</v>
      </c>
      <c r="Q62" s="89">
        <f t="shared" si="25"/>
        <v>43433</v>
      </c>
      <c r="R62" s="88"/>
      <c r="S62" s="88" t="e">
        <f t="shared" si="17"/>
        <v>#VALUE!</v>
      </c>
      <c r="T62" s="3" t="str">
        <f t="shared" si="24"/>
        <v>Đắp đất K95 km 101+820,87-km101+850,79 lớp 15</v>
      </c>
    </row>
    <row r="63" spans="1:20" ht="14.25" outlineLevel="2">
      <c r="A63" s="81">
        <f>SUBTOTAL(103,$B$12:B63)</f>
        <v>52</v>
      </c>
      <c r="B63" s="78">
        <f t="shared" si="18"/>
        <v>43431</v>
      </c>
      <c r="C63" s="571" t="str">
        <f t="shared" si="19"/>
        <v>Đắp đất K95 km 101+820,87-km101+850,79 lớp 16</v>
      </c>
      <c r="D63" s="572"/>
      <c r="E63" s="573"/>
      <c r="F63" s="2">
        <v>96.481999999999999</v>
      </c>
      <c r="G63" s="1">
        <f t="shared" si="20"/>
        <v>96.481999999999999</v>
      </c>
      <c r="H63" s="295">
        <f t="shared" si="21"/>
        <v>96.481999999999999</v>
      </c>
      <c r="I63" s="107">
        <f t="shared" si="22"/>
        <v>96.481999999999999</v>
      </c>
      <c r="J63" s="107">
        <f t="shared" si="23"/>
        <v>96.481999999999999</v>
      </c>
      <c r="K63" s="604"/>
      <c r="N63" s="118"/>
      <c r="O63" s="266" t="s">
        <v>542</v>
      </c>
      <c r="P63" s="411">
        <v>96.481999999999999</v>
      </c>
      <c r="Q63" s="89">
        <f t="shared" si="25"/>
        <v>43431</v>
      </c>
      <c r="R63" s="88"/>
      <c r="S63" s="88" t="e">
        <f t="shared" si="17"/>
        <v>#VALUE!</v>
      </c>
      <c r="T63" s="3" t="str">
        <f t="shared" si="24"/>
        <v>Đắp đất K95 km 101+820,87-km101+850,79 lớp 16</v>
      </c>
    </row>
    <row r="64" spans="1:20" ht="14.25" outlineLevel="2">
      <c r="A64" s="81">
        <f>SUBTOTAL(103,$B$12:B64)</f>
        <v>53</v>
      </c>
      <c r="B64" s="78">
        <f t="shared" si="18"/>
        <v>43429</v>
      </c>
      <c r="C64" s="571" t="str">
        <f t="shared" si="19"/>
        <v>Đắp đất K95 km 101+820,87-km101+850,79 lớp 17</v>
      </c>
      <c r="D64" s="572"/>
      <c r="E64" s="573"/>
      <c r="F64" s="2">
        <v>99.718999999999994</v>
      </c>
      <c r="G64" s="1">
        <f t="shared" si="20"/>
        <v>99.718999999999994</v>
      </c>
      <c r="H64" s="295">
        <f t="shared" si="21"/>
        <v>99.718999999999994</v>
      </c>
      <c r="I64" s="107">
        <f t="shared" si="22"/>
        <v>99.718999999999994</v>
      </c>
      <c r="J64" s="107">
        <f t="shared" si="23"/>
        <v>99.718999999999994</v>
      </c>
      <c r="K64" s="604"/>
      <c r="N64" s="118"/>
      <c r="O64" s="266" t="s">
        <v>543</v>
      </c>
      <c r="P64" s="411">
        <v>99.718999999999994</v>
      </c>
      <c r="Q64" s="89">
        <f t="shared" si="25"/>
        <v>43429</v>
      </c>
      <c r="R64" s="88"/>
      <c r="S64" s="88" t="e">
        <f t="shared" si="17"/>
        <v>#VALUE!</v>
      </c>
      <c r="T64" s="3" t="str">
        <f t="shared" si="24"/>
        <v>Đắp đất K95 km 101+820,87-km101+850,79 lớp 17</v>
      </c>
    </row>
    <row r="65" spans="1:20" ht="14.25" outlineLevel="2">
      <c r="A65" s="81">
        <f>SUBTOTAL(103,$B$12:B65)</f>
        <v>54</v>
      </c>
      <c r="B65" s="78">
        <f t="shared" si="18"/>
        <v>43427</v>
      </c>
      <c r="C65" s="571" t="str">
        <f t="shared" si="19"/>
        <v>Đắp đất K95 km 101+820,87-km101+850,79 lớp 18</v>
      </c>
      <c r="D65" s="572"/>
      <c r="E65" s="573"/>
      <c r="F65" s="2">
        <v>103.35599999999999</v>
      </c>
      <c r="G65" s="1">
        <f t="shared" si="20"/>
        <v>103.35599999999999</v>
      </c>
      <c r="H65" s="295">
        <f t="shared" si="21"/>
        <v>103.35599999999999</v>
      </c>
      <c r="I65" s="107">
        <f t="shared" si="22"/>
        <v>103.35599999999999</v>
      </c>
      <c r="J65" s="107">
        <f t="shared" si="23"/>
        <v>103.35599999999999</v>
      </c>
      <c r="K65" s="604"/>
      <c r="N65" s="118"/>
      <c r="O65" s="266" t="s">
        <v>544</v>
      </c>
      <c r="P65" s="411">
        <v>103.35599999999999</v>
      </c>
      <c r="Q65" s="89">
        <f t="shared" si="25"/>
        <v>43427</v>
      </c>
      <c r="R65" s="88"/>
      <c r="S65" s="88" t="e">
        <f t="shared" si="17"/>
        <v>#VALUE!</v>
      </c>
      <c r="T65" s="3" t="str">
        <f t="shared" si="24"/>
        <v>Đắp đất K95 km 101+820,87-km101+850,79 lớp 18</v>
      </c>
    </row>
    <row r="66" spans="1:20" ht="14.25" outlineLevel="2">
      <c r="A66" s="81">
        <f>SUBTOTAL(103,$B$12:B66)</f>
        <v>55</v>
      </c>
      <c r="B66" s="78">
        <f t="shared" si="18"/>
        <v>43425</v>
      </c>
      <c r="C66" s="571" t="str">
        <f t="shared" si="19"/>
        <v>Đắp đất K95 km 101+820,87-km101+850,79 lớp 19</v>
      </c>
      <c r="D66" s="572"/>
      <c r="E66" s="573"/>
      <c r="F66" s="2">
        <v>106.99299999999999</v>
      </c>
      <c r="G66" s="1">
        <f t="shared" si="20"/>
        <v>106.99299999999999</v>
      </c>
      <c r="H66" s="295">
        <f t="shared" si="21"/>
        <v>106.99299999999999</v>
      </c>
      <c r="I66" s="107">
        <f t="shared" si="22"/>
        <v>106.99299999999999</v>
      </c>
      <c r="J66" s="107">
        <f t="shared" si="23"/>
        <v>106.99299999999999</v>
      </c>
      <c r="K66" s="604"/>
      <c r="N66" s="118"/>
      <c r="O66" s="266" t="s">
        <v>545</v>
      </c>
      <c r="P66" s="411">
        <v>106.99299999999999</v>
      </c>
      <c r="Q66" s="89">
        <f t="shared" si="25"/>
        <v>43425</v>
      </c>
      <c r="R66" s="88"/>
      <c r="S66" s="88" t="e">
        <f t="shared" si="17"/>
        <v>#VALUE!</v>
      </c>
      <c r="T66" s="3" t="str">
        <f t="shared" si="24"/>
        <v>Đắp đất K95 km 101+820,87-km101+850,79 lớp 19</v>
      </c>
    </row>
    <row r="67" spans="1:20" ht="14.25" outlineLevel="2">
      <c r="A67" s="81">
        <f>SUBTOTAL(103,$B$12:B67)</f>
        <v>56</v>
      </c>
      <c r="B67" s="78">
        <f t="shared" si="18"/>
        <v>43423</v>
      </c>
      <c r="C67" s="571" t="str">
        <f t="shared" si="19"/>
        <v>Đắp đất K95 km 101+820,87-km101+850,79 lớp 20</v>
      </c>
      <c r="D67" s="572"/>
      <c r="E67" s="573"/>
      <c r="F67" s="2">
        <v>110.63</v>
      </c>
      <c r="G67" s="1">
        <f t="shared" si="20"/>
        <v>110.63</v>
      </c>
      <c r="H67" s="295">
        <f t="shared" si="21"/>
        <v>110.63</v>
      </c>
      <c r="I67" s="107">
        <f t="shared" si="22"/>
        <v>110.63</v>
      </c>
      <c r="J67" s="107">
        <f t="shared" si="23"/>
        <v>110.63</v>
      </c>
      <c r="K67" s="604"/>
      <c r="N67" s="118"/>
      <c r="O67" s="266" t="s">
        <v>546</v>
      </c>
      <c r="P67" s="411">
        <v>110.63</v>
      </c>
      <c r="Q67" s="89">
        <f t="shared" si="25"/>
        <v>43423</v>
      </c>
      <c r="R67" s="88"/>
      <c r="S67" s="88" t="e">
        <f t="shared" si="17"/>
        <v>#VALUE!</v>
      </c>
      <c r="T67" s="3" t="str">
        <f t="shared" si="24"/>
        <v>Đắp đất K95 km 101+820,87-km101+850,79 lớp 20</v>
      </c>
    </row>
    <row r="68" spans="1:20" ht="14.25" outlineLevel="2">
      <c r="A68" s="81">
        <f>SUBTOTAL(103,$B$12:B68)</f>
        <v>57</v>
      </c>
      <c r="B68" s="78">
        <f t="shared" si="18"/>
        <v>43420</v>
      </c>
      <c r="C68" s="571" t="str">
        <f t="shared" si="19"/>
        <v>Đắp đất K95 km 101+820,87-km101+850,79 lớp 21</v>
      </c>
      <c r="D68" s="572"/>
      <c r="E68" s="573"/>
      <c r="F68" s="2">
        <v>114.57299999999999</v>
      </c>
      <c r="G68" s="1">
        <f t="shared" si="20"/>
        <v>114.57299999999999</v>
      </c>
      <c r="H68" s="295">
        <f t="shared" si="21"/>
        <v>114.57299999999999</v>
      </c>
      <c r="I68" s="107">
        <f t="shared" si="22"/>
        <v>114.57299999999999</v>
      </c>
      <c r="J68" s="107">
        <f t="shared" si="23"/>
        <v>114.57299999999999</v>
      </c>
      <c r="K68" s="604"/>
      <c r="N68" s="118"/>
      <c r="O68" s="266" t="s">
        <v>547</v>
      </c>
      <c r="P68" s="411">
        <v>114.57299999999999</v>
      </c>
      <c r="Q68" s="89">
        <f>+Q67-3</f>
        <v>43420</v>
      </c>
      <c r="R68" s="88"/>
      <c r="S68" s="88" t="e">
        <f t="shared" si="17"/>
        <v>#VALUE!</v>
      </c>
      <c r="T68" s="3" t="str">
        <f t="shared" si="24"/>
        <v>Đắp đất K95 km 101+820,87-km101+850,79 lớp 21</v>
      </c>
    </row>
    <row r="69" spans="1:20" ht="14.25" outlineLevel="2">
      <c r="A69" s="81">
        <f>SUBTOTAL(103,$B$12:B69)</f>
        <v>58</v>
      </c>
      <c r="B69" s="78">
        <f t="shared" si="18"/>
        <v>43418</v>
      </c>
      <c r="C69" s="571" t="str">
        <f t="shared" si="19"/>
        <v>Đắp đất K95 km 101+820,87-km101+850,79 lớp 22</v>
      </c>
      <c r="D69" s="572"/>
      <c r="E69" s="573"/>
      <c r="F69" s="2">
        <v>117.893</v>
      </c>
      <c r="G69" s="1">
        <f t="shared" si="20"/>
        <v>117.893</v>
      </c>
      <c r="H69" s="295">
        <f t="shared" si="21"/>
        <v>117.893</v>
      </c>
      <c r="I69" s="107">
        <f t="shared" si="22"/>
        <v>117.893</v>
      </c>
      <c r="J69" s="107">
        <f t="shared" si="23"/>
        <v>117.893</v>
      </c>
      <c r="K69" s="604"/>
      <c r="N69" s="118"/>
      <c r="O69" s="266" t="s">
        <v>548</v>
      </c>
      <c r="P69" s="411">
        <v>117.893</v>
      </c>
      <c r="Q69" s="89">
        <f t="shared" ref="Q69" si="26">+Q68-2</f>
        <v>43418</v>
      </c>
      <c r="R69" s="88"/>
      <c r="S69" s="88" t="e">
        <f t="shared" si="17"/>
        <v>#VALUE!</v>
      </c>
      <c r="T69" s="3" t="str">
        <f t="shared" si="24"/>
        <v>Đắp đất K95 km 101+820,87-km101+850,79 lớp 22</v>
      </c>
    </row>
    <row r="70" spans="1:20" ht="14.25" outlineLevel="2">
      <c r="A70" s="81">
        <f>SUBTOTAL(103,$B$12:B70)</f>
        <v>59</v>
      </c>
      <c r="B70" s="78">
        <f t="shared" si="18"/>
        <v>43414</v>
      </c>
      <c r="C70" s="571" t="str">
        <f t="shared" si="19"/>
        <v>Đắp đất K95 km 101+820,87-km101+850,79 lớp 23</v>
      </c>
      <c r="D70" s="572"/>
      <c r="E70" s="573"/>
      <c r="F70" s="2">
        <v>121.277</v>
      </c>
      <c r="G70" s="1">
        <f t="shared" si="20"/>
        <v>121.277</v>
      </c>
      <c r="H70" s="295">
        <f t="shared" si="21"/>
        <v>121.277</v>
      </c>
      <c r="I70" s="107">
        <f t="shared" si="22"/>
        <v>121.277</v>
      </c>
      <c r="J70" s="107">
        <f t="shared" si="23"/>
        <v>121.277</v>
      </c>
      <c r="K70" s="604"/>
      <c r="N70" s="118"/>
      <c r="O70" s="266" t="s">
        <v>549</v>
      </c>
      <c r="P70" s="411">
        <v>121.277</v>
      </c>
      <c r="Q70" s="89">
        <f>+Q69-4</f>
        <v>43414</v>
      </c>
      <c r="R70" s="88"/>
      <c r="S70" s="88" t="e">
        <f t="shared" si="17"/>
        <v>#VALUE!</v>
      </c>
      <c r="T70" s="3" t="str">
        <f t="shared" si="24"/>
        <v>Đắp đất K95 km 101+820,87-km101+850,79 lớp 23</v>
      </c>
    </row>
    <row r="71" spans="1:20" ht="14.25" outlineLevel="2">
      <c r="A71" s="81">
        <f>SUBTOTAL(103,$B$12:B71)</f>
        <v>60</v>
      </c>
      <c r="B71" s="78">
        <f t="shared" si="18"/>
        <v>43412</v>
      </c>
      <c r="C71" s="571" t="str">
        <f t="shared" si="19"/>
        <v>Đắp đất K95 km 101+820,87-km101+850,79 lớp 24</v>
      </c>
      <c r="D71" s="572"/>
      <c r="E71" s="573"/>
      <c r="F71" s="2">
        <v>124.184</v>
      </c>
      <c r="G71" s="1">
        <f t="shared" si="20"/>
        <v>124.184</v>
      </c>
      <c r="H71" s="295">
        <f t="shared" si="21"/>
        <v>124.184</v>
      </c>
      <c r="I71" s="107">
        <f t="shared" si="22"/>
        <v>124.184</v>
      </c>
      <c r="J71" s="107">
        <f t="shared" si="23"/>
        <v>124.184</v>
      </c>
      <c r="K71" s="604"/>
      <c r="N71" s="118"/>
      <c r="O71" s="266" t="s">
        <v>550</v>
      </c>
      <c r="P71" s="411">
        <v>124.184</v>
      </c>
      <c r="Q71" s="89">
        <f t="shared" ref="Q71:Q74" si="27">+Q70-2</f>
        <v>43412</v>
      </c>
      <c r="R71" s="88"/>
      <c r="S71" s="88" t="e">
        <f t="shared" si="17"/>
        <v>#VALUE!</v>
      </c>
      <c r="T71" s="3" t="str">
        <f t="shared" si="24"/>
        <v>Đắp đất K95 km 101+820,87-km101+850,79 lớp 24</v>
      </c>
    </row>
    <row r="72" spans="1:20" ht="14.25" outlineLevel="2">
      <c r="A72" s="81">
        <f>SUBTOTAL(103,$B$12:B72)</f>
        <v>61</v>
      </c>
      <c r="B72" s="78">
        <f t="shared" si="18"/>
        <v>43410</v>
      </c>
      <c r="C72" s="571" t="str">
        <f t="shared" si="19"/>
        <v>Đắp đất K95 km 101+820,87-km101+850,79 lớp 25</v>
      </c>
      <c r="D72" s="572"/>
      <c r="E72" s="573"/>
      <c r="F72" s="2">
        <v>126.922</v>
      </c>
      <c r="G72" s="1">
        <f t="shared" si="20"/>
        <v>126.922</v>
      </c>
      <c r="H72" s="295">
        <f t="shared" si="21"/>
        <v>126.922</v>
      </c>
      <c r="I72" s="107">
        <f t="shared" si="22"/>
        <v>126.922</v>
      </c>
      <c r="J72" s="107">
        <f t="shared" si="23"/>
        <v>126.922</v>
      </c>
      <c r="K72" s="604"/>
      <c r="N72" s="118"/>
      <c r="O72" s="266" t="s">
        <v>551</v>
      </c>
      <c r="P72" s="411">
        <v>126.922</v>
      </c>
      <c r="Q72" s="89">
        <f t="shared" si="27"/>
        <v>43410</v>
      </c>
      <c r="R72" s="88"/>
      <c r="S72" s="88" t="e">
        <f t="shared" si="17"/>
        <v>#VALUE!</v>
      </c>
      <c r="T72" s="3" t="str">
        <f t="shared" si="24"/>
        <v>Đắp đất K95 km 101+820,87-km101+850,79 lớp 25</v>
      </c>
    </row>
    <row r="73" spans="1:20" ht="14.25" outlineLevel="2">
      <c r="A73" s="81">
        <f>SUBTOTAL(103,$B$12:B73)</f>
        <v>62</v>
      </c>
      <c r="B73" s="78">
        <f t="shared" si="18"/>
        <v>43408</v>
      </c>
      <c r="C73" s="571" t="str">
        <f t="shared" si="19"/>
        <v>Đắp đất K95 km 101+820,87-km101+850,79 lớp 26</v>
      </c>
      <c r="D73" s="572"/>
      <c r="E73" s="573"/>
      <c r="F73" s="2">
        <v>129.73699999999999</v>
      </c>
      <c r="G73" s="1">
        <f t="shared" si="20"/>
        <v>129.73699999999999</v>
      </c>
      <c r="H73" s="295">
        <f t="shared" si="21"/>
        <v>129.73699999999999</v>
      </c>
      <c r="I73" s="107">
        <f t="shared" si="22"/>
        <v>129.73699999999999</v>
      </c>
      <c r="J73" s="107">
        <f t="shared" si="23"/>
        <v>129.73699999999999</v>
      </c>
      <c r="K73" s="604"/>
      <c r="N73" s="118"/>
      <c r="O73" s="266" t="s">
        <v>552</v>
      </c>
      <c r="P73" s="411">
        <v>129.73699999999999</v>
      </c>
      <c r="Q73" s="89">
        <f t="shared" si="27"/>
        <v>43408</v>
      </c>
      <c r="R73" s="88"/>
      <c r="S73" s="88" t="e">
        <f t="shared" si="17"/>
        <v>#VALUE!</v>
      </c>
      <c r="T73" s="3" t="str">
        <f t="shared" si="24"/>
        <v>Đắp đất K95 km 101+820,87-km101+850,79 lớp 26</v>
      </c>
    </row>
    <row r="74" spans="1:20" ht="14.25" outlineLevel="2">
      <c r="A74" s="81">
        <f>SUBTOTAL(103,$B$12:B74)</f>
        <v>63</v>
      </c>
      <c r="B74" s="78">
        <f t="shared" si="18"/>
        <v>43406</v>
      </c>
      <c r="C74" s="571" t="str">
        <f t="shared" si="19"/>
        <v>Đắp đất K95 km 101+820,87-km101+850,79 lớp 27</v>
      </c>
      <c r="D74" s="572"/>
      <c r="E74" s="573"/>
      <c r="F74" s="2">
        <v>132.06</v>
      </c>
      <c r="G74" s="1">
        <f t="shared" si="20"/>
        <v>132.06</v>
      </c>
      <c r="H74" s="295">
        <f t="shared" si="21"/>
        <v>132.06</v>
      </c>
      <c r="I74" s="107">
        <f t="shared" si="22"/>
        <v>132.06</v>
      </c>
      <c r="J74" s="107">
        <f t="shared" si="23"/>
        <v>132.06</v>
      </c>
      <c r="K74" s="604"/>
      <c r="N74" s="118"/>
      <c r="O74" s="266" t="s">
        <v>553</v>
      </c>
      <c r="P74" s="411">
        <v>132.06</v>
      </c>
      <c r="Q74" s="89">
        <f t="shared" si="27"/>
        <v>43406</v>
      </c>
      <c r="R74" s="88"/>
      <c r="S74" s="88" t="e">
        <f t="shared" si="17"/>
        <v>#VALUE!</v>
      </c>
      <c r="T74" s="3" t="str">
        <f t="shared" si="24"/>
        <v>Đắp đất K95 km 101+820,87-km101+850,79 lớp 27</v>
      </c>
    </row>
    <row r="75" spans="1:20" ht="14.25" outlineLevel="2">
      <c r="A75" s="81">
        <f>SUBTOTAL(103,$B$12:B75)</f>
        <v>64</v>
      </c>
      <c r="B75" s="78">
        <f t="shared" si="18"/>
        <v>43403</v>
      </c>
      <c r="C75" s="571" t="str">
        <f t="shared" si="19"/>
        <v>Đắp đất K95 km 101+820,87-km101+850,79 lớp 28</v>
      </c>
      <c r="D75" s="572"/>
      <c r="E75" s="573"/>
      <c r="F75" s="2">
        <v>138.94800000000001</v>
      </c>
      <c r="G75" s="1">
        <f t="shared" si="20"/>
        <v>138.94800000000001</v>
      </c>
      <c r="H75" s="295">
        <f t="shared" si="21"/>
        <v>138.94800000000001</v>
      </c>
      <c r="I75" s="107">
        <f t="shared" si="22"/>
        <v>138.94800000000001</v>
      </c>
      <c r="J75" s="107">
        <f t="shared" si="23"/>
        <v>138.94800000000001</v>
      </c>
      <c r="K75" s="604"/>
      <c r="N75" s="118"/>
      <c r="O75" s="266" t="s">
        <v>554</v>
      </c>
      <c r="P75" s="411">
        <v>138.94800000000001</v>
      </c>
      <c r="Q75" s="89">
        <f>+Q74-2-1</f>
        <v>43403</v>
      </c>
      <c r="R75" s="88"/>
      <c r="S75" s="88" t="e">
        <f t="shared" si="17"/>
        <v>#VALUE!</v>
      </c>
      <c r="T75" s="3" t="str">
        <f t="shared" si="24"/>
        <v>Đắp đất K95 km 101+820,87-km101+850,79 lớp 28</v>
      </c>
    </row>
    <row r="76" spans="1:20" ht="14.25" outlineLevel="2">
      <c r="A76" s="81">
        <f>SUBTOTAL(103,$B$12:B76)</f>
        <v>65</v>
      </c>
      <c r="B76" s="78">
        <f t="shared" si="18"/>
        <v>43401</v>
      </c>
      <c r="C76" s="571" t="str">
        <f t="shared" si="19"/>
        <v>Đắp đất K95 km 101+820,87-km101+850,79 lớp 29</v>
      </c>
      <c r="D76" s="572"/>
      <c r="E76" s="573"/>
      <c r="F76" s="2">
        <v>146.994</v>
      </c>
      <c r="G76" s="1">
        <f t="shared" si="20"/>
        <v>146.994</v>
      </c>
      <c r="H76" s="295">
        <f t="shared" si="21"/>
        <v>146.994</v>
      </c>
      <c r="I76" s="107">
        <f t="shared" si="22"/>
        <v>146.994</v>
      </c>
      <c r="J76" s="107">
        <f t="shared" si="23"/>
        <v>146.994</v>
      </c>
      <c r="K76" s="604"/>
      <c r="N76" s="118"/>
      <c r="O76" s="266" t="s">
        <v>555</v>
      </c>
      <c r="P76" s="411">
        <v>146.994</v>
      </c>
      <c r="Q76" s="89">
        <f t="shared" ref="Q76:Q83" si="28">+Q75-2</f>
        <v>43401</v>
      </c>
      <c r="R76" s="88"/>
      <c r="S76" s="88" t="e">
        <f t="shared" ref="S76:S83" si="29">VLOOKUP($S$11,hamchuigoi3,M76,0)</f>
        <v>#VALUE!</v>
      </c>
      <c r="T76" s="3" t="str">
        <f t="shared" si="24"/>
        <v>Đắp đất K95 km 101+820,87-km101+850,79 lớp 29</v>
      </c>
    </row>
    <row r="77" spans="1:20" ht="14.25" outlineLevel="2">
      <c r="A77" s="81">
        <f>SUBTOTAL(103,$B$12:B77)</f>
        <v>66</v>
      </c>
      <c r="B77" s="78">
        <f t="shared" si="18"/>
        <v>43399</v>
      </c>
      <c r="C77" s="571" t="str">
        <f t="shared" si="19"/>
        <v>Đắp đất K95 km 101+820,87-km101+850,79 lớp 30</v>
      </c>
      <c r="D77" s="572"/>
      <c r="E77" s="573"/>
      <c r="F77" s="2">
        <v>148.768</v>
      </c>
      <c r="G77" s="1">
        <f t="shared" si="20"/>
        <v>148.768</v>
      </c>
      <c r="H77" s="295">
        <f t="shared" si="21"/>
        <v>148.768</v>
      </c>
      <c r="I77" s="107">
        <f t="shared" si="22"/>
        <v>148.768</v>
      </c>
      <c r="J77" s="107">
        <f t="shared" si="23"/>
        <v>148.768</v>
      </c>
      <c r="K77" s="604"/>
      <c r="N77" s="118"/>
      <c r="O77" s="266" t="s">
        <v>556</v>
      </c>
      <c r="P77" s="411">
        <v>148.768</v>
      </c>
      <c r="Q77" s="89">
        <f t="shared" si="28"/>
        <v>43399</v>
      </c>
      <c r="R77" s="88"/>
      <c r="S77" s="88" t="e">
        <f t="shared" si="29"/>
        <v>#VALUE!</v>
      </c>
      <c r="T77" s="3" t="str">
        <f t="shared" si="24"/>
        <v>Đắp đất K95 km 101+820,87-km101+850,79 lớp 30</v>
      </c>
    </row>
    <row r="78" spans="1:20" ht="14.25" outlineLevel="2">
      <c r="A78" s="81">
        <f>SUBTOTAL(103,$B$12:B78)</f>
        <v>67</v>
      </c>
      <c r="B78" s="78">
        <f t="shared" si="18"/>
        <v>43397</v>
      </c>
      <c r="C78" s="571" t="str">
        <f t="shared" si="19"/>
        <v>Đắp đất K95 km 101+820,87-km101+850,79 lớp 31</v>
      </c>
      <c r="D78" s="572"/>
      <c r="E78" s="573"/>
      <c r="F78" s="2">
        <v>150.16800000000001</v>
      </c>
      <c r="G78" s="1">
        <f t="shared" si="20"/>
        <v>150.16800000000001</v>
      </c>
      <c r="H78" s="295">
        <f t="shared" si="21"/>
        <v>150.16800000000001</v>
      </c>
      <c r="I78" s="107">
        <f t="shared" si="22"/>
        <v>150.16800000000001</v>
      </c>
      <c r="J78" s="107">
        <f t="shared" si="23"/>
        <v>150.16800000000001</v>
      </c>
      <c r="K78" s="604"/>
      <c r="N78" s="118"/>
      <c r="O78" s="266" t="s">
        <v>557</v>
      </c>
      <c r="P78" s="411">
        <v>150.16800000000001</v>
      </c>
      <c r="Q78" s="89">
        <f t="shared" si="28"/>
        <v>43397</v>
      </c>
      <c r="R78" s="88"/>
      <c r="S78" s="88" t="e">
        <f t="shared" si="29"/>
        <v>#VALUE!</v>
      </c>
      <c r="T78" s="3" t="str">
        <f t="shared" si="24"/>
        <v>Đắp đất K95 km 101+820,87-km101+850,79 lớp 31</v>
      </c>
    </row>
    <row r="79" spans="1:20" ht="14.25" outlineLevel="2">
      <c r="A79" s="81">
        <f>SUBTOTAL(103,$B$12:B79)</f>
        <v>68</v>
      </c>
      <c r="B79" s="78">
        <f t="shared" si="18"/>
        <v>43395</v>
      </c>
      <c r="C79" s="571" t="str">
        <f t="shared" si="19"/>
        <v>Đắp đất K95 km 101+820,87-km101+850,79 lớp 32</v>
      </c>
      <c r="D79" s="572"/>
      <c r="E79" s="573"/>
      <c r="F79" s="2">
        <v>144.64500000000001</v>
      </c>
      <c r="G79" s="1">
        <f t="shared" si="20"/>
        <v>144.64500000000001</v>
      </c>
      <c r="H79" s="295">
        <f t="shared" si="21"/>
        <v>144.64500000000001</v>
      </c>
      <c r="I79" s="107">
        <f t="shared" si="22"/>
        <v>144.64500000000001</v>
      </c>
      <c r="J79" s="107">
        <f t="shared" si="23"/>
        <v>144.64500000000001</v>
      </c>
      <c r="K79" s="604"/>
      <c r="N79" s="118"/>
      <c r="O79" s="266" t="s">
        <v>558</v>
      </c>
      <c r="P79" s="411">
        <v>144.64500000000001</v>
      </c>
      <c r="Q79" s="89">
        <f t="shared" si="28"/>
        <v>43395</v>
      </c>
      <c r="R79" s="88"/>
      <c r="S79" s="88" t="e">
        <f t="shared" si="29"/>
        <v>#VALUE!</v>
      </c>
      <c r="T79" s="3" t="str">
        <f t="shared" si="24"/>
        <v>Đắp đất K95 km 101+820,87-km101+850,79 lớp 32</v>
      </c>
    </row>
    <row r="80" spans="1:20" ht="14.25" outlineLevel="2">
      <c r="A80" s="81">
        <f>SUBTOTAL(103,$B$12:B80)</f>
        <v>69</v>
      </c>
      <c r="B80" s="78">
        <f t="shared" si="18"/>
        <v>43393</v>
      </c>
      <c r="C80" s="571" t="str">
        <f t="shared" si="19"/>
        <v>Đắp đất K95 km 101+820,87-km101+850,79 lớp 33</v>
      </c>
      <c r="D80" s="572"/>
      <c r="E80" s="573"/>
      <c r="F80" s="2">
        <v>140.90299999999999</v>
      </c>
      <c r="G80" s="1">
        <f t="shared" si="20"/>
        <v>140.90299999999999</v>
      </c>
      <c r="H80" s="295">
        <f t="shared" si="21"/>
        <v>140.90299999999999</v>
      </c>
      <c r="I80" s="107">
        <f t="shared" si="22"/>
        <v>140.90299999999999</v>
      </c>
      <c r="J80" s="107">
        <f t="shared" si="23"/>
        <v>140.90299999999999</v>
      </c>
      <c r="K80" s="604"/>
      <c r="N80" s="118"/>
      <c r="O80" s="266" t="s">
        <v>559</v>
      </c>
      <c r="P80" s="411">
        <v>140.90299999999999</v>
      </c>
      <c r="Q80" s="89">
        <f t="shared" si="28"/>
        <v>43393</v>
      </c>
      <c r="R80" s="88"/>
      <c r="S80" s="88" t="e">
        <f t="shared" si="29"/>
        <v>#VALUE!</v>
      </c>
      <c r="T80" s="3" t="str">
        <f t="shared" si="24"/>
        <v>Đắp đất K95 km 101+820,87-km101+850,79 lớp 33</v>
      </c>
    </row>
    <row r="81" spans="1:20" ht="14.25" outlineLevel="2">
      <c r="A81" s="81">
        <f>SUBTOTAL(103,$B$12:B81)</f>
        <v>70</v>
      </c>
      <c r="B81" s="78">
        <f t="shared" si="18"/>
        <v>43391</v>
      </c>
      <c r="C81" s="571" t="str">
        <f t="shared" si="19"/>
        <v>Đắp đất K95 km 101+820,87-km101+850,79 lớp 34</v>
      </c>
      <c r="D81" s="572"/>
      <c r="E81" s="573"/>
      <c r="F81" s="2">
        <v>132.34899999999999</v>
      </c>
      <c r="G81" s="1">
        <f t="shared" si="20"/>
        <v>132.34899999999999</v>
      </c>
      <c r="H81" s="295">
        <f t="shared" si="21"/>
        <v>132.34899999999999</v>
      </c>
      <c r="I81" s="107">
        <f t="shared" si="22"/>
        <v>132.34899999999999</v>
      </c>
      <c r="J81" s="107">
        <f t="shared" si="23"/>
        <v>132.34899999999999</v>
      </c>
      <c r="K81" s="604"/>
      <c r="N81" s="118"/>
      <c r="O81" s="266" t="s">
        <v>560</v>
      </c>
      <c r="P81" s="411">
        <v>132.34899999999999</v>
      </c>
      <c r="Q81" s="89">
        <f t="shared" si="28"/>
        <v>43391</v>
      </c>
      <c r="R81" s="88"/>
      <c r="S81" s="88" t="e">
        <f t="shared" si="29"/>
        <v>#VALUE!</v>
      </c>
      <c r="T81" s="3" t="str">
        <f t="shared" si="24"/>
        <v>Đắp đất K95 km 101+820,87-km101+850,79 lớp 34</v>
      </c>
    </row>
    <row r="82" spans="1:20" ht="14.25" outlineLevel="2">
      <c r="A82" s="81">
        <f>SUBTOTAL(103,$B$12:B82)</f>
        <v>71</v>
      </c>
      <c r="B82" s="78">
        <f t="shared" si="18"/>
        <v>43389</v>
      </c>
      <c r="C82" s="571" t="str">
        <f t="shared" si="19"/>
        <v>Đắp đất K95 km 101+820,87-km101+850,79 lớp 35</v>
      </c>
      <c r="D82" s="572"/>
      <c r="E82" s="573"/>
      <c r="F82" s="2">
        <v>105.752</v>
      </c>
      <c r="G82" s="1">
        <f t="shared" si="20"/>
        <v>105.752</v>
      </c>
      <c r="H82" s="295">
        <f t="shared" si="21"/>
        <v>105.752</v>
      </c>
      <c r="I82" s="107">
        <f t="shared" si="22"/>
        <v>105.752</v>
      </c>
      <c r="J82" s="107">
        <f t="shared" si="23"/>
        <v>105.752</v>
      </c>
      <c r="K82" s="604"/>
      <c r="N82" s="118"/>
      <c r="O82" s="266" t="s">
        <v>561</v>
      </c>
      <c r="P82" s="411">
        <v>105.752</v>
      </c>
      <c r="Q82" s="89">
        <f t="shared" si="28"/>
        <v>43389</v>
      </c>
      <c r="R82" s="88"/>
      <c r="S82" s="88" t="e">
        <f t="shared" si="29"/>
        <v>#VALUE!</v>
      </c>
      <c r="T82" s="3" t="str">
        <f t="shared" si="24"/>
        <v>Đắp đất K95 km 101+820,87-km101+850,79 lớp 35</v>
      </c>
    </row>
    <row r="83" spans="1:20" ht="14.25" outlineLevel="2">
      <c r="A83" s="81">
        <f>SUBTOTAL(103,$B$12:B83)</f>
        <v>72</v>
      </c>
      <c r="B83" s="78">
        <f t="shared" si="18"/>
        <v>43387</v>
      </c>
      <c r="C83" s="571" t="str">
        <f t="shared" si="19"/>
        <v>Đắp đất K95 km 101+820,87-km101+850,79 lớp 36</v>
      </c>
      <c r="D83" s="572"/>
      <c r="E83" s="573"/>
      <c r="F83" s="2">
        <v>62.988999999999997</v>
      </c>
      <c r="G83" s="1">
        <f t="shared" si="20"/>
        <v>62.988999999999997</v>
      </c>
      <c r="H83" s="295">
        <f t="shared" si="21"/>
        <v>62.988999999999997</v>
      </c>
      <c r="I83" s="107">
        <f t="shared" si="22"/>
        <v>62.988999999999997</v>
      </c>
      <c r="J83" s="107">
        <f t="shared" si="23"/>
        <v>62.988999999999997</v>
      </c>
      <c r="K83" s="604"/>
      <c r="N83" s="118"/>
      <c r="O83" s="266" t="s">
        <v>562</v>
      </c>
      <c r="P83" s="411">
        <v>62.988999999999997</v>
      </c>
      <c r="Q83" s="89">
        <f t="shared" si="28"/>
        <v>43387</v>
      </c>
      <c r="R83" s="88"/>
      <c r="S83" s="88" t="e">
        <f t="shared" si="29"/>
        <v>#VALUE!</v>
      </c>
      <c r="T83" s="3" t="str">
        <f t="shared" si="24"/>
        <v>Đắp đất K95 km 101+820,87-km101+850,79 lớp 36</v>
      </c>
    </row>
    <row r="84" spans="1:20" ht="14.25" outlineLevel="2">
      <c r="A84" s="81"/>
      <c r="B84" s="78"/>
      <c r="C84" s="571"/>
      <c r="D84" s="572"/>
      <c r="E84" s="573"/>
      <c r="F84" s="27"/>
      <c r="G84" s="33"/>
      <c r="H84" s="31"/>
      <c r="I84" s="107"/>
      <c r="J84" s="107"/>
      <c r="K84" s="82"/>
      <c r="N84" s="118"/>
      <c r="O84" s="118"/>
      <c r="P84" s="88"/>
      <c r="Q84" s="89"/>
      <c r="R84" s="88"/>
      <c r="S84" s="88"/>
      <c r="T84" s="3"/>
    </row>
    <row r="85" spans="1:20" thickBot="1">
      <c r="A85" s="574" t="s">
        <v>4</v>
      </c>
      <c r="B85" s="575"/>
      <c r="C85" s="575"/>
      <c r="D85" s="575"/>
      <c r="E85" s="575"/>
      <c r="F85" s="79">
        <f>'[7]TONG KL '!$I$8</f>
        <v>3467.33</v>
      </c>
      <c r="G85" s="79">
        <f>F85</f>
        <v>3467.33</v>
      </c>
      <c r="H85" s="79">
        <f>MIN(F85:G85)</f>
        <v>3467.33</v>
      </c>
      <c r="I85" s="79">
        <f>H85</f>
        <v>3467.33</v>
      </c>
      <c r="J85" s="277">
        <f>'[5]PKTT ĐỢT 7'!$AA$384</f>
        <v>2838.04</v>
      </c>
      <c r="K85" s="80"/>
      <c r="N85" s="118"/>
      <c r="O85" s="118"/>
      <c r="P85" s="90">
        <f>SUM(P12:P12)</f>
        <v>18.262</v>
      </c>
    </row>
    <row r="86" spans="1:20" s="175" customFormat="1" ht="18" customHeight="1" thickTop="1" thickBot="1">
      <c r="A86" s="263"/>
      <c r="B86" s="263"/>
      <c r="C86" s="263"/>
      <c r="D86" s="263"/>
      <c r="E86" s="263"/>
      <c r="F86" s="116"/>
      <c r="G86" s="116"/>
      <c r="H86" s="116"/>
      <c r="I86" s="116"/>
      <c r="J86" s="116"/>
      <c r="K86" s="117"/>
      <c r="L86" s="4"/>
      <c r="M86" s="4"/>
      <c r="N86" s="118"/>
      <c r="O86" s="118"/>
      <c r="P86" s="119"/>
      <c r="Q86" s="120"/>
      <c r="R86" s="120"/>
      <c r="S86" s="120"/>
      <c r="T86" s="121"/>
    </row>
    <row r="87" spans="1:20" s="5" customFormat="1" ht="13.9" customHeight="1" thickTop="1">
      <c r="A87" s="578" t="s">
        <v>68</v>
      </c>
      <c r="B87" s="579"/>
      <c r="C87" s="579"/>
      <c r="D87" s="579"/>
      <c r="E87" s="579"/>
      <c r="F87" s="580" t="s">
        <v>69</v>
      </c>
      <c r="G87" s="580"/>
      <c r="H87" s="580"/>
      <c r="I87" s="581"/>
      <c r="J87" s="581"/>
      <c r="K87" s="582"/>
      <c r="L87" s="4"/>
      <c r="M87" s="4"/>
      <c r="N87" s="4"/>
      <c r="O87" s="4"/>
      <c r="P87" s="4"/>
    </row>
    <row r="88" spans="1:20" s="5" customFormat="1" ht="13.9" customHeight="1">
      <c r="A88" s="583" t="s">
        <v>5</v>
      </c>
      <c r="B88" s="584"/>
      <c r="C88" s="584"/>
      <c r="D88" s="584"/>
      <c r="E88" s="584"/>
      <c r="F88" s="585" t="s">
        <v>6</v>
      </c>
      <c r="G88" s="585"/>
      <c r="H88" s="585"/>
      <c r="I88" s="586"/>
      <c r="J88" s="586"/>
      <c r="K88" s="587"/>
      <c r="L88" s="4"/>
      <c r="M88" s="4"/>
      <c r="N88" s="4"/>
      <c r="O88" s="4"/>
      <c r="P88" s="4"/>
    </row>
    <row r="89" spans="1:20" s="5" customFormat="1" ht="13.9" customHeight="1">
      <c r="A89" s="583" t="s">
        <v>836</v>
      </c>
      <c r="B89" s="584"/>
      <c r="C89" s="584"/>
      <c r="D89" s="584"/>
      <c r="E89" s="584"/>
      <c r="F89" s="590" t="s">
        <v>837</v>
      </c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20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20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20" s="5" customFormat="1" ht="13.9" customHeight="1">
      <c r="A92" s="583"/>
      <c r="B92" s="584"/>
      <c r="C92" s="584"/>
      <c r="D92" s="584"/>
      <c r="E92" s="584"/>
      <c r="F92" s="590"/>
      <c r="G92" s="590"/>
      <c r="H92" s="590"/>
      <c r="I92" s="591"/>
      <c r="J92" s="591"/>
      <c r="K92" s="592"/>
      <c r="L92" s="4"/>
      <c r="M92" s="4"/>
      <c r="N92" s="4"/>
      <c r="O92" s="4"/>
      <c r="P92" s="4"/>
    </row>
    <row r="93" spans="1:20" s="5" customFormat="1" ht="13.9" customHeight="1">
      <c r="A93" s="583"/>
      <c r="B93" s="584"/>
      <c r="C93" s="584"/>
      <c r="D93" s="584"/>
      <c r="E93" s="584"/>
      <c r="F93" s="590"/>
      <c r="G93" s="590"/>
      <c r="H93" s="590"/>
      <c r="I93" s="591"/>
      <c r="J93" s="591"/>
      <c r="K93" s="592"/>
      <c r="L93" s="4"/>
      <c r="M93" s="4"/>
      <c r="N93" s="4"/>
      <c r="O93" s="4"/>
      <c r="P93" s="4"/>
    </row>
    <row r="94" spans="1:20" s="5" customFormat="1" ht="13.9" customHeight="1">
      <c r="A94" s="583"/>
      <c r="B94" s="584"/>
      <c r="C94" s="584"/>
      <c r="D94" s="584"/>
      <c r="E94" s="584"/>
      <c r="F94" s="590"/>
      <c r="G94" s="590"/>
      <c r="H94" s="590"/>
      <c r="I94" s="591"/>
      <c r="J94" s="591"/>
      <c r="K94" s="592"/>
      <c r="L94" s="4"/>
      <c r="M94" s="4"/>
      <c r="N94" s="4"/>
      <c r="O94" s="4"/>
      <c r="P94" s="4"/>
    </row>
    <row r="95" spans="1:20" s="5" customFormat="1" ht="13.9" customHeight="1" thickBot="1">
      <c r="A95" s="588"/>
      <c r="B95" s="589"/>
      <c r="C95" s="589"/>
      <c r="D95" s="589"/>
      <c r="E95" s="589"/>
      <c r="F95" s="593"/>
      <c r="G95" s="593"/>
      <c r="H95" s="593"/>
      <c r="I95" s="594"/>
      <c r="J95" s="594"/>
      <c r="K95" s="595"/>
      <c r="L95" s="4"/>
      <c r="M95" s="4"/>
      <c r="N95" s="4"/>
      <c r="O95" s="4"/>
      <c r="P95" s="4"/>
    </row>
    <row r="96" spans="1:20" s="175" customFormat="1" ht="18" customHeight="1" thickTop="1">
      <c r="A96" s="263"/>
      <c r="B96" s="263"/>
      <c r="C96" s="263"/>
      <c r="D96" s="263"/>
      <c r="E96" s="263"/>
      <c r="F96" s="116"/>
      <c r="G96" s="116"/>
      <c r="H96" s="116"/>
      <c r="I96" s="116"/>
      <c r="J96" s="116"/>
      <c r="K96" s="117"/>
      <c r="L96" s="118"/>
      <c r="M96" s="118"/>
      <c r="N96" s="118"/>
      <c r="O96" s="118"/>
      <c r="P96" s="119"/>
      <c r="Q96" s="120"/>
      <c r="R96" s="120"/>
      <c r="S96" s="120"/>
      <c r="T96" s="121"/>
    </row>
    <row r="97" spans="1:20" s="111" customFormat="1" ht="48" customHeight="1">
      <c r="A97" s="596" t="s">
        <v>87</v>
      </c>
      <c r="B97" s="596"/>
      <c r="C97" s="596"/>
      <c r="D97" s="596"/>
      <c r="E97" s="596"/>
      <c r="F97" s="596"/>
      <c r="G97" s="596"/>
      <c r="H97" s="596"/>
      <c r="I97" s="596"/>
      <c r="J97" s="596"/>
      <c r="K97" s="596"/>
      <c r="L97" s="108"/>
      <c r="M97" s="109"/>
      <c r="N97" s="110"/>
    </row>
    <row r="98" spans="1:20" s="112" customFormat="1" ht="18" customHeight="1">
      <c r="A98" s="597" t="s">
        <v>599</v>
      </c>
      <c r="B98" s="597"/>
      <c r="C98" s="597"/>
      <c r="D98" s="597"/>
      <c r="E98" s="597"/>
      <c r="F98" s="597"/>
      <c r="G98" s="597"/>
      <c r="H98" s="597"/>
      <c r="I98" s="597"/>
      <c r="J98" s="597"/>
      <c r="K98" s="597"/>
    </row>
    <row r="99" spans="1:20" s="175" customFormat="1" ht="20.100000000000001" customHeight="1">
      <c r="A99" s="598" t="s">
        <v>90</v>
      </c>
      <c r="B99" s="598"/>
      <c r="C99" s="598"/>
      <c r="D99" s="598"/>
      <c r="E99" s="598"/>
      <c r="F99" s="598"/>
      <c r="G99" s="598"/>
      <c r="H99" s="598"/>
      <c r="I99" s="598"/>
      <c r="J99" s="598"/>
      <c r="K99" s="598"/>
      <c r="L99" s="123"/>
      <c r="M99" s="124"/>
      <c r="N99" s="123"/>
      <c r="O99" s="123"/>
      <c r="P99" s="123"/>
      <c r="Q99" s="123"/>
      <c r="R99" s="123"/>
      <c r="S99" s="123"/>
      <c r="T99" s="123"/>
    </row>
    <row r="100" spans="1:20" s="175" customFormat="1" ht="15.95" customHeight="1">
      <c r="A100" s="599" t="s">
        <v>91</v>
      </c>
      <c r="B100" s="599"/>
      <c r="C100" s="599"/>
      <c r="D100" s="599"/>
      <c r="E100" s="599"/>
      <c r="F100" s="599"/>
      <c r="G100" s="599"/>
      <c r="H100" s="599"/>
      <c r="I100" s="599"/>
      <c r="J100" s="599"/>
      <c r="K100" s="599"/>
      <c r="L100" s="123"/>
      <c r="M100" s="124"/>
      <c r="N100" s="123"/>
      <c r="O100" s="123"/>
      <c r="P100" s="123"/>
      <c r="Q100" s="123"/>
      <c r="R100" s="123"/>
      <c r="S100" s="123"/>
      <c r="T100" s="123"/>
    </row>
    <row r="101" spans="1:20" s="175" customFormat="1" ht="15.95" customHeight="1">
      <c r="A101" s="600" t="str">
        <f>A4</f>
        <v>PHẦN C.: CẦU VƯỢT</v>
      </c>
      <c r="B101" s="601"/>
      <c r="C101" s="601"/>
      <c r="D101" s="601"/>
      <c r="E101" s="601"/>
      <c r="F101" s="601"/>
      <c r="G101" s="601"/>
      <c r="H101" s="601"/>
      <c r="I101" s="601"/>
      <c r="J101" s="601"/>
      <c r="K101" s="602"/>
      <c r="L101" s="123"/>
      <c r="M101" s="124"/>
      <c r="N101" s="123"/>
      <c r="O101" s="123"/>
      <c r="P101" s="123"/>
      <c r="Q101" s="123"/>
      <c r="R101" s="123"/>
      <c r="S101" s="123"/>
      <c r="T101" s="123"/>
    </row>
    <row r="102" spans="1:20" s="175" customFormat="1" ht="15.95" customHeight="1">
      <c r="A102" s="264" t="str">
        <f>A5</f>
        <v>Hạng mục C.II.1.7. Đường đầu cầu</v>
      </c>
      <c r="B102" s="265"/>
      <c r="C102" s="127"/>
      <c r="D102" s="127"/>
      <c r="E102" s="128"/>
      <c r="F102" s="129"/>
      <c r="G102" s="129"/>
      <c r="H102" s="129"/>
      <c r="I102" s="129"/>
      <c r="J102" s="129"/>
      <c r="K102" s="130"/>
      <c r="L102" s="123"/>
      <c r="M102" s="124"/>
      <c r="N102" s="123"/>
      <c r="O102" s="123"/>
      <c r="P102" s="123"/>
      <c r="Q102" s="123"/>
      <c r="R102" s="123"/>
      <c r="S102" s="123"/>
      <c r="T102" s="123"/>
    </row>
    <row r="103" spans="1:20" s="175" customFormat="1" ht="15.95" customHeight="1">
      <c r="A103" s="264" t="str">
        <f>A6</f>
        <v>Mục C.II.1.7.3. Đắp đất K95</v>
      </c>
      <c r="B103" s="265"/>
      <c r="C103" s="127"/>
      <c r="D103" s="127"/>
      <c r="E103" s="128"/>
      <c r="F103" s="129"/>
      <c r="G103" s="129"/>
      <c r="H103" s="129"/>
      <c r="I103" s="129"/>
      <c r="J103" s="129"/>
      <c r="K103" s="130"/>
      <c r="L103" s="123"/>
      <c r="M103" s="124"/>
      <c r="N103" s="123"/>
      <c r="O103" s="123"/>
      <c r="P103" s="123"/>
      <c r="Q103" s="123"/>
      <c r="R103" s="123"/>
      <c r="S103" s="123"/>
      <c r="T103" s="123"/>
    </row>
    <row r="104" spans="1:20" s="175" customFormat="1" ht="15.95" customHeight="1">
      <c r="A104" s="639">
        <f>A7</f>
        <v>3467.33</v>
      </c>
      <c r="B104" s="640"/>
      <c r="C104" s="640"/>
      <c r="D104" s="640"/>
      <c r="E104" s="131" t="str">
        <f>E7</f>
        <v>(m3)</v>
      </c>
      <c r="F104" s="132"/>
      <c r="G104" s="132"/>
      <c r="H104" s="132"/>
      <c r="I104" s="132"/>
      <c r="J104" s="132"/>
      <c r="K104" s="133"/>
      <c r="L104" s="173"/>
      <c r="M104" s="135"/>
      <c r="N104" s="174"/>
      <c r="P104" s="174"/>
    </row>
    <row r="105" spans="1:20" s="5" customFormat="1" ht="13.5" customHeight="1" thickBot="1">
      <c r="A105" s="28"/>
      <c r="B105" s="28"/>
      <c r="C105" s="28"/>
      <c r="D105" s="28"/>
      <c r="E105" s="28"/>
      <c r="F105" s="30"/>
      <c r="G105" s="30"/>
      <c r="H105" s="30"/>
      <c r="I105" s="30"/>
      <c r="J105" s="30"/>
      <c r="K105" s="8"/>
      <c r="L105" s="23"/>
      <c r="M105" s="9"/>
      <c r="N105" s="4"/>
      <c r="O105" s="4"/>
      <c r="P105" s="4"/>
      <c r="R105" s="4"/>
      <c r="S105" s="4"/>
      <c r="T105" s="4"/>
    </row>
    <row r="106" spans="1:20" s="5" customFormat="1" ht="21.6" customHeight="1" thickTop="1">
      <c r="A106" s="576" t="s">
        <v>3</v>
      </c>
      <c r="B106" s="641" t="s">
        <v>84</v>
      </c>
      <c r="C106" s="641"/>
      <c r="D106" s="643" t="s">
        <v>96</v>
      </c>
      <c r="E106" s="643"/>
      <c r="F106" s="643"/>
      <c r="G106" s="643"/>
      <c r="H106" s="641" t="s">
        <v>89</v>
      </c>
      <c r="I106" s="641"/>
      <c r="J106" s="641" t="s">
        <v>85</v>
      </c>
      <c r="K106" s="645"/>
      <c r="L106"/>
      <c r="M106" s="94"/>
      <c r="N106" s="94"/>
      <c r="O106" s="95"/>
      <c r="P106" s="96"/>
    </row>
    <row r="107" spans="1:20" s="5" customFormat="1" ht="21.6" customHeight="1">
      <c r="A107" s="577"/>
      <c r="B107" s="642"/>
      <c r="C107" s="642"/>
      <c r="D107" s="644"/>
      <c r="E107" s="644"/>
      <c r="F107" s="644"/>
      <c r="G107" s="644"/>
      <c r="H107" s="642"/>
      <c r="I107" s="642"/>
      <c r="J107" s="642"/>
      <c r="K107" s="646"/>
      <c r="L107"/>
      <c r="M107" s="97"/>
      <c r="N107" s="97"/>
      <c r="O107" s="98"/>
      <c r="P107" s="99"/>
    </row>
    <row r="108" spans="1:20" s="5" customFormat="1" ht="17.100000000000001" customHeight="1">
      <c r="A108" s="100">
        <v>1</v>
      </c>
      <c r="B108" s="623" t="str">
        <f>"Tháng "&amp;IF(L108&lt;10,0&amp;L108&amp;"/"&amp;M108,L108&amp;"/"&amp;M108)</f>
        <v>Tháng 08/2017</v>
      </c>
      <c r="C108" s="623"/>
      <c r="D108" s="624" t="str">
        <f>N6</f>
        <v>Đắp đất K95</v>
      </c>
      <c r="E108" s="624"/>
      <c r="F108" s="624"/>
      <c r="G108" s="624"/>
      <c r="H108" s="625">
        <f t="shared" ref="H108:H131" si="30">+SUMIFS($I$12:$I$84,$B$12:$B$84,"&gt;="&amp;$O108,$B$12:$B$84,"&lt;="&amp;$P108)</f>
        <v>0</v>
      </c>
      <c r="I108" s="625"/>
      <c r="J108" s="623"/>
      <c r="K108" s="626"/>
      <c r="L108">
        <v>8</v>
      </c>
      <c r="M108" s="101">
        <v>2017</v>
      </c>
      <c r="N108" s="97"/>
      <c r="O108" s="103">
        <f t="shared" ref="O108:O132" si="31">DATE(M108,L108,1)</f>
        <v>42948</v>
      </c>
      <c r="P108" s="103">
        <f t="shared" ref="P108:P132" si="32">DATE(M108,L108+1,0)</f>
        <v>42978</v>
      </c>
    </row>
    <row r="109" spans="1:20" s="5" customFormat="1" ht="17.100000000000001" customHeight="1">
      <c r="A109" s="104">
        <v>2</v>
      </c>
      <c r="B109" s="567" t="str">
        <f t="shared" ref="B109:B133" si="33">"Tháng "&amp;IF(L109&lt;10,0&amp;L109&amp;"/"&amp;M109,L109&amp;"/"&amp;M109)</f>
        <v>Tháng 09/2017</v>
      </c>
      <c r="C109" s="567"/>
      <c r="D109" s="568" t="str">
        <f>D108</f>
        <v>Đắp đất K95</v>
      </c>
      <c r="E109" s="568"/>
      <c r="F109" s="568"/>
      <c r="G109" s="568"/>
      <c r="H109" s="569">
        <f t="shared" si="30"/>
        <v>0</v>
      </c>
      <c r="I109" s="569"/>
      <c r="J109" s="567"/>
      <c r="K109" s="570"/>
      <c r="L109">
        <v>9</v>
      </c>
      <c r="M109" s="101">
        <v>2017</v>
      </c>
      <c r="N109"/>
      <c r="O109" s="103">
        <f t="shared" si="31"/>
        <v>42979</v>
      </c>
      <c r="P109" s="103">
        <f t="shared" si="32"/>
        <v>43008</v>
      </c>
    </row>
    <row r="110" spans="1:20" s="5" customFormat="1" ht="17.100000000000001" customHeight="1">
      <c r="A110" s="104">
        <f>A109+1</f>
        <v>3</v>
      </c>
      <c r="B110" s="567" t="str">
        <f t="shared" si="33"/>
        <v>Tháng 10/2017</v>
      </c>
      <c r="C110" s="567"/>
      <c r="D110" s="568" t="str">
        <f t="shared" ref="D110:D132" si="34">D109</f>
        <v>Đắp đất K95</v>
      </c>
      <c r="E110" s="568"/>
      <c r="F110" s="568"/>
      <c r="G110" s="568"/>
      <c r="H110" s="569">
        <f t="shared" si="30"/>
        <v>0</v>
      </c>
      <c r="I110" s="569"/>
      <c r="J110" s="567"/>
      <c r="K110" s="570"/>
      <c r="L110">
        <v>10</v>
      </c>
      <c r="M110" s="101">
        <v>2017</v>
      </c>
      <c r="N110"/>
      <c r="O110" s="103">
        <f t="shared" si="31"/>
        <v>43009</v>
      </c>
      <c r="P110" s="103">
        <f t="shared" si="32"/>
        <v>43039</v>
      </c>
    </row>
    <row r="111" spans="1:20" s="5" customFormat="1" ht="17.100000000000001" customHeight="1">
      <c r="A111" s="104">
        <f t="shared" ref="A111:A133" si="35">A110+1</f>
        <v>4</v>
      </c>
      <c r="B111" s="567" t="str">
        <f t="shared" si="33"/>
        <v>Tháng 11/2017</v>
      </c>
      <c r="C111" s="567"/>
      <c r="D111" s="568" t="str">
        <f t="shared" si="34"/>
        <v>Đắp đất K95</v>
      </c>
      <c r="E111" s="568"/>
      <c r="F111" s="568"/>
      <c r="G111" s="568"/>
      <c r="H111" s="569">
        <f t="shared" si="30"/>
        <v>0</v>
      </c>
      <c r="I111" s="569"/>
      <c r="J111" s="567"/>
      <c r="K111" s="570"/>
      <c r="L111">
        <v>11</v>
      </c>
      <c r="M111" s="101">
        <v>2017</v>
      </c>
      <c r="N111"/>
      <c r="O111" s="103">
        <f t="shared" si="31"/>
        <v>43040</v>
      </c>
      <c r="P111" s="103">
        <f t="shared" si="32"/>
        <v>43069</v>
      </c>
    </row>
    <row r="112" spans="1:20" s="5" customFormat="1" ht="17.100000000000001" customHeight="1">
      <c r="A112" s="104">
        <f t="shared" si="35"/>
        <v>5</v>
      </c>
      <c r="B112" s="567" t="str">
        <f t="shared" si="33"/>
        <v>Tháng 12/2017</v>
      </c>
      <c r="C112" s="567"/>
      <c r="D112" s="568" t="str">
        <f t="shared" si="34"/>
        <v>Đắp đất K95</v>
      </c>
      <c r="E112" s="568"/>
      <c r="F112" s="568"/>
      <c r="G112" s="568"/>
      <c r="H112" s="569">
        <f t="shared" si="30"/>
        <v>0</v>
      </c>
      <c r="I112" s="569"/>
      <c r="J112" s="567"/>
      <c r="K112" s="570"/>
      <c r="L112">
        <v>12</v>
      </c>
      <c r="M112" s="101">
        <v>2017</v>
      </c>
      <c r="N112"/>
      <c r="O112" s="103">
        <f t="shared" si="31"/>
        <v>43070</v>
      </c>
      <c r="P112" s="103">
        <f t="shared" si="32"/>
        <v>43100</v>
      </c>
    </row>
    <row r="113" spans="1:16" s="5" customFormat="1" ht="17.100000000000001" customHeight="1">
      <c r="A113" s="104">
        <f t="shared" si="35"/>
        <v>6</v>
      </c>
      <c r="B113" s="567" t="str">
        <f t="shared" si="33"/>
        <v>Tháng 01/2018</v>
      </c>
      <c r="C113" s="567"/>
      <c r="D113" s="568" t="str">
        <f t="shared" si="34"/>
        <v>Đắp đất K95</v>
      </c>
      <c r="E113" s="568"/>
      <c r="F113" s="568"/>
      <c r="G113" s="568"/>
      <c r="H113" s="569">
        <f t="shared" si="30"/>
        <v>0</v>
      </c>
      <c r="I113" s="569"/>
      <c r="J113" s="567"/>
      <c r="K113" s="570"/>
      <c r="L113">
        <v>1</v>
      </c>
      <c r="M113" s="101">
        <v>2018</v>
      </c>
      <c r="N113"/>
      <c r="O113" s="103">
        <f t="shared" si="31"/>
        <v>43101</v>
      </c>
      <c r="P113" s="103">
        <f t="shared" si="32"/>
        <v>43131</v>
      </c>
    </row>
    <row r="114" spans="1:16" s="5" customFormat="1" ht="17.100000000000001" customHeight="1">
      <c r="A114" s="104">
        <f t="shared" si="35"/>
        <v>7</v>
      </c>
      <c r="B114" s="567" t="str">
        <f t="shared" si="33"/>
        <v>Tháng 02/2018</v>
      </c>
      <c r="C114" s="567"/>
      <c r="D114" s="568" t="str">
        <f t="shared" si="34"/>
        <v>Đắp đất K95</v>
      </c>
      <c r="E114" s="568"/>
      <c r="F114" s="568"/>
      <c r="G114" s="568"/>
      <c r="H114" s="569">
        <f t="shared" si="30"/>
        <v>0</v>
      </c>
      <c r="I114" s="569"/>
      <c r="J114" s="567"/>
      <c r="K114" s="570"/>
      <c r="L114">
        <v>2</v>
      </c>
      <c r="M114" s="101">
        <v>2018</v>
      </c>
      <c r="N114"/>
      <c r="O114" s="103">
        <f t="shared" si="31"/>
        <v>43132</v>
      </c>
      <c r="P114" s="103">
        <f t="shared" si="32"/>
        <v>43159</v>
      </c>
    </row>
    <row r="115" spans="1:16" s="5" customFormat="1" ht="17.100000000000001" customHeight="1">
      <c r="A115" s="104">
        <f t="shared" si="35"/>
        <v>8</v>
      </c>
      <c r="B115" s="567" t="str">
        <f t="shared" si="33"/>
        <v>Tháng 03/2018</v>
      </c>
      <c r="C115" s="567"/>
      <c r="D115" s="568" t="str">
        <f t="shared" si="34"/>
        <v>Đắp đất K95</v>
      </c>
      <c r="E115" s="568"/>
      <c r="F115" s="568"/>
      <c r="G115" s="568"/>
      <c r="H115" s="569">
        <f t="shared" si="30"/>
        <v>0</v>
      </c>
      <c r="I115" s="569"/>
      <c r="J115" s="567"/>
      <c r="K115" s="570"/>
      <c r="L115">
        <v>3</v>
      </c>
      <c r="M115" s="101">
        <v>2018</v>
      </c>
      <c r="N115"/>
      <c r="O115" s="103">
        <f t="shared" si="31"/>
        <v>43160</v>
      </c>
      <c r="P115" s="103">
        <f t="shared" si="32"/>
        <v>43190</v>
      </c>
    </row>
    <row r="116" spans="1:16" s="5" customFormat="1" ht="17.100000000000001" customHeight="1">
      <c r="A116" s="104">
        <f t="shared" si="35"/>
        <v>9</v>
      </c>
      <c r="B116" s="567" t="str">
        <f t="shared" si="33"/>
        <v>Tháng 04/2018</v>
      </c>
      <c r="C116" s="567"/>
      <c r="D116" s="568" t="str">
        <f t="shared" si="34"/>
        <v>Đắp đất K95</v>
      </c>
      <c r="E116" s="568"/>
      <c r="F116" s="568"/>
      <c r="G116" s="568"/>
      <c r="H116" s="569">
        <f t="shared" si="30"/>
        <v>0</v>
      </c>
      <c r="I116" s="569"/>
      <c r="J116" s="567"/>
      <c r="K116" s="570"/>
      <c r="L116">
        <v>4</v>
      </c>
      <c r="M116" s="101">
        <v>2018</v>
      </c>
      <c r="N116"/>
      <c r="O116" s="103">
        <f t="shared" si="31"/>
        <v>43191</v>
      </c>
      <c r="P116" s="103">
        <f t="shared" si="32"/>
        <v>43220</v>
      </c>
    </row>
    <row r="117" spans="1:16" s="5" customFormat="1" ht="17.100000000000001" customHeight="1">
      <c r="A117" s="104">
        <f t="shared" si="35"/>
        <v>10</v>
      </c>
      <c r="B117" s="567" t="str">
        <f t="shared" si="33"/>
        <v>Tháng 05/2018</v>
      </c>
      <c r="C117" s="567"/>
      <c r="D117" s="568" t="str">
        <f t="shared" si="34"/>
        <v>Đắp đất K95</v>
      </c>
      <c r="E117" s="568"/>
      <c r="F117" s="568"/>
      <c r="G117" s="568"/>
      <c r="H117" s="569">
        <f t="shared" si="30"/>
        <v>0</v>
      </c>
      <c r="I117" s="569"/>
      <c r="J117" s="567"/>
      <c r="K117" s="570"/>
      <c r="L117">
        <v>5</v>
      </c>
      <c r="M117" s="101">
        <v>2018</v>
      </c>
      <c r="N117"/>
      <c r="O117" s="103">
        <f t="shared" si="31"/>
        <v>43221</v>
      </c>
      <c r="P117" s="103">
        <f t="shared" si="32"/>
        <v>43251</v>
      </c>
    </row>
    <row r="118" spans="1:16" s="5" customFormat="1" ht="17.100000000000001" customHeight="1">
      <c r="A118" s="104">
        <f t="shared" si="35"/>
        <v>11</v>
      </c>
      <c r="B118" s="567" t="str">
        <f t="shared" si="33"/>
        <v>Tháng 06/2018</v>
      </c>
      <c r="C118" s="567"/>
      <c r="D118" s="568" t="str">
        <f t="shared" si="34"/>
        <v>Đắp đất K95</v>
      </c>
      <c r="E118" s="568"/>
      <c r="F118" s="568"/>
      <c r="G118" s="568"/>
      <c r="H118" s="569">
        <f t="shared" si="30"/>
        <v>0</v>
      </c>
      <c r="I118" s="569"/>
      <c r="J118" s="567"/>
      <c r="K118" s="570"/>
      <c r="L118">
        <v>6</v>
      </c>
      <c r="M118" s="101">
        <v>2018</v>
      </c>
      <c r="N118"/>
      <c r="O118" s="103">
        <f t="shared" si="31"/>
        <v>43252</v>
      </c>
      <c r="P118" s="103">
        <f t="shared" si="32"/>
        <v>43281</v>
      </c>
    </row>
    <row r="119" spans="1:16" s="5" customFormat="1" ht="17.100000000000001" customHeight="1">
      <c r="A119" s="104">
        <f t="shared" si="35"/>
        <v>12</v>
      </c>
      <c r="B119" s="567" t="str">
        <f t="shared" si="33"/>
        <v>Tháng 07/2018</v>
      </c>
      <c r="C119" s="567"/>
      <c r="D119" s="568" t="str">
        <f t="shared" si="34"/>
        <v>Đắp đất K95</v>
      </c>
      <c r="E119" s="568"/>
      <c r="F119" s="568"/>
      <c r="G119" s="568"/>
      <c r="H119" s="569">
        <f t="shared" si="30"/>
        <v>0</v>
      </c>
      <c r="I119" s="569"/>
      <c r="J119" s="567"/>
      <c r="K119" s="570"/>
      <c r="L119">
        <v>7</v>
      </c>
      <c r="M119" s="101">
        <v>2018</v>
      </c>
      <c r="N119"/>
      <c r="O119" s="103">
        <f t="shared" si="31"/>
        <v>43282</v>
      </c>
      <c r="P119" s="103">
        <f t="shared" si="32"/>
        <v>43312</v>
      </c>
    </row>
    <row r="120" spans="1:16" s="5" customFormat="1" ht="17.100000000000001" customHeight="1">
      <c r="A120" s="104">
        <f t="shared" si="35"/>
        <v>13</v>
      </c>
      <c r="B120" s="567" t="str">
        <f t="shared" si="33"/>
        <v>Tháng 08/2018</v>
      </c>
      <c r="C120" s="567"/>
      <c r="D120" s="568" t="str">
        <f t="shared" si="34"/>
        <v>Đắp đất K95</v>
      </c>
      <c r="E120" s="568"/>
      <c r="F120" s="568"/>
      <c r="G120" s="568"/>
      <c r="H120" s="569">
        <f t="shared" si="30"/>
        <v>0</v>
      </c>
      <c r="I120" s="569"/>
      <c r="J120" s="567"/>
      <c r="K120" s="570"/>
      <c r="L120">
        <v>8</v>
      </c>
      <c r="M120" s="101">
        <v>2018</v>
      </c>
      <c r="N120"/>
      <c r="O120" s="103">
        <f t="shared" si="31"/>
        <v>43313</v>
      </c>
      <c r="P120" s="103">
        <f t="shared" si="32"/>
        <v>43343</v>
      </c>
    </row>
    <row r="121" spans="1:16" s="5" customFormat="1" ht="17.100000000000001" customHeight="1">
      <c r="A121" s="104">
        <f t="shared" si="35"/>
        <v>14</v>
      </c>
      <c r="B121" s="567" t="str">
        <f t="shared" si="33"/>
        <v>Tháng 09/2018</v>
      </c>
      <c r="C121" s="567"/>
      <c r="D121" s="568" t="str">
        <f t="shared" si="34"/>
        <v>Đắp đất K95</v>
      </c>
      <c r="E121" s="568"/>
      <c r="F121" s="568"/>
      <c r="G121" s="568"/>
      <c r="H121" s="569">
        <f t="shared" si="30"/>
        <v>0</v>
      </c>
      <c r="I121" s="569"/>
      <c r="J121" s="567"/>
      <c r="K121" s="570"/>
      <c r="L121">
        <v>9</v>
      </c>
      <c r="M121" s="101">
        <v>2018</v>
      </c>
      <c r="N121"/>
      <c r="O121" s="103">
        <f t="shared" si="31"/>
        <v>43344</v>
      </c>
      <c r="P121" s="103">
        <f t="shared" si="32"/>
        <v>43373</v>
      </c>
    </row>
    <row r="122" spans="1:16" s="5" customFormat="1" ht="17.100000000000001" customHeight="1">
      <c r="A122" s="104">
        <f t="shared" si="35"/>
        <v>15</v>
      </c>
      <c r="B122" s="567" t="str">
        <f t="shared" si="33"/>
        <v>Tháng 10/2018</v>
      </c>
      <c r="C122" s="567"/>
      <c r="D122" s="568" t="str">
        <f t="shared" si="34"/>
        <v>Đắp đất K95</v>
      </c>
      <c r="E122" s="568"/>
      <c r="F122" s="568"/>
      <c r="G122" s="568"/>
      <c r="H122" s="569">
        <f t="shared" si="30"/>
        <v>2014.116</v>
      </c>
      <c r="I122" s="569"/>
      <c r="J122" s="567"/>
      <c r="K122" s="570"/>
      <c r="L122">
        <v>10</v>
      </c>
      <c r="M122" s="101">
        <v>2018</v>
      </c>
      <c r="N122"/>
      <c r="O122" s="103">
        <f t="shared" si="31"/>
        <v>43374</v>
      </c>
      <c r="P122" s="103">
        <f t="shared" si="32"/>
        <v>43404</v>
      </c>
    </row>
    <row r="123" spans="1:16" s="5" customFormat="1" ht="17.100000000000001" customHeight="1">
      <c r="A123" s="104">
        <f t="shared" si="35"/>
        <v>16</v>
      </c>
      <c r="B123" s="567" t="str">
        <f t="shared" si="33"/>
        <v>Tháng 11/2018</v>
      </c>
      <c r="C123" s="567"/>
      <c r="D123" s="568" t="str">
        <f t="shared" si="34"/>
        <v>Đắp đất K95</v>
      </c>
      <c r="E123" s="568"/>
      <c r="F123" s="568"/>
      <c r="G123" s="568"/>
      <c r="H123" s="569">
        <f>H85-H122</f>
        <v>1453.2139999999999</v>
      </c>
      <c r="I123" s="569"/>
      <c r="J123" s="567"/>
      <c r="K123" s="570"/>
      <c r="L123">
        <v>11</v>
      </c>
      <c r="M123" s="101">
        <v>2018</v>
      </c>
      <c r="N123"/>
      <c r="O123" s="103">
        <f t="shared" si="31"/>
        <v>43405</v>
      </c>
      <c r="P123" s="103">
        <f t="shared" si="32"/>
        <v>43434</v>
      </c>
    </row>
    <row r="124" spans="1:16" s="5" customFormat="1" ht="17.100000000000001" customHeight="1">
      <c r="A124" s="104">
        <f t="shared" si="35"/>
        <v>17</v>
      </c>
      <c r="B124" s="567" t="str">
        <f t="shared" si="33"/>
        <v>Tháng 12/2018</v>
      </c>
      <c r="C124" s="567"/>
      <c r="D124" s="568" t="str">
        <f t="shared" si="34"/>
        <v>Đắp đất K95</v>
      </c>
      <c r="E124" s="568"/>
      <c r="F124" s="568"/>
      <c r="G124" s="568"/>
      <c r="H124" s="569">
        <v>0</v>
      </c>
      <c r="I124" s="569"/>
      <c r="J124" s="567"/>
      <c r="K124" s="570"/>
      <c r="L124">
        <v>12</v>
      </c>
      <c r="M124" s="101">
        <v>2018</v>
      </c>
      <c r="N124"/>
      <c r="O124" s="103">
        <f t="shared" si="31"/>
        <v>43435</v>
      </c>
      <c r="P124" s="103">
        <f t="shared" si="32"/>
        <v>43465</v>
      </c>
    </row>
    <row r="125" spans="1:16" s="5" customFormat="1" ht="17.100000000000001" customHeight="1">
      <c r="A125" s="104">
        <f t="shared" si="35"/>
        <v>18</v>
      </c>
      <c r="B125" s="567" t="str">
        <f t="shared" si="33"/>
        <v>Tháng 01/2019</v>
      </c>
      <c r="C125" s="567"/>
      <c r="D125" s="568" t="str">
        <f t="shared" si="34"/>
        <v>Đắp đất K95</v>
      </c>
      <c r="E125" s="568"/>
      <c r="F125" s="568"/>
      <c r="G125" s="568"/>
      <c r="H125" s="569">
        <f t="shared" si="30"/>
        <v>0</v>
      </c>
      <c r="I125" s="569"/>
      <c r="J125" s="567"/>
      <c r="K125" s="570"/>
      <c r="L125">
        <v>1</v>
      </c>
      <c r="M125" s="101">
        <v>2019</v>
      </c>
      <c r="N125"/>
      <c r="O125" s="103">
        <f t="shared" si="31"/>
        <v>43466</v>
      </c>
      <c r="P125" s="103">
        <f t="shared" si="32"/>
        <v>43496</v>
      </c>
    </row>
    <row r="126" spans="1:16" s="5" customFormat="1" ht="17.100000000000001" customHeight="1">
      <c r="A126" s="104">
        <f t="shared" si="35"/>
        <v>19</v>
      </c>
      <c r="B126" s="567" t="str">
        <f t="shared" si="33"/>
        <v>Tháng 02/2019</v>
      </c>
      <c r="C126" s="567"/>
      <c r="D126" s="568" t="str">
        <f t="shared" si="34"/>
        <v>Đắp đất K95</v>
      </c>
      <c r="E126" s="568"/>
      <c r="F126" s="568"/>
      <c r="G126" s="568"/>
      <c r="H126" s="569">
        <f t="shared" si="30"/>
        <v>0</v>
      </c>
      <c r="I126" s="569"/>
      <c r="J126" s="567"/>
      <c r="K126" s="570"/>
      <c r="L126">
        <v>2</v>
      </c>
      <c r="M126" s="101">
        <v>2019</v>
      </c>
      <c r="N126"/>
      <c r="O126" s="103">
        <f t="shared" si="31"/>
        <v>43497</v>
      </c>
      <c r="P126" s="103">
        <f t="shared" si="32"/>
        <v>43524</v>
      </c>
    </row>
    <row r="127" spans="1:16" s="5" customFormat="1" ht="17.100000000000001" customHeight="1">
      <c r="A127" s="104">
        <f t="shared" si="35"/>
        <v>20</v>
      </c>
      <c r="B127" s="567" t="str">
        <f t="shared" si="33"/>
        <v>Tháng 03/2019</v>
      </c>
      <c r="C127" s="567"/>
      <c r="D127" s="568" t="str">
        <f t="shared" si="34"/>
        <v>Đắp đất K95</v>
      </c>
      <c r="E127" s="568"/>
      <c r="F127" s="568"/>
      <c r="G127" s="568"/>
      <c r="H127" s="569">
        <f t="shared" si="30"/>
        <v>0</v>
      </c>
      <c r="I127" s="569"/>
      <c r="J127" s="567"/>
      <c r="K127" s="570"/>
      <c r="L127">
        <v>3</v>
      </c>
      <c r="M127" s="101">
        <v>2019</v>
      </c>
      <c r="N127"/>
      <c r="O127" s="103">
        <f t="shared" si="31"/>
        <v>43525</v>
      </c>
      <c r="P127" s="103">
        <f t="shared" si="32"/>
        <v>43555</v>
      </c>
    </row>
    <row r="128" spans="1:16" s="5" customFormat="1" ht="17.100000000000001" customHeight="1">
      <c r="A128" s="104">
        <f t="shared" si="35"/>
        <v>21</v>
      </c>
      <c r="B128" s="567" t="str">
        <f t="shared" si="33"/>
        <v>Tháng 04/2019</v>
      </c>
      <c r="C128" s="567"/>
      <c r="D128" s="568" t="str">
        <f t="shared" si="34"/>
        <v>Đắp đất K95</v>
      </c>
      <c r="E128" s="568"/>
      <c r="F128" s="568"/>
      <c r="G128" s="568"/>
      <c r="H128" s="569">
        <f t="shared" si="30"/>
        <v>0</v>
      </c>
      <c r="I128" s="569"/>
      <c r="J128" s="567"/>
      <c r="K128" s="570"/>
      <c r="L128">
        <v>4</v>
      </c>
      <c r="M128" s="101">
        <v>2019</v>
      </c>
      <c r="N128"/>
      <c r="O128" s="103">
        <f t="shared" si="31"/>
        <v>43556</v>
      </c>
      <c r="P128" s="103">
        <f t="shared" si="32"/>
        <v>43585</v>
      </c>
    </row>
    <row r="129" spans="1:16" s="5" customFormat="1" ht="17.100000000000001" customHeight="1">
      <c r="A129" s="104">
        <f t="shared" si="35"/>
        <v>22</v>
      </c>
      <c r="B129" s="567" t="str">
        <f t="shared" si="33"/>
        <v>Tháng 05/2019</v>
      </c>
      <c r="C129" s="567"/>
      <c r="D129" s="568" t="str">
        <f t="shared" si="34"/>
        <v>Đắp đất K95</v>
      </c>
      <c r="E129" s="568"/>
      <c r="F129" s="568"/>
      <c r="G129" s="568"/>
      <c r="H129" s="569">
        <f t="shared" si="30"/>
        <v>0</v>
      </c>
      <c r="I129" s="569"/>
      <c r="J129" s="567"/>
      <c r="K129" s="570"/>
      <c r="L129">
        <v>5</v>
      </c>
      <c r="M129" s="101">
        <v>2019</v>
      </c>
      <c r="N129"/>
      <c r="O129" s="103">
        <f t="shared" si="31"/>
        <v>43586</v>
      </c>
      <c r="P129" s="103">
        <f t="shared" si="32"/>
        <v>43616</v>
      </c>
    </row>
    <row r="130" spans="1:16" s="5" customFormat="1" ht="17.100000000000001" customHeight="1">
      <c r="A130" s="104">
        <f t="shared" si="35"/>
        <v>23</v>
      </c>
      <c r="B130" s="567" t="str">
        <f t="shared" si="33"/>
        <v>Tháng 06/2019</v>
      </c>
      <c r="C130" s="567"/>
      <c r="D130" s="568" t="str">
        <f t="shared" si="34"/>
        <v>Đắp đất K95</v>
      </c>
      <c r="E130" s="568"/>
      <c r="F130" s="568"/>
      <c r="G130" s="568"/>
      <c r="H130" s="569">
        <f t="shared" si="30"/>
        <v>0</v>
      </c>
      <c r="I130" s="569"/>
      <c r="J130" s="567"/>
      <c r="K130" s="570"/>
      <c r="L130">
        <v>6</v>
      </c>
      <c r="M130" s="101">
        <v>2019</v>
      </c>
      <c r="N130"/>
      <c r="O130" s="103">
        <f t="shared" si="31"/>
        <v>43617</v>
      </c>
      <c r="P130" s="103">
        <f t="shared" si="32"/>
        <v>43646</v>
      </c>
    </row>
    <row r="131" spans="1:16" s="5" customFormat="1" ht="17.100000000000001" customHeight="1">
      <c r="A131" s="104">
        <f t="shared" si="35"/>
        <v>24</v>
      </c>
      <c r="B131" s="567" t="str">
        <f t="shared" si="33"/>
        <v>Tháng 07/2019</v>
      </c>
      <c r="C131" s="567"/>
      <c r="D131" s="568" t="str">
        <f t="shared" si="34"/>
        <v>Đắp đất K95</v>
      </c>
      <c r="E131" s="568"/>
      <c r="F131" s="568"/>
      <c r="G131" s="568"/>
      <c r="H131" s="569">
        <f t="shared" si="30"/>
        <v>0</v>
      </c>
      <c r="I131" s="569"/>
      <c r="J131" s="567"/>
      <c r="K131" s="570"/>
      <c r="L131">
        <v>7</v>
      </c>
      <c r="M131" s="101">
        <v>2019</v>
      </c>
      <c r="N131"/>
      <c r="O131" s="103">
        <f t="shared" si="31"/>
        <v>43647</v>
      </c>
      <c r="P131" s="103">
        <f t="shared" si="32"/>
        <v>43677</v>
      </c>
    </row>
    <row r="132" spans="1:16" s="5" customFormat="1" ht="17.100000000000001" customHeight="1">
      <c r="A132" s="104">
        <f t="shared" si="35"/>
        <v>25</v>
      </c>
      <c r="B132" s="567" t="str">
        <f t="shared" si="33"/>
        <v>Tháng 08/2019</v>
      </c>
      <c r="C132" s="567"/>
      <c r="D132" s="568" t="str">
        <f t="shared" si="34"/>
        <v>Đắp đất K95</v>
      </c>
      <c r="E132" s="568"/>
      <c r="F132" s="568"/>
      <c r="G132" s="568"/>
      <c r="H132" s="569">
        <f t="shared" ref="H132:H133" si="36">+SUMIFS($I$12:$I$35,$B$12:$B$35,"&gt;="&amp;$O132,$B$12:$B$35,"&lt;="&amp;$P132)</f>
        <v>0</v>
      </c>
      <c r="I132" s="569"/>
      <c r="J132" s="567"/>
      <c r="K132" s="570"/>
      <c r="L132">
        <v>8</v>
      </c>
      <c r="M132" s="101">
        <v>2019</v>
      </c>
      <c r="N132"/>
      <c r="O132" s="103">
        <f t="shared" si="31"/>
        <v>43678</v>
      </c>
      <c r="P132" s="103">
        <f t="shared" si="32"/>
        <v>43708</v>
      </c>
    </row>
    <row r="133" spans="1:16" s="5" customFormat="1" ht="17.100000000000001" customHeight="1">
      <c r="A133" s="104">
        <f t="shared" si="35"/>
        <v>26</v>
      </c>
      <c r="B133" s="616" t="str">
        <f t="shared" si="33"/>
        <v>Tháng 09/2019</v>
      </c>
      <c r="C133" s="616"/>
      <c r="D133" s="652" t="str">
        <f>D131</f>
        <v>Đắp đất K95</v>
      </c>
      <c r="E133" s="652"/>
      <c r="F133" s="652"/>
      <c r="G133" s="652"/>
      <c r="H133" s="615">
        <f t="shared" si="36"/>
        <v>0</v>
      </c>
      <c r="I133" s="615"/>
      <c r="J133" s="616"/>
      <c r="K133" s="617"/>
      <c r="L133">
        <v>9</v>
      </c>
      <c r="M133" s="101">
        <v>2019</v>
      </c>
      <c r="N133"/>
      <c r="O133" s="103">
        <f>DATE(M133,L133,1)</f>
        <v>43709</v>
      </c>
      <c r="P133" s="103">
        <f>DATE(M133,L133+1,0)</f>
        <v>43738</v>
      </c>
    </row>
    <row r="134" spans="1:16" s="5" customFormat="1" ht="21.6" customHeight="1" thickBot="1">
      <c r="A134" s="618" t="s">
        <v>86</v>
      </c>
      <c r="B134" s="619"/>
      <c r="C134" s="619"/>
      <c r="D134" s="619"/>
      <c r="E134" s="619"/>
      <c r="F134" s="619"/>
      <c r="G134" s="620"/>
      <c r="H134" s="621">
        <f t="shared" ref="H134" si="37">SUM(H108:I133)</f>
        <v>3467.33</v>
      </c>
      <c r="I134" s="622"/>
      <c r="J134" s="621"/>
      <c r="K134" s="622"/>
      <c r="L134"/>
      <c r="M134"/>
      <c r="N134"/>
      <c r="O134"/>
      <c r="P134"/>
    </row>
    <row r="135" spans="1:16" s="5" customFormat="1" ht="18" customHeight="1" thickTop="1" thickBot="1">
      <c r="A135" s="105"/>
      <c r="B135" s="105"/>
      <c r="C135" s="105"/>
      <c r="D135" s="105"/>
      <c r="E135" s="105"/>
      <c r="F135" s="105"/>
      <c r="G135" s="105"/>
      <c r="H135" s="105"/>
      <c r="I135" s="105"/>
      <c r="J135" s="105"/>
      <c r="K135" s="105"/>
      <c r="L135" s="4"/>
      <c r="M135" s="4"/>
      <c r="N135" s="4"/>
      <c r="O135" s="4"/>
      <c r="P135" s="20"/>
    </row>
    <row r="136" spans="1:16" s="5" customFormat="1" ht="13.9" customHeight="1" thickTop="1">
      <c r="A136" s="647" t="s">
        <v>68</v>
      </c>
      <c r="B136" s="648"/>
      <c r="C136" s="648"/>
      <c r="D136" s="648"/>
      <c r="E136" s="648"/>
      <c r="F136" s="649" t="s">
        <v>69</v>
      </c>
      <c r="G136" s="649"/>
      <c r="H136" s="649"/>
      <c r="I136" s="650"/>
      <c r="J136" s="650"/>
      <c r="K136" s="651"/>
      <c r="L136" s="4"/>
      <c r="M136" s="4"/>
      <c r="N136" s="4"/>
      <c r="O136" s="4"/>
      <c r="P136" s="4"/>
    </row>
    <row r="137" spans="1:16" s="5" customFormat="1" ht="13.9" customHeight="1">
      <c r="A137" s="583" t="s">
        <v>5</v>
      </c>
      <c r="B137" s="584"/>
      <c r="C137" s="584"/>
      <c r="D137" s="584"/>
      <c r="E137" s="584"/>
      <c r="F137" s="585" t="s">
        <v>6</v>
      </c>
      <c r="G137" s="585"/>
      <c r="H137" s="585"/>
      <c r="I137" s="586"/>
      <c r="J137" s="586"/>
      <c r="K137" s="587"/>
      <c r="L137" s="4"/>
      <c r="M137" s="4"/>
      <c r="N137" s="4"/>
      <c r="O137" s="4"/>
      <c r="P137" s="4"/>
    </row>
    <row r="138" spans="1:16" s="5" customFormat="1" ht="13.9" customHeight="1">
      <c r="A138" s="583" t="s">
        <v>836</v>
      </c>
      <c r="B138" s="584"/>
      <c r="C138" s="584"/>
      <c r="D138" s="584"/>
      <c r="E138" s="584"/>
      <c r="F138" s="590" t="s">
        <v>837</v>
      </c>
      <c r="G138" s="590"/>
      <c r="H138" s="590"/>
      <c r="I138" s="591"/>
      <c r="J138" s="591"/>
      <c r="K138" s="592"/>
      <c r="L138" s="4"/>
      <c r="M138" s="4"/>
      <c r="N138" s="4"/>
      <c r="O138" s="4"/>
      <c r="P138" s="4"/>
    </row>
    <row r="139" spans="1:16" s="5" customFormat="1" ht="13.9" customHeight="1">
      <c r="A139" s="583"/>
      <c r="B139" s="584"/>
      <c r="C139" s="584"/>
      <c r="D139" s="584"/>
      <c r="E139" s="584"/>
      <c r="F139" s="590"/>
      <c r="G139" s="590"/>
      <c r="H139" s="590"/>
      <c r="I139" s="591"/>
      <c r="J139" s="591"/>
      <c r="K139" s="592"/>
      <c r="L139" s="4"/>
      <c r="M139" s="4"/>
      <c r="N139" s="4"/>
      <c r="O139" s="4"/>
      <c r="P139" s="4"/>
    </row>
    <row r="140" spans="1:16" s="5" customFormat="1" ht="13.9" customHeight="1">
      <c r="A140" s="583"/>
      <c r="B140" s="584"/>
      <c r="C140" s="584"/>
      <c r="D140" s="584"/>
      <c r="E140" s="584"/>
      <c r="F140" s="590"/>
      <c r="G140" s="590"/>
      <c r="H140" s="590"/>
      <c r="I140" s="591"/>
      <c r="J140" s="591"/>
      <c r="K140" s="592"/>
      <c r="L140" s="4"/>
      <c r="M140" s="4"/>
      <c r="N140" s="4"/>
      <c r="O140" s="4"/>
      <c r="P140" s="4"/>
    </row>
    <row r="141" spans="1:16" s="5" customFormat="1" ht="13.9" customHeight="1">
      <c r="A141" s="583"/>
      <c r="B141" s="584"/>
      <c r="C141" s="584"/>
      <c r="D141" s="584"/>
      <c r="E141" s="584"/>
      <c r="F141" s="590"/>
      <c r="G141" s="590"/>
      <c r="H141" s="590"/>
      <c r="I141" s="591"/>
      <c r="J141" s="591"/>
      <c r="K141" s="592"/>
      <c r="L141" s="4"/>
      <c r="M141" s="4"/>
      <c r="N141" s="4"/>
      <c r="O141" s="4"/>
      <c r="P141" s="4"/>
    </row>
    <row r="142" spans="1:16" s="5" customFormat="1" ht="13.9" customHeight="1">
      <c r="A142" s="583"/>
      <c r="B142" s="584"/>
      <c r="C142" s="584"/>
      <c r="D142" s="584"/>
      <c r="E142" s="584"/>
      <c r="F142" s="590"/>
      <c r="G142" s="590"/>
      <c r="H142" s="590"/>
      <c r="I142" s="591"/>
      <c r="J142" s="591"/>
      <c r="K142" s="592"/>
      <c r="L142" s="4"/>
      <c r="M142" s="4"/>
      <c r="N142" s="4"/>
      <c r="O142" s="4"/>
      <c r="P142" s="4"/>
    </row>
    <row r="143" spans="1:16" s="5" customFormat="1" ht="13.9" customHeight="1">
      <c r="A143" s="583"/>
      <c r="B143" s="584"/>
      <c r="C143" s="584"/>
      <c r="D143" s="584"/>
      <c r="E143" s="584"/>
      <c r="F143" s="590"/>
      <c r="G143" s="590"/>
      <c r="H143" s="590"/>
      <c r="I143" s="591"/>
      <c r="J143" s="591"/>
      <c r="K143" s="592"/>
      <c r="L143" s="4"/>
      <c r="M143" s="4"/>
      <c r="N143" s="4"/>
      <c r="O143" s="4"/>
      <c r="P143" s="4"/>
    </row>
    <row r="144" spans="1:16" s="5" customFormat="1" ht="13.9" customHeight="1" thickBot="1">
      <c r="A144" s="588"/>
      <c r="B144" s="589"/>
      <c r="C144" s="589"/>
      <c r="D144" s="589"/>
      <c r="E144" s="589"/>
      <c r="F144" s="593"/>
      <c r="G144" s="593"/>
      <c r="H144" s="593"/>
      <c r="I144" s="594"/>
      <c r="J144" s="594"/>
      <c r="K144" s="595"/>
      <c r="L144" s="4"/>
      <c r="M144" s="4"/>
      <c r="N144" s="4"/>
      <c r="O144" s="4"/>
      <c r="P144" s="4"/>
    </row>
    <row r="145" spans="1:20" s="5" customFormat="1" ht="15.75" thickTop="1">
      <c r="A145" s="4"/>
      <c r="B145" s="12"/>
      <c r="C145" s="10"/>
      <c r="D145" s="10"/>
      <c r="E145" s="10"/>
      <c r="F145" s="13"/>
      <c r="G145" s="13"/>
      <c r="H145" s="13"/>
      <c r="I145" s="13"/>
      <c r="J145" s="13"/>
      <c r="K145" s="4"/>
      <c r="L145" s="4"/>
      <c r="M145" s="4"/>
      <c r="N145" s="4"/>
      <c r="O145" s="4"/>
      <c r="P145" s="4"/>
      <c r="R145" s="4"/>
      <c r="S145" s="4"/>
      <c r="T145" s="4"/>
    </row>
  </sheetData>
  <mergeCells count="218">
    <mergeCell ref="C15:E15"/>
    <mergeCell ref="C28:E28"/>
    <mergeCell ref="C29:E29"/>
    <mergeCell ref="C30:E30"/>
    <mergeCell ref="C43:E43"/>
    <mergeCell ref="C44:E44"/>
    <mergeCell ref="C45:E45"/>
    <mergeCell ref="I9:I11"/>
    <mergeCell ref="J9:J11"/>
    <mergeCell ref="C37:E37"/>
    <mergeCell ref="C38:E38"/>
    <mergeCell ref="C39:E39"/>
    <mergeCell ref="C40:E40"/>
    <mergeCell ref="C41:E41"/>
    <mergeCell ref="C42:E42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83"/>
    <mergeCell ref="C82:E82"/>
    <mergeCell ref="C83:E83"/>
    <mergeCell ref="C67:E67"/>
    <mergeCell ref="C68:E68"/>
    <mergeCell ref="C69:E69"/>
    <mergeCell ref="C70:E70"/>
    <mergeCell ref="C71:E71"/>
    <mergeCell ref="C72:E72"/>
    <mergeCell ref="C61:E61"/>
    <mergeCell ref="C84:E84"/>
    <mergeCell ref="A85:E85"/>
    <mergeCell ref="A87:E87"/>
    <mergeCell ref="F87:K87"/>
    <mergeCell ref="A88:E88"/>
    <mergeCell ref="F88:K88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31:E31"/>
    <mergeCell ref="C32:E32"/>
    <mergeCell ref="C33:E33"/>
    <mergeCell ref="C34:E34"/>
    <mergeCell ref="C35:E35"/>
    <mergeCell ref="C36:E36"/>
    <mergeCell ref="C25:E25"/>
    <mergeCell ref="C26:E26"/>
    <mergeCell ref="C27:E27"/>
    <mergeCell ref="A101:K101"/>
    <mergeCell ref="A104:D104"/>
    <mergeCell ref="A106:A107"/>
    <mergeCell ref="B106:C107"/>
    <mergeCell ref="D106:G107"/>
    <mergeCell ref="H106:I107"/>
    <mergeCell ref="J106:K107"/>
    <mergeCell ref="F89:K95"/>
    <mergeCell ref="A97:K97"/>
    <mergeCell ref="A98:K98"/>
    <mergeCell ref="A99:K99"/>
    <mergeCell ref="A100:K100"/>
    <mergeCell ref="B110:C110"/>
    <mergeCell ref="D110:G110"/>
    <mergeCell ref="H110:I110"/>
    <mergeCell ref="J110:K110"/>
    <mergeCell ref="B111:C111"/>
    <mergeCell ref="D111:G111"/>
    <mergeCell ref="H111:I111"/>
    <mergeCell ref="J111:K111"/>
    <mergeCell ref="H108:I108"/>
    <mergeCell ref="J108:K108"/>
    <mergeCell ref="B109:C109"/>
    <mergeCell ref="D109:G109"/>
    <mergeCell ref="H109:I109"/>
    <mergeCell ref="J109:K109"/>
    <mergeCell ref="D114:G114"/>
    <mergeCell ref="H114:I114"/>
    <mergeCell ref="J114:K114"/>
    <mergeCell ref="B115:C115"/>
    <mergeCell ref="D115:G115"/>
    <mergeCell ref="H115:I115"/>
    <mergeCell ref="J115:K115"/>
    <mergeCell ref="H112:I112"/>
    <mergeCell ref="J112:K112"/>
    <mergeCell ref="B113:C113"/>
    <mergeCell ref="D113:G113"/>
    <mergeCell ref="H113:I113"/>
    <mergeCell ref="J113:K113"/>
    <mergeCell ref="H118:I118"/>
    <mergeCell ref="J118:K118"/>
    <mergeCell ref="B119:C119"/>
    <mergeCell ref="D119:G119"/>
    <mergeCell ref="H119:I119"/>
    <mergeCell ref="J119:K119"/>
    <mergeCell ref="H116:I116"/>
    <mergeCell ref="J116:K116"/>
    <mergeCell ref="B117:C117"/>
    <mergeCell ref="D117:G117"/>
    <mergeCell ref="H117:I117"/>
    <mergeCell ref="J117:K117"/>
    <mergeCell ref="H122:I122"/>
    <mergeCell ref="J122:K122"/>
    <mergeCell ref="B123:C123"/>
    <mergeCell ref="D123:G123"/>
    <mergeCell ref="H123:I123"/>
    <mergeCell ref="J123:K123"/>
    <mergeCell ref="H120:I120"/>
    <mergeCell ref="J120:K120"/>
    <mergeCell ref="B121:C121"/>
    <mergeCell ref="D121:G121"/>
    <mergeCell ref="H121:I121"/>
    <mergeCell ref="J121:K121"/>
    <mergeCell ref="B127:C127"/>
    <mergeCell ref="D127:G127"/>
    <mergeCell ref="H127:I127"/>
    <mergeCell ref="J127:K127"/>
    <mergeCell ref="H124:I124"/>
    <mergeCell ref="J124:K124"/>
    <mergeCell ref="B125:C125"/>
    <mergeCell ref="D125:G125"/>
    <mergeCell ref="H125:I125"/>
    <mergeCell ref="J125:K125"/>
    <mergeCell ref="B126:C126"/>
    <mergeCell ref="D126:G126"/>
    <mergeCell ref="H126:I126"/>
    <mergeCell ref="J126:K126"/>
    <mergeCell ref="A138:E144"/>
    <mergeCell ref="F138:K144"/>
    <mergeCell ref="B132:C132"/>
    <mergeCell ref="D132:G132"/>
    <mergeCell ref="H132:I132"/>
    <mergeCell ref="J132:K132"/>
    <mergeCell ref="A134:G134"/>
    <mergeCell ref="H134:I134"/>
    <mergeCell ref="J134:K134"/>
    <mergeCell ref="H133:I133"/>
    <mergeCell ref="J133:K133"/>
    <mergeCell ref="A136:E136"/>
    <mergeCell ref="F136:K136"/>
    <mergeCell ref="A137:E137"/>
    <mergeCell ref="F137:K137"/>
    <mergeCell ref="B133:C133"/>
    <mergeCell ref="D133:G133"/>
    <mergeCell ref="H130:I130"/>
    <mergeCell ref="J130:K130"/>
    <mergeCell ref="B131:C131"/>
    <mergeCell ref="D131:G131"/>
    <mergeCell ref="H131:I131"/>
    <mergeCell ref="J131:K131"/>
    <mergeCell ref="B128:C128"/>
    <mergeCell ref="D128:G128"/>
    <mergeCell ref="H128:I128"/>
    <mergeCell ref="J128:K128"/>
    <mergeCell ref="B129:C129"/>
    <mergeCell ref="D129:G129"/>
    <mergeCell ref="H129:I129"/>
    <mergeCell ref="J129:K129"/>
    <mergeCell ref="B130:C130"/>
    <mergeCell ref="D130:G130"/>
    <mergeCell ref="C49:E49"/>
    <mergeCell ref="C50:E50"/>
    <mergeCell ref="C51:E51"/>
    <mergeCell ref="C52:E52"/>
    <mergeCell ref="C53:E53"/>
    <mergeCell ref="C54:E54"/>
    <mergeCell ref="C46:E46"/>
    <mergeCell ref="C47:E47"/>
    <mergeCell ref="C48:E48"/>
    <mergeCell ref="C74:E74"/>
    <mergeCell ref="C75:E75"/>
    <mergeCell ref="C76:E76"/>
    <mergeCell ref="C77:E77"/>
    <mergeCell ref="C78:E78"/>
    <mergeCell ref="B124:C124"/>
    <mergeCell ref="D124:G124"/>
    <mergeCell ref="B120:C120"/>
    <mergeCell ref="D120:G120"/>
    <mergeCell ref="B116:C116"/>
    <mergeCell ref="D116:G116"/>
    <mergeCell ref="B112:C112"/>
    <mergeCell ref="D112:G112"/>
    <mergeCell ref="B108:C108"/>
    <mergeCell ref="D108:G108"/>
    <mergeCell ref="A89:E95"/>
    <mergeCell ref="B122:C122"/>
    <mergeCell ref="C79:E79"/>
    <mergeCell ref="C80:E80"/>
    <mergeCell ref="C81:E81"/>
    <mergeCell ref="D122:G122"/>
    <mergeCell ref="B118:C118"/>
    <mergeCell ref="D118:G118"/>
    <mergeCell ref="B114:C114"/>
    <mergeCell ref="C62:E62"/>
    <mergeCell ref="C63:E63"/>
    <mergeCell ref="C64:E64"/>
    <mergeCell ref="C65:E65"/>
    <mergeCell ref="C66:E66"/>
    <mergeCell ref="C55:E55"/>
    <mergeCell ref="C56:E56"/>
    <mergeCell ref="C57:E57"/>
    <mergeCell ref="C73:E73"/>
    <mergeCell ref="C58:E58"/>
    <mergeCell ref="C59:E59"/>
    <mergeCell ref="C60:E60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96" max="10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3">
    <tabColor rgb="FF92D050"/>
  </sheetPr>
  <dimension ref="A1:T77"/>
  <sheetViews>
    <sheetView view="pageBreakPreview" topLeftCell="A5" zoomScaleSheetLayoutView="100" workbookViewId="0">
      <selection activeCell="F17" sqref="F17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8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C.II.1.7.4. Đắp đất K98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4</v>
      </c>
      <c r="N6" s="245" t="str">
        <f>THKLQT!C154</f>
        <v>Đắp đất K98</v>
      </c>
      <c r="Q6" s="17"/>
    </row>
    <row r="7" spans="1:20" s="178" customFormat="1" ht="18.75" customHeight="1">
      <c r="A7" s="634">
        <f>I17</f>
        <v>150.09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THKLQT!D154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43465</v>
      </c>
      <c r="C12" s="571" t="str">
        <f>T12</f>
        <v>Đắp đất K98 km 101+820,87-km101+850,79 lớp 1</v>
      </c>
      <c r="D12" s="572"/>
      <c r="E12" s="573"/>
      <c r="F12" s="2">
        <f>P12</f>
        <v>37.277389999977125</v>
      </c>
      <c r="G12" s="1">
        <f>P12</f>
        <v>37.277389999977125</v>
      </c>
      <c r="H12" s="295">
        <f>MIN(F12:G12)</f>
        <v>37.277389999977125</v>
      </c>
      <c r="I12" s="107">
        <f>H12</f>
        <v>37.277389999977125</v>
      </c>
      <c r="J12" s="107">
        <f>P12</f>
        <v>37.277389999977125</v>
      </c>
      <c r="K12" s="700"/>
      <c r="N12" s="118"/>
      <c r="O12" s="118" t="s">
        <v>465</v>
      </c>
      <c r="P12" s="88">
        <v>37.277389999977125</v>
      </c>
      <c r="Q12" s="89">
        <v>43465</v>
      </c>
      <c r="R12" s="88"/>
      <c r="S12" s="88" t="e">
        <f>VLOOKUP($S$11,hamchuigoi3,M12,0)</f>
        <v>#VALUE!</v>
      </c>
      <c r="T12" s="3" t="str">
        <f>$N$6&amp;" "&amp;O12</f>
        <v>Đắp đất K98 km 101+820,87-km101+850,79 lớp 1</v>
      </c>
    </row>
    <row r="13" spans="1:20" ht="14.25" outlineLevel="2">
      <c r="A13" s="81">
        <f>SUBTOTAL(103,$B$12:B13)</f>
        <v>2</v>
      </c>
      <c r="B13" s="78">
        <f t="shared" ref="B13:B15" si="0">Q13</f>
        <v>43463</v>
      </c>
      <c r="C13" s="571" t="str">
        <f t="shared" ref="C13:C15" si="1">T13</f>
        <v>Đắp đất K98 km 101+820,87-km101+850,79 lớp 2</v>
      </c>
      <c r="D13" s="572"/>
      <c r="E13" s="573"/>
      <c r="F13" s="2">
        <f t="shared" ref="F13" si="2">P13</f>
        <v>37.595334999976863</v>
      </c>
      <c r="G13" s="1">
        <f t="shared" ref="G13:G15" si="3">P13</f>
        <v>37.595334999976863</v>
      </c>
      <c r="H13" s="295">
        <f t="shared" ref="H13:H15" si="4">MIN(F13:G13)</f>
        <v>37.595334999976863</v>
      </c>
      <c r="I13" s="107">
        <f t="shared" ref="I13:I15" si="5">H13</f>
        <v>37.595334999976863</v>
      </c>
      <c r="J13" s="107">
        <f t="shared" ref="J13:J15" si="6">P13</f>
        <v>37.595334999976863</v>
      </c>
      <c r="K13" s="701"/>
      <c r="N13" s="118"/>
      <c r="O13" s="118" t="s">
        <v>466</v>
      </c>
      <c r="P13" s="88">
        <v>37.595334999976863</v>
      </c>
      <c r="Q13" s="89">
        <f>+Q12-2</f>
        <v>43463</v>
      </c>
      <c r="R13" s="88"/>
      <c r="S13" s="88" t="e">
        <f>VLOOKUP($S$11,hamchuigoi3,M13,0)</f>
        <v>#VALUE!</v>
      </c>
      <c r="T13" s="3" t="str">
        <f t="shared" ref="T13:T15" si="7">$N$6&amp;" "&amp;O13</f>
        <v>Đắp đất K98 km 101+820,87-km101+850,79 lớp 2</v>
      </c>
    </row>
    <row r="14" spans="1:20" ht="14.25" outlineLevel="2">
      <c r="A14" s="81">
        <f>SUBTOTAL(103,$B$12:B14)</f>
        <v>3</v>
      </c>
      <c r="B14" s="78">
        <f t="shared" si="0"/>
        <v>43465</v>
      </c>
      <c r="C14" s="571" t="str">
        <f t="shared" si="1"/>
        <v>Đắp đất K98 km 101+778,79-km101+805,99 lớp 1</v>
      </c>
      <c r="D14" s="572"/>
      <c r="E14" s="573"/>
      <c r="F14" s="2">
        <f>P14+0.7</f>
        <v>38.203770499991556</v>
      </c>
      <c r="G14" s="1">
        <f t="shared" si="3"/>
        <v>37.503770499991553</v>
      </c>
      <c r="H14" s="295">
        <f t="shared" si="4"/>
        <v>37.503770499991553</v>
      </c>
      <c r="I14" s="107">
        <f t="shared" si="5"/>
        <v>37.503770499991553</v>
      </c>
      <c r="J14" s="107">
        <f t="shared" si="6"/>
        <v>37.503770499991553</v>
      </c>
      <c r="K14" s="701"/>
      <c r="N14" s="118"/>
      <c r="O14" s="118" t="s">
        <v>469</v>
      </c>
      <c r="P14" s="88">
        <v>37.503770499991553</v>
      </c>
      <c r="Q14" s="89">
        <f>Q12</f>
        <v>43465</v>
      </c>
      <c r="R14" s="88"/>
      <c r="S14" s="88" t="e">
        <f>VLOOKUP($S$11,hamchuigoi3,M14,0)</f>
        <v>#VALUE!</v>
      </c>
      <c r="T14" s="3" t="str">
        <f t="shared" si="7"/>
        <v>Đắp đất K98 km 101+778,79-km101+805,99 lớp 1</v>
      </c>
    </row>
    <row r="15" spans="1:20" ht="14.25" outlineLevel="2">
      <c r="A15" s="81">
        <f>SUBTOTAL(103,$B$12:B15)</f>
        <v>4</v>
      </c>
      <c r="B15" s="78">
        <f t="shared" si="0"/>
        <v>43463</v>
      </c>
      <c r="C15" s="571" t="str">
        <f t="shared" si="1"/>
        <v>Đắp đất K98 km 101+778,79-km101+805,99 lớp 2</v>
      </c>
      <c r="D15" s="572"/>
      <c r="E15" s="573"/>
      <c r="F15" s="2">
        <f>P15+0.7</f>
        <v>38.414020499991395</v>
      </c>
      <c r="G15" s="1">
        <f t="shared" si="3"/>
        <v>37.714020499991392</v>
      </c>
      <c r="H15" s="295">
        <f t="shared" si="4"/>
        <v>37.714020499991392</v>
      </c>
      <c r="I15" s="107">
        <f t="shared" si="5"/>
        <v>37.714020499991392</v>
      </c>
      <c r="J15" s="107">
        <f t="shared" si="6"/>
        <v>37.714020499991392</v>
      </c>
      <c r="K15" s="702"/>
      <c r="N15" s="118"/>
      <c r="O15" s="118" t="s">
        <v>470</v>
      </c>
      <c r="P15" s="88">
        <v>37.714020499991392</v>
      </c>
      <c r="Q15" s="89">
        <f>Q13</f>
        <v>43463</v>
      </c>
      <c r="R15" s="88"/>
      <c r="S15" s="88" t="e">
        <f>VLOOKUP($S$11,hamchuigoi3,M15,0)</f>
        <v>#VALUE!</v>
      </c>
      <c r="T15" s="3" t="str">
        <f t="shared" si="7"/>
        <v>Đắp đất K98 km 101+778,79-km101+805,99 lớp 2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277">
        <f>'[7]TONG KL '!$I$6</f>
        <v>151.49</v>
      </c>
      <c r="G17" s="79">
        <f t="shared" ref="G17:I17" si="8">ROUND(SUM(G12:G16),2)</f>
        <v>150.09</v>
      </c>
      <c r="H17" s="79">
        <f t="shared" si="8"/>
        <v>150.09</v>
      </c>
      <c r="I17" s="79">
        <f t="shared" si="8"/>
        <v>150.09</v>
      </c>
      <c r="J17" s="277">
        <f>'[5]PKTT ĐỢT 7'!$AA$385</f>
        <v>255.36</v>
      </c>
      <c r="K17" s="80"/>
      <c r="N17" s="118"/>
      <c r="O17" s="118"/>
      <c r="P17" s="90">
        <f>SUM(P12:P12)</f>
        <v>37.277389999977125</v>
      </c>
    </row>
    <row r="18" spans="1:20" s="175" customFormat="1" ht="18" customHeight="1" thickTop="1" thickBot="1">
      <c r="A18" s="258"/>
      <c r="B18" s="258"/>
      <c r="C18" s="258"/>
      <c r="D18" s="258"/>
      <c r="E18" s="258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58"/>
      <c r="B28" s="258"/>
      <c r="C28" s="258"/>
      <c r="D28" s="258"/>
      <c r="E28" s="258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9" t="str">
        <f>A5</f>
        <v>Hạng mục C.II.1.7. Đường đầu cầu</v>
      </c>
      <c r="B34" s="260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9" t="str">
        <f>A6</f>
        <v>Mục C.II.1.7.4. Đắp đất K98</v>
      </c>
      <c r="B35" s="260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150.09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Đắp đất K98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Đắp đất K98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Đắp đất K98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Đắp đất K98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Đắp đất K98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Đắp đất K98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Đắp đất K98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Đắp đất K98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Đắp đất K98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Đắp đất K98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Đắp đất K98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Đắp đất K98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Đắp đất K98</v>
      </c>
      <c r="E52" s="568"/>
      <c r="F52" s="568"/>
      <c r="G52" s="568"/>
      <c r="H52" s="569">
        <f t="shared" si="9"/>
        <v>0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Đắp đất K98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Đắp đất K98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Đắp đất K98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Đắp đất K98</v>
      </c>
      <c r="E56" s="568"/>
      <c r="F56" s="568"/>
      <c r="G56" s="568"/>
      <c r="H56" s="569">
        <f t="shared" si="9"/>
        <v>150.09051599993694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Đắp đất K98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Đắp đất K98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Đắp đất K98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Đắp đất K98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Đắp đất K98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Đắp đất K98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Đắp đất K98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Đắp đất K98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Đắp đất K98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150.09051599993694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4">
    <tabColor rgb="FF92D050"/>
  </sheetPr>
  <dimension ref="A1:T191"/>
  <sheetViews>
    <sheetView view="pageBreakPreview" topLeftCell="A123" zoomScaleSheetLayoutView="100" workbookViewId="0">
      <selection activeCell="F131" sqref="F131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7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C.II.1.7.5. Đắp vật liệu dạng hạt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5</v>
      </c>
      <c r="N6" s="245" t="str">
        <f>THKLQT!C155</f>
        <v>Đắp vật liệu dạng hạt</v>
      </c>
      <c r="Q6" s="17"/>
    </row>
    <row r="7" spans="1:20" s="178" customFormat="1" ht="18.75" customHeight="1">
      <c r="A7" s="634">
        <f>I131</f>
        <v>5973.14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THKLQT!D155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7"/>
      <c r="N9" s="376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266" t="s">
        <v>402</v>
      </c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43517</v>
      </c>
      <c r="C12" s="571" t="str">
        <f>T12</f>
        <v>Đắp vật liệu dạng hạt km101+850,79-km101+820+87 lớp 1</v>
      </c>
      <c r="D12" s="572"/>
      <c r="E12" s="573"/>
      <c r="F12" s="2">
        <f>P12</f>
        <v>100.886</v>
      </c>
      <c r="G12" s="1">
        <f>P12</f>
        <v>100.886</v>
      </c>
      <c r="H12" s="295">
        <f>P12</f>
        <v>100.886</v>
      </c>
      <c r="I12" s="107">
        <f>P12</f>
        <v>100.886</v>
      </c>
      <c r="J12" s="107">
        <f>P12</f>
        <v>100.886</v>
      </c>
      <c r="K12" s="603" t="s">
        <v>699</v>
      </c>
      <c r="N12" s="118"/>
      <c r="O12" s="266" t="s">
        <v>407</v>
      </c>
      <c r="P12" s="88">
        <v>100.886</v>
      </c>
      <c r="Q12" s="89">
        <v>43517</v>
      </c>
      <c r="R12" s="88"/>
      <c r="S12" s="88" t="e">
        <f t="shared" ref="S12:S44" si="0">VLOOKUP($S$11,hamchuigoi3,M12,0)</f>
        <v>#VALUE!</v>
      </c>
      <c r="T12" s="3" t="str">
        <f>$N$6&amp;" "&amp;O12</f>
        <v>Đắp vật liệu dạng hạt km101+850,79-km101+820+87 lớp 1</v>
      </c>
    </row>
    <row r="13" spans="1:20" ht="25.5" customHeight="1" outlineLevel="2">
      <c r="A13" s="81">
        <f>SUBTOTAL(103,$B$12:B13)</f>
        <v>2</v>
      </c>
      <c r="B13" s="78">
        <f t="shared" ref="B13:B16" si="1">Q13</f>
        <v>43515</v>
      </c>
      <c r="C13" s="571" t="str">
        <f t="shared" ref="C13:C16" si="2">T13</f>
        <v>Đắp vật liệu dạng hạt km101+850,79-km101+820+87 lớp 2</v>
      </c>
      <c r="D13" s="572"/>
      <c r="E13" s="573"/>
      <c r="F13" s="2">
        <f t="shared" ref="F13:F16" si="3">P13</f>
        <v>100.729</v>
      </c>
      <c r="G13" s="1">
        <f t="shared" ref="G13:G16" si="4">P13</f>
        <v>100.729</v>
      </c>
      <c r="H13" s="295">
        <f t="shared" ref="H13:H16" si="5">P13</f>
        <v>100.729</v>
      </c>
      <c r="I13" s="107">
        <f t="shared" ref="I13:I16" si="6">P13</f>
        <v>100.729</v>
      </c>
      <c r="J13" s="107">
        <f t="shared" ref="J13:J16" si="7">P13</f>
        <v>100.729</v>
      </c>
      <c r="K13" s="604"/>
      <c r="N13" s="118"/>
      <c r="O13" s="266" t="s">
        <v>408</v>
      </c>
      <c r="P13" s="88">
        <v>100.729</v>
      </c>
      <c r="Q13" s="89">
        <f>+Q12-2</f>
        <v>43515</v>
      </c>
      <c r="R13" s="88"/>
      <c r="S13" s="88" t="e">
        <f t="shared" si="0"/>
        <v>#VALUE!</v>
      </c>
      <c r="T13" s="3" t="str">
        <f t="shared" ref="T13:T16" si="8">$N$6&amp;" "&amp;O13</f>
        <v>Đắp vật liệu dạng hạt km101+850,79-km101+820+87 lớp 2</v>
      </c>
    </row>
    <row r="14" spans="1:20" ht="25.5" customHeight="1" outlineLevel="2">
      <c r="A14" s="81">
        <f>SUBTOTAL(103,$B$12:B14)</f>
        <v>3</v>
      </c>
      <c r="B14" s="78">
        <f t="shared" si="1"/>
        <v>43513</v>
      </c>
      <c r="C14" s="571" t="str">
        <f t="shared" si="2"/>
        <v>Đắp vật liệu dạng hạt km101+850,79-km101+820+87 lớp 3</v>
      </c>
      <c r="D14" s="572"/>
      <c r="E14" s="573"/>
      <c r="F14" s="2">
        <f t="shared" si="3"/>
        <v>100.729</v>
      </c>
      <c r="G14" s="1">
        <f t="shared" si="4"/>
        <v>100.729</v>
      </c>
      <c r="H14" s="295">
        <f t="shared" si="5"/>
        <v>100.729</v>
      </c>
      <c r="I14" s="107">
        <f t="shared" si="6"/>
        <v>100.729</v>
      </c>
      <c r="J14" s="107">
        <f t="shared" si="7"/>
        <v>100.729</v>
      </c>
      <c r="K14" s="604"/>
      <c r="N14" s="118"/>
      <c r="O14" s="266" t="s">
        <v>409</v>
      </c>
      <c r="P14" s="88">
        <v>100.729</v>
      </c>
      <c r="Q14" s="89">
        <f t="shared" ref="Q14:Q21" si="9">+Q13-2</f>
        <v>43513</v>
      </c>
      <c r="R14" s="88"/>
      <c r="S14" s="88" t="e">
        <f t="shared" si="0"/>
        <v>#VALUE!</v>
      </c>
      <c r="T14" s="3" t="str">
        <f t="shared" si="8"/>
        <v>Đắp vật liệu dạng hạt km101+850,79-km101+820+87 lớp 3</v>
      </c>
    </row>
    <row r="15" spans="1:20" ht="25.5" customHeight="1" outlineLevel="2">
      <c r="A15" s="81">
        <f>SUBTOTAL(103,$B$12:B15)</f>
        <v>4</v>
      </c>
      <c r="B15" s="78">
        <f t="shared" si="1"/>
        <v>43511</v>
      </c>
      <c r="C15" s="571" t="str">
        <f t="shared" si="2"/>
        <v>Đắp vật liệu dạng hạt km101+850,79-km101+820+87 lớp 4</v>
      </c>
      <c r="D15" s="572"/>
      <c r="E15" s="573"/>
      <c r="F15" s="2">
        <f t="shared" si="3"/>
        <v>100.729</v>
      </c>
      <c r="G15" s="1">
        <f t="shared" si="4"/>
        <v>100.729</v>
      </c>
      <c r="H15" s="295">
        <f t="shared" si="5"/>
        <v>100.729</v>
      </c>
      <c r="I15" s="107">
        <f t="shared" si="6"/>
        <v>100.729</v>
      </c>
      <c r="J15" s="107">
        <f t="shared" si="7"/>
        <v>100.729</v>
      </c>
      <c r="K15" s="604"/>
      <c r="N15" s="118"/>
      <c r="O15" s="266" t="s">
        <v>410</v>
      </c>
      <c r="P15" s="88">
        <v>100.729</v>
      </c>
      <c r="Q15" s="89">
        <f t="shared" si="9"/>
        <v>43511</v>
      </c>
      <c r="R15" s="88"/>
      <c r="S15" s="88" t="e">
        <f t="shared" si="0"/>
        <v>#VALUE!</v>
      </c>
      <c r="T15" s="3" t="str">
        <f t="shared" si="8"/>
        <v>Đắp vật liệu dạng hạt km101+850,79-km101+820+87 lớp 4</v>
      </c>
    </row>
    <row r="16" spans="1:20" ht="25.5" customHeight="1" outlineLevel="2">
      <c r="A16" s="81">
        <f>SUBTOTAL(103,$B$12:B16)</f>
        <v>5</v>
      </c>
      <c r="B16" s="78">
        <f t="shared" si="1"/>
        <v>43510</v>
      </c>
      <c r="C16" s="571" t="str">
        <f t="shared" si="2"/>
        <v>Đắp vật liệu dạng hạt km101+850,79-km101+820+87 lớp 5</v>
      </c>
      <c r="D16" s="572"/>
      <c r="E16" s="573"/>
      <c r="F16" s="2">
        <f t="shared" si="3"/>
        <v>100.729</v>
      </c>
      <c r="G16" s="1">
        <f t="shared" si="4"/>
        <v>100.729</v>
      </c>
      <c r="H16" s="295">
        <f t="shared" si="5"/>
        <v>100.729</v>
      </c>
      <c r="I16" s="107">
        <f t="shared" si="6"/>
        <v>100.729</v>
      </c>
      <c r="J16" s="107">
        <f t="shared" si="7"/>
        <v>100.729</v>
      </c>
      <c r="K16" s="604"/>
      <c r="N16" s="118"/>
      <c r="O16" s="266" t="s">
        <v>411</v>
      </c>
      <c r="P16" s="88">
        <v>100.729</v>
      </c>
      <c r="Q16" s="89">
        <f>+Q15-1</f>
        <v>43510</v>
      </c>
      <c r="R16" s="88"/>
      <c r="S16" s="88" t="e">
        <f t="shared" si="0"/>
        <v>#VALUE!</v>
      </c>
      <c r="T16" s="3" t="str">
        <f t="shared" si="8"/>
        <v>Đắp vật liệu dạng hạt km101+850,79-km101+820+87 lớp 5</v>
      </c>
    </row>
    <row r="17" spans="1:20" ht="25.5" customHeight="1" outlineLevel="2">
      <c r="A17" s="81">
        <f>SUBTOTAL(103,$B$12:B17)</f>
        <v>6</v>
      </c>
      <c r="B17" s="78">
        <f>Q17</f>
        <v>43509</v>
      </c>
      <c r="C17" s="571" t="str">
        <f>T17</f>
        <v>Đắp vật liệu dạng hạt km101+850,79-km101+820+87 lớp 6</v>
      </c>
      <c r="D17" s="572"/>
      <c r="E17" s="573"/>
      <c r="F17" s="2">
        <f>P17</f>
        <v>100.729</v>
      </c>
      <c r="G17" s="1">
        <f>P17</f>
        <v>100.729</v>
      </c>
      <c r="H17" s="295">
        <f>P17</f>
        <v>100.729</v>
      </c>
      <c r="I17" s="107">
        <f>P17</f>
        <v>100.729</v>
      </c>
      <c r="J17" s="107">
        <f>P17</f>
        <v>100.729</v>
      </c>
      <c r="K17" s="604"/>
      <c r="N17" s="118"/>
      <c r="O17" s="266" t="s">
        <v>412</v>
      </c>
      <c r="P17" s="88">
        <v>100.729</v>
      </c>
      <c r="Q17" s="89">
        <f>+Q16-1</f>
        <v>43509</v>
      </c>
      <c r="R17" s="88"/>
      <c r="S17" s="88" t="e">
        <f t="shared" si="0"/>
        <v>#VALUE!</v>
      </c>
      <c r="T17" s="3" t="str">
        <f>$N$6&amp;" "&amp;O17</f>
        <v>Đắp vật liệu dạng hạt km101+850,79-km101+820+87 lớp 6</v>
      </c>
    </row>
    <row r="18" spans="1:20" ht="25.5" customHeight="1" outlineLevel="2">
      <c r="A18" s="81">
        <f>SUBTOTAL(103,$B$12:B18)</f>
        <v>7</v>
      </c>
      <c r="B18" s="78">
        <f t="shared" ref="B18:B21" si="10">Q18</f>
        <v>43508</v>
      </c>
      <c r="C18" s="571" t="str">
        <f t="shared" ref="C18:C21" si="11">T18</f>
        <v>Đắp vật liệu dạng hạt km101+850,79-km101+820+87 lớp 7</v>
      </c>
      <c r="D18" s="572"/>
      <c r="E18" s="573"/>
      <c r="F18" s="2">
        <f t="shared" ref="F18:F21" si="12">P18</f>
        <v>100.729</v>
      </c>
      <c r="G18" s="1">
        <f t="shared" ref="G18:G21" si="13">P18</f>
        <v>100.729</v>
      </c>
      <c r="H18" s="295">
        <f t="shared" ref="H18:H21" si="14">P18</f>
        <v>100.729</v>
      </c>
      <c r="I18" s="107">
        <f t="shared" ref="I18:I21" si="15">P18</f>
        <v>100.729</v>
      </c>
      <c r="J18" s="107">
        <f t="shared" ref="J18:J21" si="16">P18</f>
        <v>100.729</v>
      </c>
      <c r="K18" s="604"/>
      <c r="N18" s="118"/>
      <c r="O18" s="266" t="s">
        <v>413</v>
      </c>
      <c r="P18" s="88">
        <v>100.729</v>
      </c>
      <c r="Q18" s="89">
        <f>+Q17-1</f>
        <v>43508</v>
      </c>
      <c r="R18" s="88"/>
      <c r="S18" s="88" t="e">
        <f t="shared" si="0"/>
        <v>#VALUE!</v>
      </c>
      <c r="T18" s="3" t="str">
        <f t="shared" ref="T18:T21" si="17">$N$6&amp;" "&amp;O18</f>
        <v>Đắp vật liệu dạng hạt km101+850,79-km101+820+87 lớp 7</v>
      </c>
    </row>
    <row r="19" spans="1:20" ht="25.5" customHeight="1" outlineLevel="2">
      <c r="A19" s="81">
        <f>SUBTOTAL(103,$B$12:B19)</f>
        <v>8</v>
      </c>
      <c r="B19" s="78">
        <f t="shared" si="10"/>
        <v>43508</v>
      </c>
      <c r="C19" s="571" t="str">
        <f t="shared" si="11"/>
        <v>Đắp vật liệu dạng hạt km101+850,79-km101+820+87 lớp 8</v>
      </c>
      <c r="D19" s="572"/>
      <c r="E19" s="573"/>
      <c r="F19" s="2">
        <f t="shared" si="12"/>
        <v>94.64</v>
      </c>
      <c r="G19" s="1">
        <f t="shared" si="13"/>
        <v>94.64</v>
      </c>
      <c r="H19" s="295">
        <f t="shared" si="14"/>
        <v>94.64</v>
      </c>
      <c r="I19" s="107">
        <f t="shared" si="15"/>
        <v>94.64</v>
      </c>
      <c r="J19" s="107">
        <f t="shared" si="16"/>
        <v>94.64</v>
      </c>
      <c r="K19" s="604"/>
      <c r="N19" s="118"/>
      <c r="O19" s="266" t="s">
        <v>414</v>
      </c>
      <c r="P19" s="88">
        <v>94.64</v>
      </c>
      <c r="Q19" s="89">
        <f>+Q18</f>
        <v>43508</v>
      </c>
      <c r="R19" s="88"/>
      <c r="S19" s="88" t="e">
        <f t="shared" si="0"/>
        <v>#VALUE!</v>
      </c>
      <c r="T19" s="3" t="str">
        <f t="shared" si="17"/>
        <v>Đắp vật liệu dạng hạt km101+850,79-km101+820+87 lớp 8</v>
      </c>
    </row>
    <row r="20" spans="1:20" ht="25.5" customHeight="1" outlineLevel="2">
      <c r="A20" s="81">
        <f>SUBTOTAL(103,$B$12:B20)</f>
        <v>9</v>
      </c>
      <c r="B20" s="78">
        <f t="shared" si="10"/>
        <v>43497</v>
      </c>
      <c r="C20" s="571" t="str">
        <f t="shared" si="11"/>
        <v>Đắp vật liệu dạng hạt km101+850,79-km101+820+87 lớp 9</v>
      </c>
      <c r="D20" s="572"/>
      <c r="E20" s="573"/>
      <c r="F20" s="2">
        <f t="shared" si="12"/>
        <v>78.831000000000003</v>
      </c>
      <c r="G20" s="1">
        <f t="shared" si="13"/>
        <v>78.831000000000003</v>
      </c>
      <c r="H20" s="295">
        <f t="shared" si="14"/>
        <v>78.831000000000003</v>
      </c>
      <c r="I20" s="107">
        <f t="shared" si="15"/>
        <v>78.831000000000003</v>
      </c>
      <c r="J20" s="107">
        <f t="shared" si="16"/>
        <v>78.831000000000003</v>
      </c>
      <c r="K20" s="604"/>
      <c r="N20" s="118"/>
      <c r="O20" s="266" t="s">
        <v>415</v>
      </c>
      <c r="P20" s="88">
        <v>78.831000000000003</v>
      </c>
      <c r="Q20" s="89">
        <f>+Q19-11</f>
        <v>43497</v>
      </c>
      <c r="R20" s="88"/>
      <c r="S20" s="88" t="e">
        <f t="shared" si="0"/>
        <v>#VALUE!</v>
      </c>
      <c r="T20" s="3" t="str">
        <f t="shared" si="17"/>
        <v>Đắp vật liệu dạng hạt km101+850,79-km101+820+87 lớp 9</v>
      </c>
    </row>
    <row r="21" spans="1:20" ht="25.5" customHeight="1" outlineLevel="2">
      <c r="A21" s="81">
        <f>SUBTOTAL(103,$B$12:B21)</f>
        <v>10</v>
      </c>
      <c r="B21" s="78">
        <f t="shared" si="10"/>
        <v>43495</v>
      </c>
      <c r="C21" s="571" t="str">
        <f t="shared" si="11"/>
        <v>Đắp vật liệu dạng hạt km101+850,79-km101+820+87 lớp 10</v>
      </c>
      <c r="D21" s="572"/>
      <c r="E21" s="573"/>
      <c r="F21" s="2">
        <f t="shared" si="12"/>
        <v>78.831000000000003</v>
      </c>
      <c r="G21" s="1">
        <f t="shared" si="13"/>
        <v>78.831000000000003</v>
      </c>
      <c r="H21" s="295">
        <f t="shared" si="14"/>
        <v>78.831000000000003</v>
      </c>
      <c r="I21" s="107">
        <f t="shared" si="15"/>
        <v>78.831000000000003</v>
      </c>
      <c r="J21" s="107">
        <f t="shared" si="16"/>
        <v>78.831000000000003</v>
      </c>
      <c r="K21" s="604"/>
      <c r="N21" s="118"/>
      <c r="O21" s="266" t="s">
        <v>416</v>
      </c>
      <c r="P21" s="88">
        <v>78.831000000000003</v>
      </c>
      <c r="Q21" s="89">
        <f t="shared" si="9"/>
        <v>43495</v>
      </c>
      <c r="R21" s="88"/>
      <c r="S21" s="88" t="e">
        <f t="shared" si="0"/>
        <v>#VALUE!</v>
      </c>
      <c r="T21" s="3" t="str">
        <f t="shared" si="17"/>
        <v>Đắp vật liệu dạng hạt km101+850,79-km101+820+87 lớp 10</v>
      </c>
    </row>
    <row r="22" spans="1:20" ht="25.5" customHeight="1" outlineLevel="2">
      <c r="A22" s="81">
        <f>SUBTOTAL(103,$B$12:B22)</f>
        <v>11</v>
      </c>
      <c r="B22" s="78">
        <f t="shared" ref="B22:B28" si="18">Q22</f>
        <v>43493</v>
      </c>
      <c r="C22" s="571" t="str">
        <f t="shared" ref="C22:C28" si="19">T22</f>
        <v>Đắp vật liệu dạng hạt km101+850,79-km101+820+87 lớp 11</v>
      </c>
      <c r="D22" s="572"/>
      <c r="E22" s="573"/>
      <c r="F22" s="2">
        <f t="shared" ref="F22:F28" si="20">P22</f>
        <v>78.831000000000003</v>
      </c>
      <c r="G22" s="1">
        <f t="shared" ref="G22:G28" si="21">P22</f>
        <v>78.831000000000003</v>
      </c>
      <c r="H22" s="295">
        <f t="shared" ref="H22:H28" si="22">P22</f>
        <v>78.831000000000003</v>
      </c>
      <c r="I22" s="107">
        <f t="shared" ref="I22:I28" si="23">P22</f>
        <v>78.831000000000003</v>
      </c>
      <c r="J22" s="107">
        <f t="shared" ref="J22:J28" si="24">P22</f>
        <v>78.831000000000003</v>
      </c>
      <c r="K22" s="604"/>
      <c r="N22" s="118"/>
      <c r="O22" s="266" t="s">
        <v>417</v>
      </c>
      <c r="P22" s="88">
        <v>78.831000000000003</v>
      </c>
      <c r="Q22" s="89">
        <f t="shared" ref="Q22:Q28" si="25">+Q21-2</f>
        <v>43493</v>
      </c>
      <c r="R22" s="88"/>
      <c r="S22" s="88" t="e">
        <f t="shared" si="0"/>
        <v>#VALUE!</v>
      </c>
      <c r="T22" s="3" t="str">
        <f t="shared" ref="T22:T28" si="26">$N$6&amp;" "&amp;O22</f>
        <v>Đắp vật liệu dạng hạt km101+850,79-km101+820+87 lớp 11</v>
      </c>
    </row>
    <row r="23" spans="1:20" ht="25.5" customHeight="1" outlineLevel="2">
      <c r="A23" s="81">
        <f>SUBTOTAL(103,$B$12:B23)</f>
        <v>12</v>
      </c>
      <c r="B23" s="78">
        <f t="shared" si="18"/>
        <v>43491</v>
      </c>
      <c r="C23" s="571" t="str">
        <f t="shared" si="19"/>
        <v>Đắp vật liệu dạng hạt km101+850,79-km101+820+87 lớp 12</v>
      </c>
      <c r="D23" s="572"/>
      <c r="E23" s="573"/>
      <c r="F23" s="2">
        <f t="shared" si="20"/>
        <v>78.831000000000003</v>
      </c>
      <c r="G23" s="1">
        <f t="shared" si="21"/>
        <v>78.831000000000003</v>
      </c>
      <c r="H23" s="295">
        <f t="shared" si="22"/>
        <v>78.831000000000003</v>
      </c>
      <c r="I23" s="107">
        <f t="shared" si="23"/>
        <v>78.831000000000003</v>
      </c>
      <c r="J23" s="107">
        <f t="shared" si="24"/>
        <v>78.831000000000003</v>
      </c>
      <c r="K23" s="604"/>
      <c r="N23" s="118"/>
      <c r="O23" s="266" t="s">
        <v>418</v>
      </c>
      <c r="P23" s="88">
        <v>78.831000000000003</v>
      </c>
      <c r="Q23" s="89">
        <f t="shared" si="25"/>
        <v>43491</v>
      </c>
      <c r="R23" s="88"/>
      <c r="S23" s="88" t="e">
        <f t="shared" si="0"/>
        <v>#VALUE!</v>
      </c>
      <c r="T23" s="3" t="str">
        <f t="shared" si="26"/>
        <v>Đắp vật liệu dạng hạt km101+850,79-km101+820+87 lớp 12</v>
      </c>
    </row>
    <row r="24" spans="1:20" ht="25.5" customHeight="1" outlineLevel="2">
      <c r="A24" s="81">
        <f>SUBTOTAL(103,$B$12:B24)</f>
        <v>13</v>
      </c>
      <c r="B24" s="78">
        <f t="shared" si="18"/>
        <v>43489</v>
      </c>
      <c r="C24" s="571" t="str">
        <f t="shared" si="19"/>
        <v>Đắp vật liệu dạng hạt km101+850,79-km101+820+87 lớp 13</v>
      </c>
      <c r="D24" s="572"/>
      <c r="E24" s="573"/>
      <c r="F24" s="2">
        <f t="shared" si="20"/>
        <v>78.831000000000003</v>
      </c>
      <c r="G24" s="1">
        <f t="shared" si="21"/>
        <v>78.831000000000003</v>
      </c>
      <c r="H24" s="295">
        <f t="shared" si="22"/>
        <v>78.831000000000003</v>
      </c>
      <c r="I24" s="107">
        <f t="shared" si="23"/>
        <v>78.831000000000003</v>
      </c>
      <c r="J24" s="107">
        <f t="shared" si="24"/>
        <v>78.831000000000003</v>
      </c>
      <c r="K24" s="604"/>
      <c r="N24" s="118"/>
      <c r="O24" s="266" t="s">
        <v>419</v>
      </c>
      <c r="P24" s="88">
        <v>78.831000000000003</v>
      </c>
      <c r="Q24" s="89">
        <f t="shared" si="25"/>
        <v>43489</v>
      </c>
      <c r="R24" s="88"/>
      <c r="S24" s="88" t="e">
        <f t="shared" si="0"/>
        <v>#VALUE!</v>
      </c>
      <c r="T24" s="3" t="str">
        <f t="shared" si="26"/>
        <v>Đắp vật liệu dạng hạt km101+850,79-km101+820+87 lớp 13</v>
      </c>
    </row>
    <row r="25" spans="1:20" ht="25.5" customHeight="1" outlineLevel="2">
      <c r="A25" s="81">
        <f>SUBTOTAL(103,$B$12:B25)</f>
        <v>14</v>
      </c>
      <c r="B25" s="78">
        <f t="shared" si="18"/>
        <v>43487</v>
      </c>
      <c r="C25" s="571" t="str">
        <f t="shared" si="19"/>
        <v>Đắp vật liệu dạng hạt km101+850,79-km101+820+87 lớp 14</v>
      </c>
      <c r="D25" s="572"/>
      <c r="E25" s="573"/>
      <c r="F25" s="2">
        <f t="shared" si="20"/>
        <v>78.831000000000003</v>
      </c>
      <c r="G25" s="1">
        <f t="shared" si="21"/>
        <v>78.831000000000003</v>
      </c>
      <c r="H25" s="295">
        <f t="shared" si="22"/>
        <v>78.831000000000003</v>
      </c>
      <c r="I25" s="107">
        <f t="shared" si="23"/>
        <v>78.831000000000003</v>
      </c>
      <c r="J25" s="107">
        <f t="shared" si="24"/>
        <v>78.831000000000003</v>
      </c>
      <c r="K25" s="604"/>
      <c r="N25" s="118"/>
      <c r="O25" s="266" t="s">
        <v>420</v>
      </c>
      <c r="P25" s="88">
        <v>78.831000000000003</v>
      </c>
      <c r="Q25" s="89">
        <f t="shared" si="25"/>
        <v>43487</v>
      </c>
      <c r="R25" s="88"/>
      <c r="S25" s="88" t="e">
        <f t="shared" si="0"/>
        <v>#VALUE!</v>
      </c>
      <c r="T25" s="3" t="str">
        <f t="shared" si="26"/>
        <v>Đắp vật liệu dạng hạt km101+850,79-km101+820+87 lớp 14</v>
      </c>
    </row>
    <row r="26" spans="1:20" ht="25.5" customHeight="1" outlineLevel="2">
      <c r="A26" s="81">
        <f>SUBTOTAL(103,$B$12:B26)</f>
        <v>15</v>
      </c>
      <c r="B26" s="78">
        <f t="shared" si="18"/>
        <v>43485</v>
      </c>
      <c r="C26" s="571" t="str">
        <f t="shared" si="19"/>
        <v>Đắp vật liệu dạng hạt km101+850,79-km101+820+87 lớp 15</v>
      </c>
      <c r="D26" s="572"/>
      <c r="E26" s="573"/>
      <c r="F26" s="2">
        <f t="shared" si="20"/>
        <v>78.831000000000003</v>
      </c>
      <c r="G26" s="1">
        <f t="shared" si="21"/>
        <v>78.831000000000003</v>
      </c>
      <c r="H26" s="295">
        <f t="shared" si="22"/>
        <v>78.831000000000003</v>
      </c>
      <c r="I26" s="107">
        <f t="shared" si="23"/>
        <v>78.831000000000003</v>
      </c>
      <c r="J26" s="107">
        <f t="shared" si="24"/>
        <v>78.831000000000003</v>
      </c>
      <c r="K26" s="604"/>
      <c r="N26" s="118"/>
      <c r="O26" s="266" t="s">
        <v>421</v>
      </c>
      <c r="P26" s="88">
        <v>78.831000000000003</v>
      </c>
      <c r="Q26" s="89">
        <f t="shared" si="25"/>
        <v>43485</v>
      </c>
      <c r="R26" s="88"/>
      <c r="S26" s="88" t="e">
        <f t="shared" si="0"/>
        <v>#VALUE!</v>
      </c>
      <c r="T26" s="3" t="str">
        <f t="shared" si="26"/>
        <v>Đắp vật liệu dạng hạt km101+850,79-km101+820+87 lớp 15</v>
      </c>
    </row>
    <row r="27" spans="1:20" ht="25.5" customHeight="1" outlineLevel="2">
      <c r="A27" s="81">
        <f>SUBTOTAL(103,$B$12:B27)</f>
        <v>16</v>
      </c>
      <c r="B27" s="78">
        <f t="shared" si="18"/>
        <v>43483</v>
      </c>
      <c r="C27" s="571" t="str">
        <f t="shared" si="19"/>
        <v>Đắp vật liệu dạng hạt km101+850,79-km101+820+87 lớp 16</v>
      </c>
      <c r="D27" s="572"/>
      <c r="E27" s="573"/>
      <c r="F27" s="2">
        <f t="shared" si="20"/>
        <v>78.831000000000003</v>
      </c>
      <c r="G27" s="1">
        <f t="shared" si="21"/>
        <v>78.831000000000003</v>
      </c>
      <c r="H27" s="295">
        <f t="shared" si="22"/>
        <v>78.831000000000003</v>
      </c>
      <c r="I27" s="107">
        <f t="shared" si="23"/>
        <v>78.831000000000003</v>
      </c>
      <c r="J27" s="107">
        <f t="shared" si="24"/>
        <v>78.831000000000003</v>
      </c>
      <c r="K27" s="604"/>
      <c r="N27" s="118"/>
      <c r="O27" s="266" t="s">
        <v>422</v>
      </c>
      <c r="P27" s="88">
        <v>78.831000000000003</v>
      </c>
      <c r="Q27" s="89">
        <f t="shared" si="25"/>
        <v>43483</v>
      </c>
      <c r="R27" s="88"/>
      <c r="S27" s="88" t="e">
        <f t="shared" si="0"/>
        <v>#VALUE!</v>
      </c>
      <c r="T27" s="3" t="str">
        <f t="shared" si="26"/>
        <v>Đắp vật liệu dạng hạt km101+850,79-km101+820+87 lớp 16</v>
      </c>
    </row>
    <row r="28" spans="1:20" ht="25.5" customHeight="1" outlineLevel="2">
      <c r="A28" s="81">
        <f>SUBTOTAL(103,$B$12:B28)</f>
        <v>17</v>
      </c>
      <c r="B28" s="78">
        <f t="shared" si="18"/>
        <v>43481</v>
      </c>
      <c r="C28" s="571" t="str">
        <f t="shared" si="19"/>
        <v>Đắp vật liệu dạng hạt km101+850,79-km101+820+87 lớp 17</v>
      </c>
      <c r="D28" s="572"/>
      <c r="E28" s="573"/>
      <c r="F28" s="2">
        <f t="shared" si="20"/>
        <v>78.831000000000003</v>
      </c>
      <c r="G28" s="1">
        <f t="shared" si="21"/>
        <v>78.831000000000003</v>
      </c>
      <c r="H28" s="295">
        <f t="shared" si="22"/>
        <v>78.831000000000003</v>
      </c>
      <c r="I28" s="107">
        <f t="shared" si="23"/>
        <v>78.831000000000003</v>
      </c>
      <c r="J28" s="107">
        <f t="shared" si="24"/>
        <v>78.831000000000003</v>
      </c>
      <c r="K28" s="604"/>
      <c r="N28" s="118"/>
      <c r="O28" s="266" t="s">
        <v>423</v>
      </c>
      <c r="P28" s="88">
        <v>78.831000000000003</v>
      </c>
      <c r="Q28" s="89">
        <f t="shared" si="25"/>
        <v>43481</v>
      </c>
      <c r="R28" s="88"/>
      <c r="S28" s="88" t="e">
        <f t="shared" si="0"/>
        <v>#VALUE!</v>
      </c>
      <c r="T28" s="3" t="str">
        <f t="shared" si="26"/>
        <v>Đắp vật liệu dạng hạt km101+850,79-km101+820+87 lớp 17</v>
      </c>
    </row>
    <row r="29" spans="1:20" ht="25.5" customHeight="1" outlineLevel="2">
      <c r="A29" s="81">
        <f>SUBTOTAL(103,$B$12:B29)</f>
        <v>18</v>
      </c>
      <c r="B29" s="78">
        <f t="shared" ref="B29:B33" si="27">Q29</f>
        <v>43479</v>
      </c>
      <c r="C29" s="571" t="str">
        <f t="shared" ref="C29:C33" si="28">T29</f>
        <v>Đắp vật liệu dạng hạt km101+850,79-km101+820+87 lớp 18</v>
      </c>
      <c r="D29" s="572"/>
      <c r="E29" s="573"/>
      <c r="F29" s="2">
        <f t="shared" ref="F29:F33" si="29">P29</f>
        <v>78.831000000000003</v>
      </c>
      <c r="G29" s="1">
        <f t="shared" ref="G29:G33" si="30">P29</f>
        <v>78.831000000000003</v>
      </c>
      <c r="H29" s="295">
        <f t="shared" ref="H29:H33" si="31">P29</f>
        <v>78.831000000000003</v>
      </c>
      <c r="I29" s="107">
        <f t="shared" ref="I29:I33" si="32">P29</f>
        <v>78.831000000000003</v>
      </c>
      <c r="J29" s="107">
        <f t="shared" ref="J29:J33" si="33">P29</f>
        <v>78.831000000000003</v>
      </c>
      <c r="K29" s="604"/>
      <c r="N29" s="118"/>
      <c r="O29" s="266" t="s">
        <v>424</v>
      </c>
      <c r="P29" s="88">
        <v>78.831000000000003</v>
      </c>
      <c r="Q29" s="89">
        <f t="shared" ref="Q29:Q33" si="34">+Q28-2</f>
        <v>43479</v>
      </c>
      <c r="R29" s="88"/>
      <c r="S29" s="88" t="e">
        <f t="shared" si="0"/>
        <v>#VALUE!</v>
      </c>
      <c r="T29" s="3" t="str">
        <f t="shared" ref="T29:T33" si="35">$N$6&amp;" "&amp;O29</f>
        <v>Đắp vật liệu dạng hạt km101+850,79-km101+820+87 lớp 18</v>
      </c>
    </row>
    <row r="30" spans="1:20" ht="25.5" customHeight="1" outlineLevel="2">
      <c r="A30" s="81">
        <f>SUBTOTAL(103,$B$12:B30)</f>
        <v>19</v>
      </c>
      <c r="B30" s="78">
        <f t="shared" si="27"/>
        <v>43477</v>
      </c>
      <c r="C30" s="571" t="str">
        <f t="shared" si="28"/>
        <v>Đắp vật liệu dạng hạt km101+850,79-km101+820+87 lớp 19</v>
      </c>
      <c r="D30" s="572"/>
      <c r="E30" s="573"/>
      <c r="F30" s="2">
        <f t="shared" si="29"/>
        <v>78.831000000000003</v>
      </c>
      <c r="G30" s="1">
        <f t="shared" si="30"/>
        <v>78.831000000000003</v>
      </c>
      <c r="H30" s="295">
        <f t="shared" si="31"/>
        <v>78.831000000000003</v>
      </c>
      <c r="I30" s="107">
        <f t="shared" si="32"/>
        <v>78.831000000000003</v>
      </c>
      <c r="J30" s="107">
        <f t="shared" si="33"/>
        <v>78.831000000000003</v>
      </c>
      <c r="K30" s="604"/>
      <c r="N30" s="118"/>
      <c r="O30" s="266" t="s">
        <v>425</v>
      </c>
      <c r="P30" s="88">
        <v>78.831000000000003</v>
      </c>
      <c r="Q30" s="89">
        <f t="shared" si="34"/>
        <v>43477</v>
      </c>
      <c r="R30" s="88"/>
      <c r="S30" s="88" t="e">
        <f t="shared" si="0"/>
        <v>#VALUE!</v>
      </c>
      <c r="T30" s="3" t="str">
        <f t="shared" si="35"/>
        <v>Đắp vật liệu dạng hạt km101+850,79-km101+820+87 lớp 19</v>
      </c>
    </row>
    <row r="31" spans="1:20" ht="25.5" customHeight="1" outlineLevel="2">
      <c r="A31" s="81">
        <f>SUBTOTAL(103,$B$12:B31)</f>
        <v>20</v>
      </c>
      <c r="B31" s="78">
        <f t="shared" si="27"/>
        <v>43475</v>
      </c>
      <c r="C31" s="571" t="str">
        <f t="shared" si="28"/>
        <v>Đắp vật liệu dạng hạt km101+850,79-km101+820+87 lớp 20</v>
      </c>
      <c r="D31" s="572"/>
      <c r="E31" s="573"/>
      <c r="F31" s="2">
        <f t="shared" si="29"/>
        <v>78.831000000000003</v>
      </c>
      <c r="G31" s="1">
        <f t="shared" si="30"/>
        <v>78.831000000000003</v>
      </c>
      <c r="H31" s="295">
        <f t="shared" si="31"/>
        <v>78.831000000000003</v>
      </c>
      <c r="I31" s="107">
        <f t="shared" si="32"/>
        <v>78.831000000000003</v>
      </c>
      <c r="J31" s="107">
        <f t="shared" si="33"/>
        <v>78.831000000000003</v>
      </c>
      <c r="K31" s="604"/>
      <c r="N31" s="118"/>
      <c r="O31" s="266" t="s">
        <v>426</v>
      </c>
      <c r="P31" s="88">
        <v>78.831000000000003</v>
      </c>
      <c r="Q31" s="89">
        <f t="shared" si="34"/>
        <v>43475</v>
      </c>
      <c r="R31" s="88"/>
      <c r="S31" s="88" t="e">
        <f t="shared" si="0"/>
        <v>#VALUE!</v>
      </c>
      <c r="T31" s="3" t="str">
        <f t="shared" si="35"/>
        <v>Đắp vật liệu dạng hạt km101+850,79-km101+820+87 lớp 20</v>
      </c>
    </row>
    <row r="32" spans="1:20" ht="25.5" customHeight="1" outlineLevel="2">
      <c r="A32" s="81">
        <f>SUBTOTAL(103,$B$12:B32)</f>
        <v>21</v>
      </c>
      <c r="B32" s="78">
        <f t="shared" si="27"/>
        <v>43473</v>
      </c>
      <c r="C32" s="571" t="str">
        <f t="shared" si="28"/>
        <v>Đắp vật liệu dạng hạt km101+850,79-km101+820+87 lớp 21</v>
      </c>
      <c r="D32" s="572"/>
      <c r="E32" s="573"/>
      <c r="F32" s="2">
        <f t="shared" si="29"/>
        <v>78.831000000000003</v>
      </c>
      <c r="G32" s="1">
        <f t="shared" si="30"/>
        <v>78.831000000000003</v>
      </c>
      <c r="H32" s="295">
        <f t="shared" si="31"/>
        <v>78.831000000000003</v>
      </c>
      <c r="I32" s="107">
        <f t="shared" si="32"/>
        <v>78.831000000000003</v>
      </c>
      <c r="J32" s="107">
        <f t="shared" si="33"/>
        <v>78.831000000000003</v>
      </c>
      <c r="K32" s="604"/>
      <c r="N32" s="118"/>
      <c r="O32" s="266" t="s">
        <v>427</v>
      </c>
      <c r="P32" s="88">
        <v>78.831000000000003</v>
      </c>
      <c r="Q32" s="89">
        <f t="shared" si="34"/>
        <v>43473</v>
      </c>
      <c r="R32" s="88"/>
      <c r="S32" s="88" t="e">
        <f t="shared" si="0"/>
        <v>#VALUE!</v>
      </c>
      <c r="T32" s="3" t="str">
        <f t="shared" si="35"/>
        <v>Đắp vật liệu dạng hạt km101+850,79-km101+820+87 lớp 21</v>
      </c>
    </row>
    <row r="33" spans="1:20" ht="25.5" customHeight="1" outlineLevel="2">
      <c r="A33" s="81">
        <f>SUBTOTAL(103,$B$12:B33)</f>
        <v>22</v>
      </c>
      <c r="B33" s="78">
        <f t="shared" si="27"/>
        <v>43471</v>
      </c>
      <c r="C33" s="571" t="str">
        <f t="shared" si="28"/>
        <v>Đắp vật liệu dạng hạt km101+850,79-km101+820+87 lớp 22</v>
      </c>
      <c r="D33" s="572"/>
      <c r="E33" s="573"/>
      <c r="F33" s="2">
        <f t="shared" si="29"/>
        <v>78.831000000000003</v>
      </c>
      <c r="G33" s="1">
        <f t="shared" si="30"/>
        <v>78.831000000000003</v>
      </c>
      <c r="H33" s="295">
        <f t="shared" si="31"/>
        <v>78.831000000000003</v>
      </c>
      <c r="I33" s="107">
        <f t="shared" si="32"/>
        <v>78.831000000000003</v>
      </c>
      <c r="J33" s="107">
        <f t="shared" si="33"/>
        <v>78.831000000000003</v>
      </c>
      <c r="K33" s="604"/>
      <c r="N33" s="118"/>
      <c r="O33" s="266" t="s">
        <v>428</v>
      </c>
      <c r="P33" s="88">
        <v>78.831000000000003</v>
      </c>
      <c r="Q33" s="89">
        <f t="shared" si="34"/>
        <v>43471</v>
      </c>
      <c r="R33" s="88"/>
      <c r="S33" s="88" t="e">
        <f t="shared" si="0"/>
        <v>#VALUE!</v>
      </c>
      <c r="T33" s="3" t="str">
        <f t="shared" si="35"/>
        <v>Đắp vật liệu dạng hạt km101+850,79-km101+820+87 lớp 22</v>
      </c>
    </row>
    <row r="34" spans="1:20" ht="25.5" customHeight="1" outlineLevel="2">
      <c r="A34" s="81">
        <f>SUBTOTAL(103,$B$12:B34)</f>
        <v>23</v>
      </c>
      <c r="B34" s="78">
        <f t="shared" ref="B34:B38" si="36">Q34</f>
        <v>43469</v>
      </c>
      <c r="C34" s="571" t="str">
        <f t="shared" ref="C34:C38" si="37">T34</f>
        <v>Đắp vật liệu dạng hạt km101+850,79-km101+820+87 lớp 23</v>
      </c>
      <c r="D34" s="572"/>
      <c r="E34" s="573"/>
      <c r="F34" s="2">
        <f t="shared" ref="F34:F38" si="38">P34</f>
        <v>78.831000000000003</v>
      </c>
      <c r="G34" s="1">
        <f t="shared" ref="G34:G38" si="39">P34</f>
        <v>78.831000000000003</v>
      </c>
      <c r="H34" s="295">
        <f t="shared" ref="H34:H38" si="40">P34</f>
        <v>78.831000000000003</v>
      </c>
      <c r="I34" s="107">
        <f t="shared" ref="I34:I38" si="41">P34</f>
        <v>78.831000000000003</v>
      </c>
      <c r="J34" s="107">
        <f t="shared" ref="J34:J38" si="42">P34</f>
        <v>78.831000000000003</v>
      </c>
      <c r="K34" s="604"/>
      <c r="N34" s="118"/>
      <c r="O34" s="266" t="s">
        <v>429</v>
      </c>
      <c r="P34" s="88">
        <v>78.831000000000003</v>
      </c>
      <c r="Q34" s="89">
        <f t="shared" ref="Q34:Q38" si="43">+Q33-2</f>
        <v>43469</v>
      </c>
      <c r="R34" s="88"/>
      <c r="S34" s="88" t="e">
        <f t="shared" si="0"/>
        <v>#VALUE!</v>
      </c>
      <c r="T34" s="3" t="str">
        <f t="shared" ref="T34:T38" si="44">$N$6&amp;" "&amp;O34</f>
        <v>Đắp vật liệu dạng hạt km101+850,79-km101+820+87 lớp 23</v>
      </c>
    </row>
    <row r="35" spans="1:20" ht="25.5" customHeight="1" outlineLevel="2">
      <c r="A35" s="81">
        <f>SUBTOTAL(103,$B$12:B35)</f>
        <v>24</v>
      </c>
      <c r="B35" s="78">
        <f t="shared" si="36"/>
        <v>43467</v>
      </c>
      <c r="C35" s="571" t="str">
        <f t="shared" si="37"/>
        <v>Đắp vật liệu dạng hạt km101+850,79-km101+820+87 lớp 24</v>
      </c>
      <c r="D35" s="572"/>
      <c r="E35" s="573"/>
      <c r="F35" s="2">
        <f t="shared" si="38"/>
        <v>78.831000000000003</v>
      </c>
      <c r="G35" s="1">
        <f t="shared" si="39"/>
        <v>78.831000000000003</v>
      </c>
      <c r="H35" s="295">
        <f t="shared" si="40"/>
        <v>78.831000000000003</v>
      </c>
      <c r="I35" s="107">
        <f t="shared" si="41"/>
        <v>78.831000000000003</v>
      </c>
      <c r="J35" s="107">
        <f t="shared" si="42"/>
        <v>78.831000000000003</v>
      </c>
      <c r="K35" s="604"/>
      <c r="N35" s="118"/>
      <c r="O35" s="266" t="s">
        <v>430</v>
      </c>
      <c r="P35" s="88">
        <v>78.831000000000003</v>
      </c>
      <c r="Q35" s="89">
        <f t="shared" si="43"/>
        <v>43467</v>
      </c>
      <c r="R35" s="88"/>
      <c r="S35" s="88" t="e">
        <f t="shared" si="0"/>
        <v>#VALUE!</v>
      </c>
      <c r="T35" s="3" t="str">
        <f t="shared" si="44"/>
        <v>Đắp vật liệu dạng hạt km101+850,79-km101+820+87 lớp 24</v>
      </c>
    </row>
    <row r="36" spans="1:20" ht="25.5" customHeight="1" outlineLevel="2">
      <c r="A36" s="81">
        <f>SUBTOTAL(103,$B$12:B36)</f>
        <v>25</v>
      </c>
      <c r="B36" s="78">
        <f t="shared" si="36"/>
        <v>43465</v>
      </c>
      <c r="C36" s="571" t="str">
        <f t="shared" si="37"/>
        <v>Đắp vật liệu dạng hạt km101+850,79-km101+820+87 lớp 25</v>
      </c>
      <c r="D36" s="572"/>
      <c r="E36" s="573"/>
      <c r="F36" s="2">
        <f t="shared" si="38"/>
        <v>78.831000000000003</v>
      </c>
      <c r="G36" s="1">
        <f t="shared" si="39"/>
        <v>78.831000000000003</v>
      </c>
      <c r="H36" s="295">
        <f t="shared" si="40"/>
        <v>78.831000000000003</v>
      </c>
      <c r="I36" s="107">
        <f t="shared" si="41"/>
        <v>78.831000000000003</v>
      </c>
      <c r="J36" s="107">
        <f t="shared" si="42"/>
        <v>78.831000000000003</v>
      </c>
      <c r="K36" s="604"/>
      <c r="N36" s="118"/>
      <c r="O36" s="266" t="s">
        <v>431</v>
      </c>
      <c r="P36" s="88">
        <v>78.831000000000003</v>
      </c>
      <c r="Q36" s="89">
        <f t="shared" si="43"/>
        <v>43465</v>
      </c>
      <c r="R36" s="88"/>
      <c r="S36" s="88" t="e">
        <f t="shared" si="0"/>
        <v>#VALUE!</v>
      </c>
      <c r="T36" s="3" t="str">
        <f t="shared" si="44"/>
        <v>Đắp vật liệu dạng hạt km101+850,79-km101+820+87 lớp 25</v>
      </c>
    </row>
    <row r="37" spans="1:20" ht="25.5" customHeight="1" outlineLevel="2">
      <c r="A37" s="81">
        <f>SUBTOTAL(103,$B$12:B37)</f>
        <v>26</v>
      </c>
      <c r="B37" s="78">
        <f t="shared" si="36"/>
        <v>43463</v>
      </c>
      <c r="C37" s="571" t="str">
        <f t="shared" si="37"/>
        <v>Đắp vật liệu dạng hạt km101+850,79-km101+820+87 lớp 26</v>
      </c>
      <c r="D37" s="572"/>
      <c r="E37" s="573"/>
      <c r="F37" s="2">
        <f t="shared" si="38"/>
        <v>78.831000000000003</v>
      </c>
      <c r="G37" s="1">
        <f t="shared" si="39"/>
        <v>78.831000000000003</v>
      </c>
      <c r="H37" s="295">
        <f t="shared" si="40"/>
        <v>78.831000000000003</v>
      </c>
      <c r="I37" s="107">
        <f t="shared" si="41"/>
        <v>78.831000000000003</v>
      </c>
      <c r="J37" s="107">
        <f t="shared" si="42"/>
        <v>78.831000000000003</v>
      </c>
      <c r="K37" s="604"/>
      <c r="N37" s="118"/>
      <c r="O37" s="266" t="s">
        <v>432</v>
      </c>
      <c r="P37" s="88">
        <v>78.831000000000003</v>
      </c>
      <c r="Q37" s="89">
        <f t="shared" si="43"/>
        <v>43463</v>
      </c>
      <c r="R37" s="88"/>
      <c r="S37" s="88" t="e">
        <f t="shared" si="0"/>
        <v>#VALUE!</v>
      </c>
      <c r="T37" s="3" t="str">
        <f t="shared" si="44"/>
        <v>Đắp vật liệu dạng hạt km101+850,79-km101+820+87 lớp 26</v>
      </c>
    </row>
    <row r="38" spans="1:20" ht="25.5" customHeight="1" outlineLevel="2">
      <c r="A38" s="81">
        <f>SUBTOTAL(103,$B$12:B38)</f>
        <v>27</v>
      </c>
      <c r="B38" s="78">
        <f t="shared" si="36"/>
        <v>43461</v>
      </c>
      <c r="C38" s="571" t="str">
        <f t="shared" si="37"/>
        <v>Đắp vật liệu dạng hạt km101+850,79-km101+820+87 lớp 27</v>
      </c>
      <c r="D38" s="572"/>
      <c r="E38" s="573"/>
      <c r="F38" s="2">
        <f t="shared" si="38"/>
        <v>78.831000000000003</v>
      </c>
      <c r="G38" s="1">
        <f t="shared" si="39"/>
        <v>78.831000000000003</v>
      </c>
      <c r="H38" s="295">
        <f t="shared" si="40"/>
        <v>78.831000000000003</v>
      </c>
      <c r="I38" s="107">
        <f t="shared" si="41"/>
        <v>78.831000000000003</v>
      </c>
      <c r="J38" s="107">
        <f t="shared" si="42"/>
        <v>78.831000000000003</v>
      </c>
      <c r="K38" s="604"/>
      <c r="N38" s="118"/>
      <c r="O38" s="266" t="s">
        <v>433</v>
      </c>
      <c r="P38" s="88">
        <v>78.831000000000003</v>
      </c>
      <c r="Q38" s="89">
        <f t="shared" si="43"/>
        <v>43461</v>
      </c>
      <c r="R38" s="88"/>
      <c r="S38" s="88" t="e">
        <f t="shared" si="0"/>
        <v>#VALUE!</v>
      </c>
      <c r="T38" s="3" t="str">
        <f t="shared" si="44"/>
        <v>Đắp vật liệu dạng hạt km101+850,79-km101+820+87 lớp 27</v>
      </c>
    </row>
    <row r="39" spans="1:20" ht="25.5" customHeight="1" outlineLevel="2">
      <c r="A39" s="81">
        <f>SUBTOTAL(103,$B$12:B39)</f>
        <v>28</v>
      </c>
      <c r="B39" s="78">
        <f t="shared" ref="B39:B44" si="45">Q39</f>
        <v>43459</v>
      </c>
      <c r="C39" s="571" t="str">
        <f t="shared" ref="C39:C44" si="46">T39</f>
        <v>Đắp vật liệu dạng hạt km101+850,79-km101+820+87 lớp 28</v>
      </c>
      <c r="D39" s="572"/>
      <c r="E39" s="573"/>
      <c r="F39" s="2">
        <f t="shared" ref="F39:F44" si="47">P39</f>
        <v>78.831000000000003</v>
      </c>
      <c r="G39" s="1">
        <f t="shared" ref="G39:G44" si="48">P39</f>
        <v>78.831000000000003</v>
      </c>
      <c r="H39" s="295">
        <f t="shared" ref="H39:H44" si="49">P39</f>
        <v>78.831000000000003</v>
      </c>
      <c r="I39" s="107">
        <f t="shared" ref="I39:I44" si="50">P39</f>
        <v>78.831000000000003</v>
      </c>
      <c r="J39" s="107">
        <f t="shared" ref="J39:J44" si="51">P39</f>
        <v>78.831000000000003</v>
      </c>
      <c r="K39" s="604"/>
      <c r="N39" s="118"/>
      <c r="O39" s="266" t="s">
        <v>434</v>
      </c>
      <c r="P39" s="88">
        <v>78.831000000000003</v>
      </c>
      <c r="Q39" s="89">
        <f t="shared" ref="Q39:Q78" si="52">+Q38-2</f>
        <v>43459</v>
      </c>
      <c r="R39" s="88"/>
      <c r="S39" s="88" t="e">
        <f t="shared" si="0"/>
        <v>#VALUE!</v>
      </c>
      <c r="T39" s="3" t="str">
        <f t="shared" ref="T39:T44" si="53">$N$6&amp;" "&amp;O39</f>
        <v>Đắp vật liệu dạng hạt km101+850,79-km101+820+87 lớp 28</v>
      </c>
    </row>
    <row r="40" spans="1:20" ht="25.5" customHeight="1" outlineLevel="2">
      <c r="A40" s="81">
        <f>SUBTOTAL(103,$B$12:B40)</f>
        <v>29</v>
      </c>
      <c r="B40" s="78">
        <f t="shared" si="45"/>
        <v>43457</v>
      </c>
      <c r="C40" s="571" t="str">
        <f t="shared" si="46"/>
        <v>Đắp vật liệu dạng hạt km101+850,79-km101+820+87 lớp 29</v>
      </c>
      <c r="D40" s="572"/>
      <c r="E40" s="573"/>
      <c r="F40" s="2">
        <f t="shared" si="47"/>
        <v>78.831000000000003</v>
      </c>
      <c r="G40" s="1">
        <f t="shared" si="48"/>
        <v>78.831000000000003</v>
      </c>
      <c r="H40" s="295">
        <f t="shared" si="49"/>
        <v>78.831000000000003</v>
      </c>
      <c r="I40" s="107">
        <f t="shared" si="50"/>
        <v>78.831000000000003</v>
      </c>
      <c r="J40" s="107">
        <f t="shared" si="51"/>
        <v>78.831000000000003</v>
      </c>
      <c r="K40" s="604"/>
      <c r="N40" s="118"/>
      <c r="O40" s="266" t="s">
        <v>435</v>
      </c>
      <c r="P40" s="88">
        <v>78.831000000000003</v>
      </c>
      <c r="Q40" s="89">
        <f t="shared" si="52"/>
        <v>43457</v>
      </c>
      <c r="R40" s="88"/>
      <c r="S40" s="88" t="e">
        <f t="shared" si="0"/>
        <v>#VALUE!</v>
      </c>
      <c r="T40" s="3" t="str">
        <f t="shared" si="53"/>
        <v>Đắp vật liệu dạng hạt km101+850,79-km101+820+87 lớp 29</v>
      </c>
    </row>
    <row r="41" spans="1:20" ht="25.5" customHeight="1" outlineLevel="2">
      <c r="A41" s="81">
        <f>SUBTOTAL(103,$B$12:B41)</f>
        <v>30</v>
      </c>
      <c r="B41" s="78">
        <f t="shared" si="45"/>
        <v>43455</v>
      </c>
      <c r="C41" s="571" t="str">
        <f t="shared" si="46"/>
        <v>Đắp vật liệu dạng hạt km101+850,79-km101+820+87 lớp 30</v>
      </c>
      <c r="D41" s="572"/>
      <c r="E41" s="573"/>
      <c r="F41" s="2">
        <f t="shared" si="47"/>
        <v>78.831000000000003</v>
      </c>
      <c r="G41" s="1">
        <f t="shared" si="48"/>
        <v>78.831000000000003</v>
      </c>
      <c r="H41" s="295">
        <f t="shared" si="49"/>
        <v>78.831000000000003</v>
      </c>
      <c r="I41" s="107">
        <f t="shared" si="50"/>
        <v>78.831000000000003</v>
      </c>
      <c r="J41" s="107">
        <f t="shared" si="51"/>
        <v>78.831000000000003</v>
      </c>
      <c r="K41" s="604"/>
      <c r="N41" s="118"/>
      <c r="O41" s="266" t="s">
        <v>436</v>
      </c>
      <c r="P41" s="88">
        <v>78.831000000000003</v>
      </c>
      <c r="Q41" s="89">
        <f t="shared" si="52"/>
        <v>43455</v>
      </c>
      <c r="R41" s="88"/>
      <c r="S41" s="88" t="e">
        <f t="shared" si="0"/>
        <v>#VALUE!</v>
      </c>
      <c r="T41" s="3" t="str">
        <f t="shared" si="53"/>
        <v>Đắp vật liệu dạng hạt km101+850,79-km101+820+87 lớp 30</v>
      </c>
    </row>
    <row r="42" spans="1:20" ht="25.5" customHeight="1" outlineLevel="2">
      <c r="A42" s="81">
        <f>SUBTOTAL(103,$B$12:B42)</f>
        <v>31</v>
      </c>
      <c r="B42" s="78">
        <f t="shared" si="45"/>
        <v>43453</v>
      </c>
      <c r="C42" s="571" t="str">
        <f t="shared" si="46"/>
        <v>Đắp vật liệu dạng hạt km101+850,79-km101+820+87 lớp 31</v>
      </c>
      <c r="D42" s="572"/>
      <c r="E42" s="573"/>
      <c r="F42" s="2">
        <f t="shared" si="47"/>
        <v>78.831000000000003</v>
      </c>
      <c r="G42" s="1">
        <f t="shared" si="48"/>
        <v>78.831000000000003</v>
      </c>
      <c r="H42" s="295">
        <f t="shared" si="49"/>
        <v>78.831000000000003</v>
      </c>
      <c r="I42" s="107">
        <f t="shared" si="50"/>
        <v>78.831000000000003</v>
      </c>
      <c r="J42" s="107">
        <f t="shared" si="51"/>
        <v>78.831000000000003</v>
      </c>
      <c r="K42" s="604"/>
      <c r="N42" s="118"/>
      <c r="O42" s="266" t="s">
        <v>437</v>
      </c>
      <c r="P42" s="88">
        <v>78.831000000000003</v>
      </c>
      <c r="Q42" s="89">
        <f t="shared" si="52"/>
        <v>43453</v>
      </c>
      <c r="R42" s="88"/>
      <c r="S42" s="88" t="e">
        <f t="shared" si="0"/>
        <v>#VALUE!</v>
      </c>
      <c r="T42" s="3" t="str">
        <f t="shared" si="53"/>
        <v>Đắp vật liệu dạng hạt km101+850,79-km101+820+87 lớp 31</v>
      </c>
    </row>
    <row r="43" spans="1:20" ht="25.5" customHeight="1" outlineLevel="2">
      <c r="A43" s="81">
        <f>SUBTOTAL(103,$B$12:B43)</f>
        <v>32</v>
      </c>
      <c r="B43" s="78">
        <f t="shared" si="45"/>
        <v>43451</v>
      </c>
      <c r="C43" s="571" t="str">
        <f t="shared" si="46"/>
        <v>Đắp vật liệu dạng hạt km101+850,79-km101+820+87 lớp 32</v>
      </c>
      <c r="D43" s="572"/>
      <c r="E43" s="573"/>
      <c r="F43" s="2">
        <f t="shared" si="47"/>
        <v>78.831000000000003</v>
      </c>
      <c r="G43" s="1">
        <f t="shared" si="48"/>
        <v>78.831000000000003</v>
      </c>
      <c r="H43" s="295">
        <f t="shared" si="49"/>
        <v>78.831000000000003</v>
      </c>
      <c r="I43" s="107">
        <f t="shared" si="50"/>
        <v>78.831000000000003</v>
      </c>
      <c r="J43" s="107">
        <f t="shared" si="51"/>
        <v>78.831000000000003</v>
      </c>
      <c r="K43" s="604"/>
      <c r="N43" s="118"/>
      <c r="O43" s="266" t="s">
        <v>438</v>
      </c>
      <c r="P43" s="88">
        <v>78.831000000000003</v>
      </c>
      <c r="Q43" s="89">
        <f t="shared" si="52"/>
        <v>43451</v>
      </c>
      <c r="R43" s="88"/>
      <c r="S43" s="88" t="e">
        <f t="shared" si="0"/>
        <v>#VALUE!</v>
      </c>
      <c r="T43" s="3" t="str">
        <f t="shared" si="53"/>
        <v>Đắp vật liệu dạng hạt km101+850,79-km101+820+87 lớp 32</v>
      </c>
    </row>
    <row r="44" spans="1:20" ht="25.5" customHeight="1" outlineLevel="2">
      <c r="A44" s="81">
        <f>SUBTOTAL(103,$B$12:B44)</f>
        <v>33</v>
      </c>
      <c r="B44" s="78">
        <f t="shared" si="45"/>
        <v>43449</v>
      </c>
      <c r="C44" s="571" t="str">
        <f t="shared" si="46"/>
        <v>Đắp vật liệu dạng hạt km101+850,79-km101+820+87 lớp 33</v>
      </c>
      <c r="D44" s="572"/>
      <c r="E44" s="573"/>
      <c r="F44" s="2">
        <f t="shared" si="47"/>
        <v>78.831000000000003</v>
      </c>
      <c r="G44" s="1">
        <f t="shared" si="48"/>
        <v>78.831000000000003</v>
      </c>
      <c r="H44" s="295">
        <f t="shared" si="49"/>
        <v>78.831000000000003</v>
      </c>
      <c r="I44" s="107">
        <f t="shared" si="50"/>
        <v>78.831000000000003</v>
      </c>
      <c r="J44" s="107">
        <f t="shared" si="51"/>
        <v>78.831000000000003</v>
      </c>
      <c r="K44" s="604"/>
      <c r="N44" s="118"/>
      <c r="O44" s="266" t="s">
        <v>439</v>
      </c>
      <c r="P44" s="88">
        <v>78.831000000000003</v>
      </c>
      <c r="Q44" s="89">
        <f t="shared" si="52"/>
        <v>43449</v>
      </c>
      <c r="R44" s="88"/>
      <c r="S44" s="88" t="e">
        <f t="shared" si="0"/>
        <v>#VALUE!</v>
      </c>
      <c r="T44" s="3" t="str">
        <f t="shared" si="53"/>
        <v>Đắp vật liệu dạng hạt km101+850,79-km101+820+87 lớp 33</v>
      </c>
    </row>
    <row r="45" spans="1:20" ht="25.5" customHeight="1" outlineLevel="2">
      <c r="A45" s="81">
        <f>SUBTOTAL(103,$B$12:B45)</f>
        <v>34</v>
      </c>
      <c r="B45" s="78">
        <f t="shared" ref="B45" si="54">Q45</f>
        <v>43447</v>
      </c>
      <c r="C45" s="571" t="str">
        <f t="shared" ref="C45" si="55">T45</f>
        <v>Đắp vật liệu dạng hạt km101+850,79-km101+820+87 lớp 34</v>
      </c>
      <c r="D45" s="572"/>
      <c r="E45" s="573"/>
      <c r="F45" s="2">
        <f t="shared" ref="F45" si="56">P45</f>
        <v>0</v>
      </c>
      <c r="G45" s="1">
        <f t="shared" ref="G45" si="57">P45</f>
        <v>0</v>
      </c>
      <c r="H45" s="295">
        <f t="shared" ref="H45" si="58">P45</f>
        <v>0</v>
      </c>
      <c r="I45" s="107">
        <f t="shared" ref="I45" si="59">P45</f>
        <v>0</v>
      </c>
      <c r="J45" s="107">
        <f t="shared" ref="J45" si="60">P45</f>
        <v>0</v>
      </c>
      <c r="K45" s="604"/>
      <c r="N45" s="118"/>
      <c r="O45" s="266" t="s">
        <v>563</v>
      </c>
      <c r="P45" s="88"/>
      <c r="Q45" s="89">
        <f t="shared" si="52"/>
        <v>43447</v>
      </c>
      <c r="R45" s="88"/>
      <c r="S45" s="88" t="e">
        <f t="shared" ref="S45" si="61">VLOOKUP($S$11,hamchuigoi3,M45,0)</f>
        <v>#VALUE!</v>
      </c>
      <c r="T45" s="3" t="str">
        <f t="shared" ref="T45" si="62">$N$6&amp;" "&amp;O45</f>
        <v>Đắp vật liệu dạng hạt km101+850,79-km101+820+87 lớp 34</v>
      </c>
    </row>
    <row r="46" spans="1:20" ht="25.5" customHeight="1" outlineLevel="2">
      <c r="A46" s="81">
        <f>SUBTOTAL(103,$B$12:B46)</f>
        <v>35</v>
      </c>
      <c r="B46" s="78">
        <f t="shared" ref="B46:B54" si="63">Q46</f>
        <v>43446</v>
      </c>
      <c r="C46" s="571" t="str">
        <f t="shared" ref="C46:C54" si="64">T46</f>
        <v>Đắp vật liệu dạng hạt km101+850,79-km101+820+87 lớp 35</v>
      </c>
      <c r="D46" s="572"/>
      <c r="E46" s="573"/>
      <c r="F46" s="2">
        <f t="shared" ref="F46:F54" si="65">P46</f>
        <v>78.831000000000003</v>
      </c>
      <c r="G46" s="1">
        <f t="shared" ref="G46:G54" si="66">P46</f>
        <v>78.831000000000003</v>
      </c>
      <c r="H46" s="295">
        <f t="shared" ref="H46:H54" si="67">P46</f>
        <v>78.831000000000003</v>
      </c>
      <c r="I46" s="107">
        <f t="shared" ref="I46:I54" si="68">P46</f>
        <v>78.831000000000003</v>
      </c>
      <c r="J46" s="107">
        <f t="shared" ref="J46:J54" si="69">P46</f>
        <v>78.831000000000003</v>
      </c>
      <c r="K46" s="604"/>
      <c r="N46" s="118"/>
      <c r="O46" s="266" t="s">
        <v>564</v>
      </c>
      <c r="P46" s="88">
        <v>78.831000000000003</v>
      </c>
      <c r="Q46" s="89">
        <f>+Q44-3</f>
        <v>43446</v>
      </c>
      <c r="R46" s="88"/>
      <c r="S46" s="88" t="e">
        <f t="shared" ref="S46:S54" si="70">VLOOKUP($S$11,hamchuigoi3,M46,0)</f>
        <v>#VALUE!</v>
      </c>
      <c r="T46" s="3" t="str">
        <f t="shared" ref="T46:T54" si="71">$N$6&amp;" "&amp;O46</f>
        <v>Đắp vật liệu dạng hạt km101+850,79-km101+820+87 lớp 35</v>
      </c>
    </row>
    <row r="47" spans="1:20" ht="25.5" customHeight="1" outlineLevel="2">
      <c r="A47" s="81">
        <f>SUBTOTAL(103,$B$12:B47)</f>
        <v>36</v>
      </c>
      <c r="B47" s="78">
        <f t="shared" si="63"/>
        <v>43443</v>
      </c>
      <c r="C47" s="571" t="str">
        <f t="shared" si="64"/>
        <v>Đắp vật liệu dạng hạt km101+850,79-km101+820+87 lớp 36</v>
      </c>
      <c r="D47" s="572"/>
      <c r="E47" s="573"/>
      <c r="F47" s="2">
        <f t="shared" si="65"/>
        <v>78.831000000000003</v>
      </c>
      <c r="G47" s="1">
        <f t="shared" si="66"/>
        <v>78.831000000000003</v>
      </c>
      <c r="H47" s="295">
        <f t="shared" si="67"/>
        <v>78.831000000000003</v>
      </c>
      <c r="I47" s="107">
        <f t="shared" si="68"/>
        <v>78.831000000000003</v>
      </c>
      <c r="J47" s="107">
        <f t="shared" si="69"/>
        <v>78.831000000000003</v>
      </c>
      <c r="K47" s="604"/>
      <c r="N47" s="118"/>
      <c r="O47" s="266" t="s">
        <v>565</v>
      </c>
      <c r="P47" s="88">
        <v>78.831000000000003</v>
      </c>
      <c r="Q47" s="89">
        <f>+Q46-3</f>
        <v>43443</v>
      </c>
      <c r="R47" s="88"/>
      <c r="S47" s="88" t="e">
        <f t="shared" si="70"/>
        <v>#VALUE!</v>
      </c>
      <c r="T47" s="3" t="str">
        <f t="shared" si="71"/>
        <v>Đắp vật liệu dạng hạt km101+850,79-km101+820+87 lớp 36</v>
      </c>
    </row>
    <row r="48" spans="1:20" ht="25.5" customHeight="1" outlineLevel="2">
      <c r="A48" s="81">
        <f>SUBTOTAL(103,$B$12:B48)</f>
        <v>37</v>
      </c>
      <c r="B48" s="78">
        <f t="shared" si="63"/>
        <v>43441</v>
      </c>
      <c r="C48" s="571" t="str">
        <f t="shared" si="64"/>
        <v>Đắp vật liệu dạng hạt km101+850,79-km101+820+87 lớp 37</v>
      </c>
      <c r="D48" s="572"/>
      <c r="E48" s="573"/>
      <c r="F48" s="2">
        <f t="shared" si="65"/>
        <v>78.825999999999993</v>
      </c>
      <c r="G48" s="1">
        <f t="shared" si="66"/>
        <v>78.825999999999993</v>
      </c>
      <c r="H48" s="295">
        <f t="shared" si="67"/>
        <v>78.825999999999993</v>
      </c>
      <c r="I48" s="107">
        <f t="shared" si="68"/>
        <v>78.825999999999993</v>
      </c>
      <c r="J48" s="107">
        <f t="shared" si="69"/>
        <v>78.825999999999993</v>
      </c>
      <c r="K48" s="604"/>
      <c r="N48" s="118"/>
      <c r="O48" s="266" t="s">
        <v>566</v>
      </c>
      <c r="P48" s="88">
        <v>78.825999999999993</v>
      </c>
      <c r="Q48" s="89">
        <f t="shared" si="52"/>
        <v>43441</v>
      </c>
      <c r="R48" s="88"/>
      <c r="S48" s="88" t="e">
        <f t="shared" si="70"/>
        <v>#VALUE!</v>
      </c>
      <c r="T48" s="3" t="str">
        <f t="shared" si="71"/>
        <v>Đắp vật liệu dạng hạt km101+850,79-km101+820+87 lớp 37</v>
      </c>
    </row>
    <row r="49" spans="1:20" ht="25.5" customHeight="1" outlineLevel="2">
      <c r="A49" s="81">
        <f>SUBTOTAL(103,$B$12:B49)</f>
        <v>38</v>
      </c>
      <c r="B49" s="78">
        <f t="shared" si="63"/>
        <v>43439</v>
      </c>
      <c r="C49" s="571" t="str">
        <f t="shared" si="64"/>
        <v>Đắp vật liệu dạng hạt km101+850,79-km101+820+87 lớp 38</v>
      </c>
      <c r="D49" s="572"/>
      <c r="E49" s="573"/>
      <c r="F49" s="2">
        <f t="shared" si="65"/>
        <v>78.831000000000003</v>
      </c>
      <c r="G49" s="1">
        <f t="shared" si="66"/>
        <v>78.831000000000003</v>
      </c>
      <c r="H49" s="295">
        <f t="shared" si="67"/>
        <v>78.831000000000003</v>
      </c>
      <c r="I49" s="107">
        <f t="shared" si="68"/>
        <v>78.831000000000003</v>
      </c>
      <c r="J49" s="107">
        <f t="shared" si="69"/>
        <v>78.831000000000003</v>
      </c>
      <c r="K49" s="604"/>
      <c r="N49" s="118"/>
      <c r="O49" s="266" t="s">
        <v>567</v>
      </c>
      <c r="P49" s="88">
        <v>78.831000000000003</v>
      </c>
      <c r="Q49" s="89">
        <f t="shared" si="52"/>
        <v>43439</v>
      </c>
      <c r="R49" s="88"/>
      <c r="S49" s="88" t="e">
        <f t="shared" si="70"/>
        <v>#VALUE!</v>
      </c>
      <c r="T49" s="3" t="str">
        <f t="shared" si="71"/>
        <v>Đắp vật liệu dạng hạt km101+850,79-km101+820+87 lớp 38</v>
      </c>
    </row>
    <row r="50" spans="1:20" ht="25.5" customHeight="1" outlineLevel="2">
      <c r="A50" s="81">
        <f>SUBTOTAL(103,$B$12:B50)</f>
        <v>39</v>
      </c>
      <c r="B50" s="78">
        <f t="shared" si="63"/>
        <v>43437</v>
      </c>
      <c r="C50" s="571" t="str">
        <f t="shared" si="64"/>
        <v>Đắp vật liệu dạng hạt km101+850,79-km101+820+87 lớp 39</v>
      </c>
      <c r="D50" s="572"/>
      <c r="E50" s="573"/>
      <c r="F50" s="2">
        <f t="shared" si="65"/>
        <v>78.831000000000003</v>
      </c>
      <c r="G50" s="1">
        <f t="shared" si="66"/>
        <v>78.831000000000003</v>
      </c>
      <c r="H50" s="295">
        <f t="shared" si="67"/>
        <v>78.831000000000003</v>
      </c>
      <c r="I50" s="107">
        <f t="shared" si="68"/>
        <v>78.831000000000003</v>
      </c>
      <c r="J50" s="107">
        <f t="shared" si="69"/>
        <v>78.831000000000003</v>
      </c>
      <c r="K50" s="604"/>
      <c r="N50" s="118"/>
      <c r="O50" s="266" t="s">
        <v>568</v>
      </c>
      <c r="P50" s="88">
        <v>78.831000000000003</v>
      </c>
      <c r="Q50" s="89">
        <f t="shared" si="52"/>
        <v>43437</v>
      </c>
      <c r="R50" s="88"/>
      <c r="S50" s="88" t="e">
        <f t="shared" si="70"/>
        <v>#VALUE!</v>
      </c>
      <c r="T50" s="3" t="str">
        <f t="shared" si="71"/>
        <v>Đắp vật liệu dạng hạt km101+850,79-km101+820+87 lớp 39</v>
      </c>
    </row>
    <row r="51" spans="1:20" ht="25.5" customHeight="1" outlineLevel="2">
      <c r="A51" s="81">
        <f>SUBTOTAL(103,$B$12:B51)</f>
        <v>40</v>
      </c>
      <c r="B51" s="78">
        <f t="shared" si="63"/>
        <v>43435</v>
      </c>
      <c r="C51" s="571" t="str">
        <f t="shared" si="64"/>
        <v>Đắp vật liệu dạng hạt km101+850,79-km101+820+87 lớp 40</v>
      </c>
      <c r="D51" s="572"/>
      <c r="E51" s="573"/>
      <c r="F51" s="2">
        <f t="shared" si="65"/>
        <v>78.831000000000003</v>
      </c>
      <c r="G51" s="1">
        <f t="shared" si="66"/>
        <v>78.831000000000003</v>
      </c>
      <c r="H51" s="295">
        <f t="shared" si="67"/>
        <v>78.831000000000003</v>
      </c>
      <c r="I51" s="107">
        <f t="shared" si="68"/>
        <v>78.831000000000003</v>
      </c>
      <c r="J51" s="107">
        <f t="shared" si="69"/>
        <v>78.831000000000003</v>
      </c>
      <c r="K51" s="604"/>
      <c r="N51" s="118"/>
      <c r="O51" s="266" t="s">
        <v>569</v>
      </c>
      <c r="P51" s="88">
        <v>78.831000000000003</v>
      </c>
      <c r="Q51" s="89">
        <f t="shared" si="52"/>
        <v>43435</v>
      </c>
      <c r="R51" s="88"/>
      <c r="S51" s="88" t="e">
        <f t="shared" si="70"/>
        <v>#VALUE!</v>
      </c>
      <c r="T51" s="3" t="str">
        <f t="shared" si="71"/>
        <v>Đắp vật liệu dạng hạt km101+850,79-km101+820+87 lớp 40</v>
      </c>
    </row>
    <row r="52" spans="1:20" ht="25.5" customHeight="1" outlineLevel="2">
      <c r="A52" s="81">
        <f>SUBTOTAL(103,$B$12:B52)</f>
        <v>41</v>
      </c>
      <c r="B52" s="78">
        <f t="shared" si="63"/>
        <v>43433</v>
      </c>
      <c r="C52" s="571" t="str">
        <f t="shared" si="64"/>
        <v>Đắp vật liệu dạng hạt km101+850,79-km101+820+87 lớp 41</v>
      </c>
      <c r="D52" s="572"/>
      <c r="E52" s="573"/>
      <c r="F52" s="2">
        <f t="shared" si="65"/>
        <v>78.831000000000003</v>
      </c>
      <c r="G52" s="1">
        <f t="shared" si="66"/>
        <v>78.831000000000003</v>
      </c>
      <c r="H52" s="295">
        <f t="shared" si="67"/>
        <v>78.831000000000003</v>
      </c>
      <c r="I52" s="107">
        <f t="shared" si="68"/>
        <v>78.831000000000003</v>
      </c>
      <c r="J52" s="107">
        <f t="shared" si="69"/>
        <v>78.831000000000003</v>
      </c>
      <c r="K52" s="604"/>
      <c r="N52" s="118"/>
      <c r="O52" s="266" t="s">
        <v>570</v>
      </c>
      <c r="P52" s="88">
        <v>78.831000000000003</v>
      </c>
      <c r="Q52" s="89">
        <f t="shared" si="52"/>
        <v>43433</v>
      </c>
      <c r="R52" s="88"/>
      <c r="S52" s="88" t="e">
        <f t="shared" si="70"/>
        <v>#VALUE!</v>
      </c>
      <c r="T52" s="3" t="str">
        <f t="shared" si="71"/>
        <v>Đắp vật liệu dạng hạt km101+850,79-km101+820+87 lớp 41</v>
      </c>
    </row>
    <row r="53" spans="1:20" ht="25.5" customHeight="1" outlineLevel="2">
      <c r="A53" s="81">
        <f>SUBTOTAL(103,$B$12:B53)</f>
        <v>42</v>
      </c>
      <c r="B53" s="78">
        <f t="shared" si="63"/>
        <v>43431</v>
      </c>
      <c r="C53" s="571" t="str">
        <f t="shared" si="64"/>
        <v>Đắp vật liệu dạng hạt km101+850,79-km101+820+87 lớp 42</v>
      </c>
      <c r="D53" s="572"/>
      <c r="E53" s="573"/>
      <c r="F53" s="2">
        <f t="shared" si="65"/>
        <v>76.424000000000007</v>
      </c>
      <c r="G53" s="1">
        <f t="shared" si="66"/>
        <v>76.424000000000007</v>
      </c>
      <c r="H53" s="295">
        <f t="shared" si="67"/>
        <v>76.424000000000007</v>
      </c>
      <c r="I53" s="107">
        <f t="shared" si="68"/>
        <v>76.424000000000007</v>
      </c>
      <c r="J53" s="107">
        <f t="shared" si="69"/>
        <v>76.424000000000007</v>
      </c>
      <c r="K53" s="604"/>
      <c r="N53" s="118"/>
      <c r="O53" s="266" t="s">
        <v>571</v>
      </c>
      <c r="P53" s="88">
        <v>76.424000000000007</v>
      </c>
      <c r="Q53" s="89">
        <f t="shared" si="52"/>
        <v>43431</v>
      </c>
      <c r="R53" s="88"/>
      <c r="S53" s="88" t="e">
        <f t="shared" si="70"/>
        <v>#VALUE!</v>
      </c>
      <c r="T53" s="3" t="str">
        <f t="shared" si="71"/>
        <v>Đắp vật liệu dạng hạt km101+850,79-km101+820+87 lớp 42</v>
      </c>
    </row>
    <row r="54" spans="1:20" ht="25.5" customHeight="1" outlineLevel="2">
      <c r="A54" s="81">
        <f>SUBTOTAL(103,$B$12:B54)</f>
        <v>43</v>
      </c>
      <c r="B54" s="78">
        <f t="shared" si="63"/>
        <v>43429</v>
      </c>
      <c r="C54" s="571" t="str">
        <f t="shared" si="64"/>
        <v>Đắp vật liệu dạng hạt km101+850,79-km101+820+87 lớp 43</v>
      </c>
      <c r="D54" s="572"/>
      <c r="E54" s="573"/>
      <c r="F54" s="2">
        <f t="shared" si="65"/>
        <v>67.491</v>
      </c>
      <c r="G54" s="1">
        <f t="shared" si="66"/>
        <v>67.491</v>
      </c>
      <c r="H54" s="295">
        <f t="shared" si="67"/>
        <v>67.491</v>
      </c>
      <c r="I54" s="107">
        <f t="shared" si="68"/>
        <v>67.491</v>
      </c>
      <c r="J54" s="107">
        <f t="shared" si="69"/>
        <v>67.491</v>
      </c>
      <c r="K54" s="604"/>
      <c r="N54" s="118"/>
      <c r="O54" s="266" t="s">
        <v>572</v>
      </c>
      <c r="P54" s="88">
        <v>67.491</v>
      </c>
      <c r="Q54" s="89">
        <f t="shared" si="52"/>
        <v>43429</v>
      </c>
      <c r="R54" s="88"/>
      <c r="S54" s="88" t="e">
        <f t="shared" si="70"/>
        <v>#VALUE!</v>
      </c>
      <c r="T54" s="3" t="str">
        <f t="shared" si="71"/>
        <v>Đắp vật liệu dạng hạt km101+850,79-km101+820+87 lớp 43</v>
      </c>
    </row>
    <row r="55" spans="1:20" ht="25.5" customHeight="1" outlineLevel="2">
      <c r="A55" s="81">
        <f>SUBTOTAL(103,$B$12:B55)</f>
        <v>44</v>
      </c>
      <c r="B55" s="78">
        <f t="shared" ref="B55:B69" si="72">Q55</f>
        <v>43427</v>
      </c>
      <c r="C55" s="571" t="str">
        <f t="shared" ref="C55:C69" si="73">T55</f>
        <v>Đắp vật liệu dạng hạt km101+850,79-km101+820+87 lớp 44</v>
      </c>
      <c r="D55" s="572"/>
      <c r="E55" s="573"/>
      <c r="F55" s="2">
        <f t="shared" ref="F55:F69" si="74">P55</f>
        <v>67.491</v>
      </c>
      <c r="G55" s="1">
        <f t="shared" ref="G55:G69" si="75">P55</f>
        <v>67.491</v>
      </c>
      <c r="H55" s="295">
        <f t="shared" ref="H55:H69" si="76">P55</f>
        <v>67.491</v>
      </c>
      <c r="I55" s="107">
        <f t="shared" ref="I55:I69" si="77">P55</f>
        <v>67.491</v>
      </c>
      <c r="J55" s="107">
        <f t="shared" ref="J55:J69" si="78">P55</f>
        <v>67.491</v>
      </c>
      <c r="K55" s="604"/>
      <c r="N55" s="118"/>
      <c r="O55" s="266" t="s">
        <v>573</v>
      </c>
      <c r="P55" s="88">
        <v>67.491</v>
      </c>
      <c r="Q55" s="89">
        <f t="shared" si="52"/>
        <v>43427</v>
      </c>
      <c r="R55" s="88"/>
      <c r="S55" s="88" t="e">
        <f t="shared" ref="S55:S69" si="79">VLOOKUP($S$11,hamchuigoi3,M55,0)</f>
        <v>#VALUE!</v>
      </c>
      <c r="T55" s="3" t="str">
        <f t="shared" ref="T55:T69" si="80">$N$6&amp;" "&amp;O55</f>
        <v>Đắp vật liệu dạng hạt km101+850,79-km101+820+87 lớp 44</v>
      </c>
    </row>
    <row r="56" spans="1:20" ht="25.5" customHeight="1" outlineLevel="2">
      <c r="A56" s="81">
        <f>SUBTOTAL(103,$B$12:B56)</f>
        <v>45</v>
      </c>
      <c r="B56" s="78">
        <f t="shared" si="72"/>
        <v>43425</v>
      </c>
      <c r="C56" s="571" t="str">
        <f t="shared" si="73"/>
        <v>Đắp vật liệu dạng hạt km101+850,79-km101+820+87 lớp 45</v>
      </c>
      <c r="D56" s="572"/>
      <c r="E56" s="573"/>
      <c r="F56" s="2">
        <f t="shared" si="74"/>
        <v>67.491</v>
      </c>
      <c r="G56" s="1">
        <f t="shared" si="75"/>
        <v>67.491</v>
      </c>
      <c r="H56" s="295">
        <f t="shared" si="76"/>
        <v>67.491</v>
      </c>
      <c r="I56" s="107">
        <f t="shared" si="77"/>
        <v>67.491</v>
      </c>
      <c r="J56" s="107">
        <f t="shared" si="78"/>
        <v>67.491</v>
      </c>
      <c r="K56" s="604"/>
      <c r="N56" s="118"/>
      <c r="O56" s="266" t="s">
        <v>574</v>
      </c>
      <c r="P56" s="88">
        <v>67.491</v>
      </c>
      <c r="Q56" s="89">
        <f t="shared" si="52"/>
        <v>43425</v>
      </c>
      <c r="R56" s="88"/>
      <c r="S56" s="88" t="e">
        <f t="shared" si="79"/>
        <v>#VALUE!</v>
      </c>
      <c r="T56" s="3" t="str">
        <f t="shared" si="80"/>
        <v>Đắp vật liệu dạng hạt km101+850,79-km101+820+87 lớp 45</v>
      </c>
    </row>
    <row r="57" spans="1:20" ht="25.5" customHeight="1" outlineLevel="2">
      <c r="A57" s="81">
        <f>SUBTOTAL(103,$B$12:B57)</f>
        <v>46</v>
      </c>
      <c r="B57" s="78">
        <f t="shared" si="72"/>
        <v>43423</v>
      </c>
      <c r="C57" s="571" t="str">
        <f t="shared" si="73"/>
        <v>Đắp vật liệu dạng hạt km101+850,79-km101+820+87 lớp 46</v>
      </c>
      <c r="D57" s="572"/>
      <c r="E57" s="573"/>
      <c r="F57" s="2">
        <f t="shared" si="74"/>
        <v>67.491</v>
      </c>
      <c r="G57" s="1">
        <f t="shared" si="75"/>
        <v>67.491</v>
      </c>
      <c r="H57" s="295">
        <f t="shared" si="76"/>
        <v>67.491</v>
      </c>
      <c r="I57" s="107">
        <f t="shared" si="77"/>
        <v>67.491</v>
      </c>
      <c r="J57" s="107">
        <f t="shared" si="78"/>
        <v>67.491</v>
      </c>
      <c r="K57" s="604"/>
      <c r="N57" s="118"/>
      <c r="O57" s="266" t="s">
        <v>575</v>
      </c>
      <c r="P57" s="88">
        <v>67.491</v>
      </c>
      <c r="Q57" s="89">
        <f t="shared" si="52"/>
        <v>43423</v>
      </c>
      <c r="R57" s="88"/>
      <c r="S57" s="88" t="e">
        <f t="shared" si="79"/>
        <v>#VALUE!</v>
      </c>
      <c r="T57" s="3" t="str">
        <f t="shared" si="80"/>
        <v>Đắp vật liệu dạng hạt km101+850,79-km101+820+87 lớp 46</v>
      </c>
    </row>
    <row r="58" spans="1:20" ht="25.5" customHeight="1" outlineLevel="2">
      <c r="A58" s="81">
        <f>SUBTOTAL(103,$B$12:B58)</f>
        <v>47</v>
      </c>
      <c r="B58" s="78">
        <f t="shared" si="72"/>
        <v>43420</v>
      </c>
      <c r="C58" s="571" t="str">
        <f t="shared" si="73"/>
        <v>Đắp vật liệu dạng hạt km101+850,79-km101+820+87 lớp 47</v>
      </c>
      <c r="D58" s="572"/>
      <c r="E58" s="573"/>
      <c r="F58" s="2">
        <f t="shared" si="74"/>
        <v>67.436999999999998</v>
      </c>
      <c r="G58" s="1">
        <f t="shared" si="75"/>
        <v>67.436999999999998</v>
      </c>
      <c r="H58" s="295">
        <f t="shared" si="76"/>
        <v>67.436999999999998</v>
      </c>
      <c r="I58" s="107">
        <f t="shared" si="77"/>
        <v>67.436999999999998</v>
      </c>
      <c r="J58" s="107">
        <f t="shared" si="78"/>
        <v>67.436999999999998</v>
      </c>
      <c r="K58" s="604"/>
      <c r="N58" s="118"/>
      <c r="O58" s="266" t="s">
        <v>576</v>
      </c>
      <c r="P58" s="88">
        <v>67.436999999999998</v>
      </c>
      <c r="Q58" s="89">
        <f>+Q57-3</f>
        <v>43420</v>
      </c>
      <c r="R58" s="88"/>
      <c r="S58" s="88" t="e">
        <f t="shared" si="79"/>
        <v>#VALUE!</v>
      </c>
      <c r="T58" s="3" t="str">
        <f t="shared" si="80"/>
        <v>Đắp vật liệu dạng hạt km101+850,79-km101+820+87 lớp 47</v>
      </c>
    </row>
    <row r="59" spans="1:20" ht="25.5" customHeight="1" outlineLevel="2">
      <c r="A59" s="81">
        <f>SUBTOTAL(103,$B$12:B59)</f>
        <v>48</v>
      </c>
      <c r="B59" s="78">
        <f t="shared" si="72"/>
        <v>43418</v>
      </c>
      <c r="C59" s="571" t="str">
        <f t="shared" si="73"/>
        <v>Đắp vật liệu dạng hạt km101+850,79-km101+820+87 lớp 48</v>
      </c>
      <c r="D59" s="572"/>
      <c r="E59" s="573"/>
      <c r="F59" s="2">
        <f t="shared" si="74"/>
        <v>67.349999999999994</v>
      </c>
      <c r="G59" s="1">
        <f t="shared" si="75"/>
        <v>67.349999999999994</v>
      </c>
      <c r="H59" s="295">
        <f t="shared" si="76"/>
        <v>67.349999999999994</v>
      </c>
      <c r="I59" s="107">
        <f t="shared" si="77"/>
        <v>67.349999999999994</v>
      </c>
      <c r="J59" s="107">
        <f t="shared" si="78"/>
        <v>67.349999999999994</v>
      </c>
      <c r="K59" s="604"/>
      <c r="N59" s="118"/>
      <c r="O59" s="266" t="s">
        <v>577</v>
      </c>
      <c r="P59" s="88">
        <v>67.349999999999994</v>
      </c>
      <c r="Q59" s="89">
        <f t="shared" si="52"/>
        <v>43418</v>
      </c>
      <c r="R59" s="88"/>
      <c r="S59" s="88" t="e">
        <f t="shared" si="79"/>
        <v>#VALUE!</v>
      </c>
      <c r="T59" s="3" t="str">
        <f t="shared" si="80"/>
        <v>Đắp vật liệu dạng hạt km101+850,79-km101+820+87 lớp 48</v>
      </c>
    </row>
    <row r="60" spans="1:20" ht="25.5" customHeight="1" outlineLevel="2">
      <c r="A60" s="81">
        <f>SUBTOTAL(103,$B$12:B60)</f>
        <v>49</v>
      </c>
      <c r="B60" s="78">
        <f t="shared" si="72"/>
        <v>43414</v>
      </c>
      <c r="C60" s="571" t="str">
        <f t="shared" si="73"/>
        <v>Đắp vật liệu dạng hạt km101+850,79-km101+820+87 lớp 49</v>
      </c>
      <c r="D60" s="572"/>
      <c r="E60" s="573"/>
      <c r="F60" s="2">
        <f t="shared" si="74"/>
        <v>67.444000000000003</v>
      </c>
      <c r="G60" s="1">
        <f t="shared" si="75"/>
        <v>67.444000000000003</v>
      </c>
      <c r="H60" s="295">
        <f t="shared" si="76"/>
        <v>67.444000000000003</v>
      </c>
      <c r="I60" s="107">
        <f t="shared" si="77"/>
        <v>67.444000000000003</v>
      </c>
      <c r="J60" s="107">
        <f t="shared" si="78"/>
        <v>67.444000000000003</v>
      </c>
      <c r="K60" s="604"/>
      <c r="N60" s="118"/>
      <c r="O60" s="266" t="s">
        <v>578</v>
      </c>
      <c r="P60" s="88">
        <v>67.444000000000003</v>
      </c>
      <c r="Q60" s="89">
        <f>+Q59-4</f>
        <v>43414</v>
      </c>
      <c r="R60" s="88"/>
      <c r="S60" s="88" t="e">
        <f t="shared" si="79"/>
        <v>#VALUE!</v>
      </c>
      <c r="T60" s="3" t="str">
        <f t="shared" si="80"/>
        <v>Đắp vật liệu dạng hạt km101+850,79-km101+820+87 lớp 49</v>
      </c>
    </row>
    <row r="61" spans="1:20" ht="25.5" customHeight="1" outlineLevel="2">
      <c r="A61" s="81">
        <f>SUBTOTAL(103,$B$12:B61)</f>
        <v>50</v>
      </c>
      <c r="B61" s="78">
        <f t="shared" si="72"/>
        <v>43412</v>
      </c>
      <c r="C61" s="571" t="str">
        <f t="shared" si="73"/>
        <v>Đắp vật liệu dạng hạt km101+850,79-km101+820+87 lớp 50</v>
      </c>
      <c r="D61" s="572"/>
      <c r="E61" s="573"/>
      <c r="F61" s="2">
        <f t="shared" si="74"/>
        <v>67.421000000000006</v>
      </c>
      <c r="G61" s="1">
        <f t="shared" si="75"/>
        <v>67.421000000000006</v>
      </c>
      <c r="H61" s="295">
        <f t="shared" si="76"/>
        <v>67.421000000000006</v>
      </c>
      <c r="I61" s="107">
        <f t="shared" si="77"/>
        <v>67.421000000000006</v>
      </c>
      <c r="J61" s="107">
        <f t="shared" si="78"/>
        <v>67.421000000000006</v>
      </c>
      <c r="K61" s="604"/>
      <c r="N61" s="118"/>
      <c r="O61" s="266" t="s">
        <v>579</v>
      </c>
      <c r="P61" s="88">
        <v>67.421000000000006</v>
      </c>
      <c r="Q61" s="89">
        <f t="shared" si="52"/>
        <v>43412</v>
      </c>
      <c r="R61" s="88"/>
      <c r="S61" s="88" t="e">
        <f t="shared" si="79"/>
        <v>#VALUE!</v>
      </c>
      <c r="T61" s="3" t="str">
        <f t="shared" si="80"/>
        <v>Đắp vật liệu dạng hạt km101+850,79-km101+820+87 lớp 50</v>
      </c>
    </row>
    <row r="62" spans="1:20" ht="25.5" customHeight="1" outlineLevel="2">
      <c r="A62" s="81">
        <f>SUBTOTAL(103,$B$12:B62)</f>
        <v>51</v>
      </c>
      <c r="B62" s="78">
        <f t="shared" si="72"/>
        <v>43410</v>
      </c>
      <c r="C62" s="571" t="str">
        <f t="shared" si="73"/>
        <v>Đắp vật liệu dạng hạt km101+850,79-km101+820+87 lớp 51</v>
      </c>
      <c r="D62" s="572"/>
      <c r="E62" s="573"/>
      <c r="F62" s="2">
        <f t="shared" si="74"/>
        <v>67.584999999999994</v>
      </c>
      <c r="G62" s="1">
        <f t="shared" si="75"/>
        <v>67.584999999999994</v>
      </c>
      <c r="H62" s="295">
        <f t="shared" si="76"/>
        <v>67.584999999999994</v>
      </c>
      <c r="I62" s="107">
        <f t="shared" si="77"/>
        <v>67.584999999999994</v>
      </c>
      <c r="J62" s="107">
        <f t="shared" si="78"/>
        <v>67.584999999999994</v>
      </c>
      <c r="K62" s="604"/>
      <c r="N62" s="118"/>
      <c r="O62" s="266" t="s">
        <v>580</v>
      </c>
      <c r="P62" s="88">
        <v>67.584999999999994</v>
      </c>
      <c r="Q62" s="89">
        <f t="shared" si="52"/>
        <v>43410</v>
      </c>
      <c r="R62" s="88"/>
      <c r="S62" s="88" t="e">
        <f t="shared" si="79"/>
        <v>#VALUE!</v>
      </c>
      <c r="T62" s="3" t="str">
        <f t="shared" si="80"/>
        <v>Đắp vật liệu dạng hạt km101+850,79-km101+820+87 lớp 51</v>
      </c>
    </row>
    <row r="63" spans="1:20" ht="25.5" customHeight="1" outlineLevel="2">
      <c r="A63" s="81">
        <f>SUBTOTAL(103,$B$12:B63)</f>
        <v>52</v>
      </c>
      <c r="B63" s="78">
        <f t="shared" si="72"/>
        <v>43408</v>
      </c>
      <c r="C63" s="571" t="str">
        <f t="shared" si="73"/>
        <v>Đắp vật liệu dạng hạt km101+850,79-km101+820+87 lớp 52</v>
      </c>
      <c r="D63" s="572"/>
      <c r="E63" s="573"/>
      <c r="F63" s="2">
        <f t="shared" si="74"/>
        <v>67.555000000000007</v>
      </c>
      <c r="G63" s="1">
        <f t="shared" si="75"/>
        <v>67.555000000000007</v>
      </c>
      <c r="H63" s="295">
        <f t="shared" si="76"/>
        <v>67.555000000000007</v>
      </c>
      <c r="I63" s="107">
        <f t="shared" si="77"/>
        <v>67.555000000000007</v>
      </c>
      <c r="J63" s="107">
        <f t="shared" si="78"/>
        <v>67.555000000000007</v>
      </c>
      <c r="K63" s="604"/>
      <c r="N63" s="118"/>
      <c r="O63" s="266" t="s">
        <v>581</v>
      </c>
      <c r="P63" s="88">
        <v>67.555000000000007</v>
      </c>
      <c r="Q63" s="89">
        <f t="shared" si="52"/>
        <v>43408</v>
      </c>
      <c r="R63" s="88"/>
      <c r="S63" s="88" t="e">
        <f t="shared" si="79"/>
        <v>#VALUE!</v>
      </c>
      <c r="T63" s="3" t="str">
        <f t="shared" si="80"/>
        <v>Đắp vật liệu dạng hạt km101+850,79-km101+820+87 lớp 52</v>
      </c>
    </row>
    <row r="64" spans="1:20" ht="25.5" customHeight="1" outlineLevel="2">
      <c r="A64" s="81">
        <f>SUBTOTAL(103,$B$12:B64)</f>
        <v>53</v>
      </c>
      <c r="B64" s="78">
        <f t="shared" si="72"/>
        <v>43406</v>
      </c>
      <c r="C64" s="571" t="str">
        <f t="shared" si="73"/>
        <v>Đắp vật liệu dạng hạt km101+850,79-km101+820+87 lớp 53</v>
      </c>
      <c r="D64" s="572"/>
      <c r="E64" s="573"/>
      <c r="F64" s="2">
        <f t="shared" si="74"/>
        <v>67.622</v>
      </c>
      <c r="G64" s="1">
        <f t="shared" si="75"/>
        <v>67.622</v>
      </c>
      <c r="H64" s="295">
        <f t="shared" si="76"/>
        <v>67.622</v>
      </c>
      <c r="I64" s="107">
        <f t="shared" si="77"/>
        <v>67.622</v>
      </c>
      <c r="J64" s="107">
        <f t="shared" si="78"/>
        <v>67.622</v>
      </c>
      <c r="K64" s="604"/>
      <c r="N64" s="118"/>
      <c r="O64" s="266" t="s">
        <v>582</v>
      </c>
      <c r="P64" s="88">
        <v>67.622</v>
      </c>
      <c r="Q64" s="89">
        <f t="shared" si="52"/>
        <v>43406</v>
      </c>
      <c r="R64" s="88"/>
      <c r="S64" s="88" t="e">
        <f t="shared" si="79"/>
        <v>#VALUE!</v>
      </c>
      <c r="T64" s="3" t="str">
        <f t="shared" si="80"/>
        <v>Đắp vật liệu dạng hạt km101+850,79-km101+820+87 lớp 53</v>
      </c>
    </row>
    <row r="65" spans="1:20" ht="25.5" customHeight="1" outlineLevel="2">
      <c r="A65" s="81">
        <f>SUBTOTAL(103,$B$12:B65)</f>
        <v>54</v>
      </c>
      <c r="B65" s="78">
        <f t="shared" si="72"/>
        <v>43403</v>
      </c>
      <c r="C65" s="571" t="str">
        <f t="shared" si="73"/>
        <v>Đắp vật liệu dạng hạt km101+850,79-km101+820+87 lớp 54</v>
      </c>
      <c r="D65" s="572"/>
      <c r="E65" s="573"/>
      <c r="F65" s="2">
        <f t="shared" si="74"/>
        <v>67.491</v>
      </c>
      <c r="G65" s="1">
        <f t="shared" si="75"/>
        <v>67.491</v>
      </c>
      <c r="H65" s="295">
        <f t="shared" si="76"/>
        <v>67.491</v>
      </c>
      <c r="I65" s="107">
        <f t="shared" si="77"/>
        <v>67.491</v>
      </c>
      <c r="J65" s="107">
        <f t="shared" si="78"/>
        <v>67.491</v>
      </c>
      <c r="K65" s="604"/>
      <c r="N65" s="118"/>
      <c r="O65" s="266" t="s">
        <v>583</v>
      </c>
      <c r="P65" s="88">
        <v>67.491</v>
      </c>
      <c r="Q65" s="89">
        <f>+Q64-3</f>
        <v>43403</v>
      </c>
      <c r="R65" s="88"/>
      <c r="S65" s="88" t="e">
        <f t="shared" si="79"/>
        <v>#VALUE!</v>
      </c>
      <c r="T65" s="3" t="str">
        <f t="shared" si="80"/>
        <v>Đắp vật liệu dạng hạt km101+850,79-km101+820+87 lớp 54</v>
      </c>
    </row>
    <row r="66" spans="1:20" ht="25.5" customHeight="1" outlineLevel="2">
      <c r="A66" s="81">
        <f>SUBTOTAL(103,$B$12:B66)</f>
        <v>55</v>
      </c>
      <c r="B66" s="78">
        <f t="shared" si="72"/>
        <v>43402</v>
      </c>
      <c r="C66" s="571" t="str">
        <f t="shared" si="73"/>
        <v>Đắp vật liệu dạng hạt km101+850,79-km101+820+87 lớp 55</v>
      </c>
      <c r="D66" s="572"/>
      <c r="E66" s="573"/>
      <c r="F66" s="2">
        <f t="shared" si="74"/>
        <v>67.491</v>
      </c>
      <c r="G66" s="1">
        <f t="shared" si="75"/>
        <v>67.491</v>
      </c>
      <c r="H66" s="295">
        <f t="shared" si="76"/>
        <v>67.491</v>
      </c>
      <c r="I66" s="107">
        <f t="shared" si="77"/>
        <v>67.491</v>
      </c>
      <c r="J66" s="107">
        <f t="shared" si="78"/>
        <v>67.491</v>
      </c>
      <c r="K66" s="604"/>
      <c r="N66" s="118"/>
      <c r="O66" s="266" t="s">
        <v>584</v>
      </c>
      <c r="P66" s="88">
        <v>67.491</v>
      </c>
      <c r="Q66" s="89">
        <f>+Q65-1</f>
        <v>43402</v>
      </c>
      <c r="R66" s="88"/>
      <c r="S66" s="88" t="e">
        <f t="shared" si="79"/>
        <v>#VALUE!</v>
      </c>
      <c r="T66" s="3" t="str">
        <f t="shared" si="80"/>
        <v>Đắp vật liệu dạng hạt km101+850,79-km101+820+87 lớp 55</v>
      </c>
    </row>
    <row r="67" spans="1:20" ht="25.5" customHeight="1" outlineLevel="2">
      <c r="A67" s="81">
        <f>SUBTOTAL(103,$B$12:B67)</f>
        <v>56</v>
      </c>
      <c r="B67" s="78">
        <f t="shared" si="72"/>
        <v>43400</v>
      </c>
      <c r="C67" s="571" t="str">
        <f t="shared" si="73"/>
        <v>Đắp vật liệu dạng hạt km101+850,79-km101+820+87 lớp 56</v>
      </c>
      <c r="D67" s="572"/>
      <c r="E67" s="573"/>
      <c r="F67" s="2">
        <f t="shared" si="74"/>
        <v>67.491</v>
      </c>
      <c r="G67" s="1">
        <f t="shared" si="75"/>
        <v>67.491</v>
      </c>
      <c r="H67" s="295">
        <f t="shared" si="76"/>
        <v>67.491</v>
      </c>
      <c r="I67" s="107">
        <f t="shared" si="77"/>
        <v>67.491</v>
      </c>
      <c r="J67" s="107">
        <f t="shared" si="78"/>
        <v>67.491</v>
      </c>
      <c r="K67" s="604"/>
      <c r="N67" s="118"/>
      <c r="O67" s="266" t="s">
        <v>585</v>
      </c>
      <c r="P67" s="88">
        <v>67.491</v>
      </c>
      <c r="Q67" s="89">
        <f t="shared" si="52"/>
        <v>43400</v>
      </c>
      <c r="R67" s="88"/>
      <c r="S67" s="88" t="e">
        <f t="shared" si="79"/>
        <v>#VALUE!</v>
      </c>
      <c r="T67" s="3" t="str">
        <f t="shared" si="80"/>
        <v>Đắp vật liệu dạng hạt km101+850,79-km101+820+87 lớp 56</v>
      </c>
    </row>
    <row r="68" spans="1:20" ht="25.5" customHeight="1" outlineLevel="2">
      <c r="A68" s="81">
        <f>SUBTOTAL(103,$B$12:B68)</f>
        <v>57</v>
      </c>
      <c r="B68" s="78">
        <f t="shared" si="72"/>
        <v>43398</v>
      </c>
      <c r="C68" s="571" t="str">
        <f t="shared" si="73"/>
        <v>Đắp vật liệu dạng hạt km101+850,79-km101+820+87 lớp 57</v>
      </c>
      <c r="D68" s="572"/>
      <c r="E68" s="573"/>
      <c r="F68" s="2">
        <f t="shared" si="74"/>
        <v>67.491</v>
      </c>
      <c r="G68" s="1">
        <f t="shared" si="75"/>
        <v>67.491</v>
      </c>
      <c r="H68" s="295">
        <f t="shared" si="76"/>
        <v>67.491</v>
      </c>
      <c r="I68" s="107">
        <f t="shared" si="77"/>
        <v>67.491</v>
      </c>
      <c r="J68" s="107">
        <f t="shared" si="78"/>
        <v>67.491</v>
      </c>
      <c r="K68" s="604"/>
      <c r="N68" s="118"/>
      <c r="O68" s="266" t="s">
        <v>586</v>
      </c>
      <c r="P68" s="88">
        <v>67.491</v>
      </c>
      <c r="Q68" s="89">
        <f t="shared" si="52"/>
        <v>43398</v>
      </c>
      <c r="R68" s="88"/>
      <c r="S68" s="88" t="e">
        <f t="shared" si="79"/>
        <v>#VALUE!</v>
      </c>
      <c r="T68" s="3" t="str">
        <f t="shared" si="80"/>
        <v>Đắp vật liệu dạng hạt km101+850,79-km101+820+87 lớp 57</v>
      </c>
    </row>
    <row r="69" spans="1:20" ht="25.5" customHeight="1" outlineLevel="2">
      <c r="A69" s="81">
        <f>SUBTOTAL(103,$B$12:B69)</f>
        <v>58</v>
      </c>
      <c r="B69" s="78">
        <f t="shared" si="72"/>
        <v>43396</v>
      </c>
      <c r="C69" s="571" t="str">
        <f t="shared" si="73"/>
        <v>Đắp vật liệu dạng hạt km101+850,79-km101+820+87 lớp 58</v>
      </c>
      <c r="D69" s="572"/>
      <c r="E69" s="573"/>
      <c r="F69" s="2">
        <f t="shared" si="74"/>
        <v>67.418999999999997</v>
      </c>
      <c r="G69" s="1">
        <f t="shared" si="75"/>
        <v>67.418999999999997</v>
      </c>
      <c r="H69" s="295">
        <f t="shared" si="76"/>
        <v>67.418999999999997</v>
      </c>
      <c r="I69" s="107">
        <f t="shared" si="77"/>
        <v>67.418999999999997</v>
      </c>
      <c r="J69" s="107">
        <f t="shared" si="78"/>
        <v>67.418999999999997</v>
      </c>
      <c r="K69" s="604"/>
      <c r="N69" s="118"/>
      <c r="O69" s="266" t="s">
        <v>587</v>
      </c>
      <c r="P69" s="88">
        <v>67.418999999999997</v>
      </c>
      <c r="Q69" s="89">
        <f t="shared" si="52"/>
        <v>43396</v>
      </c>
      <c r="R69" s="88"/>
      <c r="S69" s="88" t="e">
        <f t="shared" si="79"/>
        <v>#VALUE!</v>
      </c>
      <c r="T69" s="3" t="str">
        <f t="shared" si="80"/>
        <v>Đắp vật liệu dạng hạt km101+850,79-km101+820+87 lớp 58</v>
      </c>
    </row>
    <row r="70" spans="1:20" ht="25.5" customHeight="1" outlineLevel="2">
      <c r="A70" s="81">
        <f>SUBTOTAL(103,$B$12:B70)</f>
        <v>59</v>
      </c>
      <c r="B70" s="78">
        <f t="shared" ref="B70:B75" si="81">Q70</f>
        <v>43394</v>
      </c>
      <c r="C70" s="571" t="str">
        <f t="shared" ref="C70:C75" si="82">T70</f>
        <v>Đắp vật liệu dạng hạt km101+850,79-km101+820+87 lớp 59</v>
      </c>
      <c r="D70" s="572"/>
      <c r="E70" s="573"/>
      <c r="F70" s="2">
        <f t="shared" ref="F70:F75" si="83">P70</f>
        <v>64.278000000000006</v>
      </c>
      <c r="G70" s="1">
        <f t="shared" ref="G70:G75" si="84">P70</f>
        <v>64.278000000000006</v>
      </c>
      <c r="H70" s="295">
        <f t="shared" ref="H70:H75" si="85">P70</f>
        <v>64.278000000000006</v>
      </c>
      <c r="I70" s="107">
        <f t="shared" ref="I70:I75" si="86">P70</f>
        <v>64.278000000000006</v>
      </c>
      <c r="J70" s="107">
        <f t="shared" ref="J70:J75" si="87">P70</f>
        <v>64.278000000000006</v>
      </c>
      <c r="K70" s="604"/>
      <c r="N70" s="118"/>
      <c r="O70" s="266" t="s">
        <v>588</v>
      </c>
      <c r="P70" s="88">
        <v>64.278000000000006</v>
      </c>
      <c r="Q70" s="89">
        <f t="shared" si="52"/>
        <v>43394</v>
      </c>
      <c r="R70" s="88"/>
      <c r="S70" s="88" t="e">
        <f t="shared" ref="S70:S75" si="88">VLOOKUP($S$11,hamchuigoi3,M70,0)</f>
        <v>#VALUE!</v>
      </c>
      <c r="T70" s="3" t="str">
        <f t="shared" ref="T70:T75" si="89">$N$6&amp;" "&amp;O70</f>
        <v>Đắp vật liệu dạng hạt km101+850,79-km101+820+87 lớp 59</v>
      </c>
    </row>
    <row r="71" spans="1:20" ht="25.5" customHeight="1" outlineLevel="2">
      <c r="A71" s="81">
        <f>SUBTOTAL(103,$B$12:B71)</f>
        <v>60</v>
      </c>
      <c r="B71" s="78">
        <f t="shared" si="81"/>
        <v>43392</v>
      </c>
      <c r="C71" s="571" t="str">
        <f t="shared" si="82"/>
        <v>Đắp vật liệu dạng hạt km101+850,79-km101+820+87 lớp 60</v>
      </c>
      <c r="D71" s="572"/>
      <c r="E71" s="573"/>
      <c r="F71" s="2">
        <f t="shared" si="83"/>
        <v>42.993000000000002</v>
      </c>
      <c r="G71" s="1">
        <f t="shared" si="84"/>
        <v>42.993000000000002</v>
      </c>
      <c r="H71" s="295">
        <f t="shared" si="85"/>
        <v>42.993000000000002</v>
      </c>
      <c r="I71" s="107">
        <f t="shared" si="86"/>
        <v>42.993000000000002</v>
      </c>
      <c r="J71" s="107">
        <f t="shared" si="87"/>
        <v>42.993000000000002</v>
      </c>
      <c r="K71" s="604"/>
      <c r="N71" s="118"/>
      <c r="O71" s="266" t="s">
        <v>589</v>
      </c>
      <c r="P71" s="88">
        <v>42.993000000000002</v>
      </c>
      <c r="Q71" s="89">
        <f t="shared" si="52"/>
        <v>43392</v>
      </c>
      <c r="R71" s="88"/>
      <c r="S71" s="88" t="e">
        <f t="shared" si="88"/>
        <v>#VALUE!</v>
      </c>
      <c r="T71" s="3" t="str">
        <f t="shared" si="89"/>
        <v>Đắp vật liệu dạng hạt km101+850,79-km101+820+87 lớp 60</v>
      </c>
    </row>
    <row r="72" spans="1:20" ht="25.5" customHeight="1" outlineLevel="2">
      <c r="A72" s="81">
        <f>SUBTOTAL(103,$B$12:B72)</f>
        <v>61</v>
      </c>
      <c r="B72" s="78">
        <f t="shared" si="81"/>
        <v>43389</v>
      </c>
      <c r="C72" s="571" t="str">
        <f t="shared" si="82"/>
        <v>Đắp vật liệu dạng hạt km101+850,79-km101+820+87 lớp 61</v>
      </c>
      <c r="D72" s="572"/>
      <c r="E72" s="573"/>
      <c r="F72" s="2">
        <f t="shared" si="83"/>
        <v>32.347000000000001</v>
      </c>
      <c r="G72" s="1">
        <f t="shared" si="84"/>
        <v>32.347000000000001</v>
      </c>
      <c r="H72" s="295">
        <f t="shared" si="85"/>
        <v>32.347000000000001</v>
      </c>
      <c r="I72" s="107">
        <f t="shared" si="86"/>
        <v>32.347000000000001</v>
      </c>
      <c r="J72" s="107">
        <f t="shared" si="87"/>
        <v>32.347000000000001</v>
      </c>
      <c r="K72" s="604"/>
      <c r="N72" s="118"/>
      <c r="O72" s="266" t="s">
        <v>590</v>
      </c>
      <c r="P72" s="88">
        <v>32.347000000000001</v>
      </c>
      <c r="Q72" s="89">
        <f>+Q71-3</f>
        <v>43389</v>
      </c>
      <c r="R72" s="88"/>
      <c r="S72" s="88" t="e">
        <f t="shared" si="88"/>
        <v>#VALUE!</v>
      </c>
      <c r="T72" s="3" t="str">
        <f t="shared" si="89"/>
        <v>Đắp vật liệu dạng hạt km101+850,79-km101+820+87 lớp 61</v>
      </c>
    </row>
    <row r="73" spans="1:20" ht="25.5" customHeight="1" outlineLevel="2">
      <c r="A73" s="81">
        <f>SUBTOTAL(103,$B$12:B73)</f>
        <v>62</v>
      </c>
      <c r="B73" s="78">
        <f t="shared" si="81"/>
        <v>43387</v>
      </c>
      <c r="C73" s="571" t="str">
        <f t="shared" si="82"/>
        <v>Đắp vật liệu dạng hạt km101+850,79-km101+820+87 lớp 62</v>
      </c>
      <c r="D73" s="572"/>
      <c r="E73" s="573"/>
      <c r="F73" s="2">
        <f t="shared" si="83"/>
        <v>19.094000000000001</v>
      </c>
      <c r="G73" s="1">
        <f t="shared" si="84"/>
        <v>19.094000000000001</v>
      </c>
      <c r="H73" s="295">
        <f t="shared" si="85"/>
        <v>19.094000000000001</v>
      </c>
      <c r="I73" s="107">
        <f t="shared" si="86"/>
        <v>19.094000000000001</v>
      </c>
      <c r="J73" s="107">
        <f t="shared" si="87"/>
        <v>19.094000000000001</v>
      </c>
      <c r="K73" s="604"/>
      <c r="N73" s="118"/>
      <c r="O73" s="266" t="s">
        <v>591</v>
      </c>
      <c r="P73" s="88">
        <v>19.094000000000001</v>
      </c>
      <c r="Q73" s="89">
        <f t="shared" si="52"/>
        <v>43387</v>
      </c>
      <c r="R73" s="88"/>
      <c r="S73" s="88" t="e">
        <f t="shared" si="88"/>
        <v>#VALUE!</v>
      </c>
      <c r="T73" s="3" t="str">
        <f t="shared" si="89"/>
        <v>Đắp vật liệu dạng hạt km101+850,79-km101+820+87 lớp 62</v>
      </c>
    </row>
    <row r="74" spans="1:20" ht="25.5" customHeight="1" outlineLevel="2">
      <c r="A74" s="81">
        <f>SUBTOTAL(103,$B$12:B74)</f>
        <v>63</v>
      </c>
      <c r="B74" s="78">
        <f t="shared" si="81"/>
        <v>43385</v>
      </c>
      <c r="C74" s="571" t="str">
        <f t="shared" si="82"/>
        <v>Đắp vật liệu dạng hạt km101+850,79-km101+820+87 lớp 63</v>
      </c>
      <c r="D74" s="572"/>
      <c r="E74" s="573"/>
      <c r="F74" s="2">
        <f t="shared" si="83"/>
        <v>0</v>
      </c>
      <c r="G74" s="1">
        <f t="shared" si="84"/>
        <v>0</v>
      </c>
      <c r="H74" s="295">
        <f t="shared" si="85"/>
        <v>0</v>
      </c>
      <c r="I74" s="107">
        <f t="shared" si="86"/>
        <v>0</v>
      </c>
      <c r="J74" s="107">
        <f t="shared" si="87"/>
        <v>0</v>
      </c>
      <c r="K74" s="604"/>
      <c r="N74" s="118"/>
      <c r="O74" s="266" t="s">
        <v>592</v>
      </c>
      <c r="P74" s="88"/>
      <c r="Q74" s="89">
        <f t="shared" si="52"/>
        <v>43385</v>
      </c>
      <c r="R74" s="88"/>
      <c r="S74" s="88" t="e">
        <f t="shared" si="88"/>
        <v>#VALUE!</v>
      </c>
      <c r="T74" s="3" t="str">
        <f t="shared" si="89"/>
        <v>Đắp vật liệu dạng hạt km101+850,79-km101+820+87 lớp 63</v>
      </c>
    </row>
    <row r="75" spans="1:20" ht="25.5" customHeight="1" outlineLevel="2">
      <c r="A75" s="81">
        <f>SUBTOTAL(103,$B$12:B75)</f>
        <v>64</v>
      </c>
      <c r="B75" s="78">
        <f t="shared" si="81"/>
        <v>43381</v>
      </c>
      <c r="C75" s="571" t="str">
        <f t="shared" si="82"/>
        <v>Đắp vật liệu dạng hạt km101+850,79-km101+820+87 lớp 64</v>
      </c>
      <c r="D75" s="572"/>
      <c r="E75" s="573"/>
      <c r="F75" s="2">
        <f t="shared" si="83"/>
        <v>18.148</v>
      </c>
      <c r="G75" s="1">
        <f t="shared" si="84"/>
        <v>18.148</v>
      </c>
      <c r="H75" s="295">
        <f t="shared" si="85"/>
        <v>18.148</v>
      </c>
      <c r="I75" s="107">
        <f t="shared" si="86"/>
        <v>18.148</v>
      </c>
      <c r="J75" s="107">
        <f t="shared" si="87"/>
        <v>18.148</v>
      </c>
      <c r="K75" s="604"/>
      <c r="N75" s="118"/>
      <c r="O75" s="266" t="s">
        <v>593</v>
      </c>
      <c r="P75" s="88">
        <v>18.148</v>
      </c>
      <c r="Q75" s="89">
        <f>+Q73-2-4</f>
        <v>43381</v>
      </c>
      <c r="R75" s="88"/>
      <c r="S75" s="88" t="e">
        <f t="shared" si="88"/>
        <v>#VALUE!</v>
      </c>
      <c r="T75" s="3" t="str">
        <f t="shared" si="89"/>
        <v>Đắp vật liệu dạng hạt km101+850,79-km101+820+87 lớp 64</v>
      </c>
    </row>
    <row r="76" spans="1:20" ht="25.5" customHeight="1" outlineLevel="2">
      <c r="A76" s="81">
        <f>SUBTOTAL(103,$B$12:B76)</f>
        <v>65</v>
      </c>
      <c r="B76" s="78">
        <f t="shared" ref="B76:B78" si="90">Q76</f>
        <v>43379</v>
      </c>
      <c r="C76" s="571" t="str">
        <f t="shared" ref="C76:C78" si="91">T76</f>
        <v>Đắp vật liệu dạng hạt km101+850,79-km101+820+87 lớp 65</v>
      </c>
      <c r="D76" s="572"/>
      <c r="E76" s="573"/>
      <c r="F76" s="2">
        <f t="shared" ref="F76:F78" si="92">P76</f>
        <v>13.911</v>
      </c>
      <c r="G76" s="1">
        <f t="shared" ref="G76:G78" si="93">P76</f>
        <v>13.911</v>
      </c>
      <c r="H76" s="295">
        <f t="shared" ref="H76:H78" si="94">P76</f>
        <v>13.911</v>
      </c>
      <c r="I76" s="107">
        <f t="shared" ref="I76:I78" si="95">P76</f>
        <v>13.911</v>
      </c>
      <c r="J76" s="107">
        <f t="shared" ref="J76:J78" si="96">P76</f>
        <v>13.911</v>
      </c>
      <c r="K76" s="604"/>
      <c r="N76" s="118"/>
      <c r="O76" s="266" t="s">
        <v>594</v>
      </c>
      <c r="P76" s="88">
        <v>13.911</v>
      </c>
      <c r="Q76" s="89">
        <f t="shared" si="52"/>
        <v>43379</v>
      </c>
      <c r="R76" s="88"/>
      <c r="S76" s="88" t="e">
        <f t="shared" ref="S76:S78" si="97">VLOOKUP($S$11,hamchuigoi3,M76,0)</f>
        <v>#VALUE!</v>
      </c>
      <c r="T76" s="3" t="str">
        <f t="shared" ref="T76:T78" si="98">$N$6&amp;" "&amp;O76</f>
        <v>Đắp vật liệu dạng hạt km101+850,79-km101+820+87 lớp 65</v>
      </c>
    </row>
    <row r="77" spans="1:20" ht="25.5" customHeight="1" outlineLevel="2">
      <c r="A77" s="81">
        <f>SUBTOTAL(103,$B$12:B77)</f>
        <v>66</v>
      </c>
      <c r="B77" s="78">
        <f t="shared" si="90"/>
        <v>43377</v>
      </c>
      <c r="C77" s="571" t="str">
        <f t="shared" si="91"/>
        <v>Đắp vật liệu dạng hạt km101+850,79-km101+820+87 lớp 66</v>
      </c>
      <c r="D77" s="572"/>
      <c r="E77" s="573"/>
      <c r="F77" s="2">
        <f t="shared" si="92"/>
        <v>8.9139999999999997</v>
      </c>
      <c r="G77" s="1">
        <f t="shared" si="93"/>
        <v>8.9139999999999997</v>
      </c>
      <c r="H77" s="295">
        <f t="shared" si="94"/>
        <v>8.9139999999999997</v>
      </c>
      <c r="I77" s="107">
        <f t="shared" si="95"/>
        <v>8.9139999999999997</v>
      </c>
      <c r="J77" s="107">
        <f t="shared" si="96"/>
        <v>8.9139999999999997</v>
      </c>
      <c r="K77" s="604"/>
      <c r="N77" s="118"/>
      <c r="O77" s="266" t="s">
        <v>595</v>
      </c>
      <c r="P77" s="88">
        <v>8.9139999999999997</v>
      </c>
      <c r="Q77" s="89">
        <f t="shared" si="52"/>
        <v>43377</v>
      </c>
      <c r="R77" s="88"/>
      <c r="S77" s="88" t="e">
        <f t="shared" si="97"/>
        <v>#VALUE!</v>
      </c>
      <c r="T77" s="3" t="str">
        <f t="shared" si="98"/>
        <v>Đắp vật liệu dạng hạt km101+850,79-km101+820+87 lớp 66</v>
      </c>
    </row>
    <row r="78" spans="1:20" ht="25.5" customHeight="1" outlineLevel="2">
      <c r="A78" s="81">
        <f>SUBTOTAL(103,$B$12:B78)</f>
        <v>67</v>
      </c>
      <c r="B78" s="78">
        <f t="shared" si="90"/>
        <v>43375</v>
      </c>
      <c r="C78" s="571" t="str">
        <f t="shared" si="91"/>
        <v>Đắp vật liệu dạng hạt km101+850,79-km101+820+87 lớp 67</v>
      </c>
      <c r="D78" s="572"/>
      <c r="E78" s="573"/>
      <c r="F78" s="2">
        <f t="shared" si="92"/>
        <v>2.79</v>
      </c>
      <c r="G78" s="1">
        <f t="shared" si="93"/>
        <v>2.79</v>
      </c>
      <c r="H78" s="295">
        <f t="shared" si="94"/>
        <v>2.79</v>
      </c>
      <c r="I78" s="107">
        <f t="shared" si="95"/>
        <v>2.79</v>
      </c>
      <c r="J78" s="107">
        <f t="shared" si="96"/>
        <v>2.79</v>
      </c>
      <c r="K78" s="604"/>
      <c r="N78" s="118"/>
      <c r="O78" s="266" t="s">
        <v>596</v>
      </c>
      <c r="P78" s="88">
        <v>2.79</v>
      </c>
      <c r="Q78" s="89">
        <f t="shared" si="52"/>
        <v>43375</v>
      </c>
      <c r="R78" s="88"/>
      <c r="S78" s="88" t="e">
        <f t="shared" si="97"/>
        <v>#VALUE!</v>
      </c>
      <c r="T78" s="3" t="str">
        <f t="shared" si="98"/>
        <v>Đắp vật liệu dạng hạt km101+850,79-km101+820+87 lớp 67</v>
      </c>
    </row>
    <row r="79" spans="1:20" ht="25.5" customHeight="1" outlineLevel="2">
      <c r="A79" s="81">
        <f>SUBTOTAL(103,$B$12:B79)</f>
        <v>68</v>
      </c>
      <c r="B79" s="78">
        <f>Q79</f>
        <v>43513</v>
      </c>
      <c r="C79" s="571" t="str">
        <f>T79</f>
        <v>Đắp vật liệu dạng hạt km101+778,79-km101+805,92 lớp 1</v>
      </c>
      <c r="D79" s="572"/>
      <c r="E79" s="573"/>
      <c r="F79" s="2">
        <f>P79</f>
        <v>75.650999999999996</v>
      </c>
      <c r="G79" s="1">
        <f>P79</f>
        <v>75.650999999999996</v>
      </c>
      <c r="H79" s="295">
        <f>P79</f>
        <v>75.650999999999996</v>
      </c>
      <c r="I79" s="107">
        <f>P79</f>
        <v>75.650999999999996</v>
      </c>
      <c r="J79" s="107">
        <f>P79</f>
        <v>75.650999999999996</v>
      </c>
      <c r="K79" s="604"/>
      <c r="N79" s="118"/>
      <c r="O79" s="266" t="s">
        <v>440</v>
      </c>
      <c r="P79" s="88">
        <v>75.650999999999996</v>
      </c>
      <c r="Q79" s="89">
        <v>43513</v>
      </c>
      <c r="R79" s="88"/>
      <c r="S79" s="88" t="e">
        <f t="shared" ref="S79:S103" si="99">VLOOKUP($S$11,hamchuigoi3,M79,0)</f>
        <v>#VALUE!</v>
      </c>
      <c r="T79" s="3" t="str">
        <f>$N$6&amp;" "&amp;O79</f>
        <v>Đắp vật liệu dạng hạt km101+778,79-km101+805,92 lớp 1</v>
      </c>
    </row>
    <row r="80" spans="1:20" ht="25.5" customHeight="1" outlineLevel="2">
      <c r="A80" s="81">
        <f>SUBTOTAL(103,$B$12:B80)</f>
        <v>69</v>
      </c>
      <c r="B80" s="78">
        <f t="shared" ref="B80:B83" si="100">Q80</f>
        <v>43511</v>
      </c>
      <c r="C80" s="571" t="str">
        <f t="shared" ref="C80:C83" si="101">T80</f>
        <v>Đắp vật liệu dạng hạt km101+778,79-km101+805,92 lớp 2</v>
      </c>
      <c r="D80" s="572"/>
      <c r="E80" s="573"/>
      <c r="F80" s="2">
        <f t="shared" ref="F80:F83" si="102">P80</f>
        <v>75.822000000000003</v>
      </c>
      <c r="G80" s="1">
        <f t="shared" ref="G80:G83" si="103">P80</f>
        <v>75.822000000000003</v>
      </c>
      <c r="H80" s="295">
        <f t="shared" ref="H80:H83" si="104">P80</f>
        <v>75.822000000000003</v>
      </c>
      <c r="I80" s="107">
        <f t="shared" ref="I80:I83" si="105">P80</f>
        <v>75.822000000000003</v>
      </c>
      <c r="J80" s="107">
        <f t="shared" ref="J80:J83" si="106">P80</f>
        <v>75.822000000000003</v>
      </c>
      <c r="K80" s="604"/>
      <c r="N80" s="118"/>
      <c r="O80" s="266" t="s">
        <v>441</v>
      </c>
      <c r="P80" s="88">
        <v>75.822000000000003</v>
      </c>
      <c r="Q80" s="89">
        <f>+Q79-2</f>
        <v>43511</v>
      </c>
      <c r="R80" s="88"/>
      <c r="S80" s="88" t="e">
        <f t="shared" si="99"/>
        <v>#VALUE!</v>
      </c>
      <c r="T80" s="3" t="str">
        <f t="shared" ref="T80:T83" si="107">$N$6&amp;" "&amp;O80</f>
        <v>Đắp vật liệu dạng hạt km101+778,79-km101+805,92 lớp 2</v>
      </c>
    </row>
    <row r="81" spans="1:20" ht="25.5" customHeight="1" outlineLevel="2">
      <c r="A81" s="81">
        <f>SUBTOTAL(103,$B$12:B81)</f>
        <v>70</v>
      </c>
      <c r="B81" s="78">
        <f t="shared" si="100"/>
        <v>43510</v>
      </c>
      <c r="C81" s="571" t="str">
        <f t="shared" si="101"/>
        <v>Đắp vật liệu dạng hạt km101+778,79-km101+805,92 lớp 3</v>
      </c>
      <c r="D81" s="572"/>
      <c r="E81" s="573"/>
      <c r="F81" s="2">
        <f t="shared" si="102"/>
        <v>75.822000000000003</v>
      </c>
      <c r="G81" s="1">
        <f t="shared" si="103"/>
        <v>75.822000000000003</v>
      </c>
      <c r="H81" s="295">
        <f t="shared" si="104"/>
        <v>75.822000000000003</v>
      </c>
      <c r="I81" s="107">
        <f t="shared" si="105"/>
        <v>75.822000000000003</v>
      </c>
      <c r="J81" s="107">
        <f t="shared" si="106"/>
        <v>75.822000000000003</v>
      </c>
      <c r="K81" s="604"/>
      <c r="N81" s="118"/>
      <c r="O81" s="266" t="s">
        <v>442</v>
      </c>
      <c r="P81" s="88">
        <v>75.822000000000003</v>
      </c>
      <c r="Q81" s="89">
        <f>+Q80-1</f>
        <v>43510</v>
      </c>
      <c r="R81" s="88"/>
      <c r="S81" s="88" t="e">
        <f t="shared" si="99"/>
        <v>#VALUE!</v>
      </c>
      <c r="T81" s="3" t="str">
        <f t="shared" si="107"/>
        <v>Đắp vật liệu dạng hạt km101+778,79-km101+805,92 lớp 3</v>
      </c>
    </row>
    <row r="82" spans="1:20" ht="25.5" customHeight="1" outlineLevel="2">
      <c r="A82" s="81">
        <f>SUBTOTAL(103,$B$12:B82)</f>
        <v>71</v>
      </c>
      <c r="B82" s="78">
        <f t="shared" si="100"/>
        <v>43509</v>
      </c>
      <c r="C82" s="571" t="str">
        <f t="shared" si="101"/>
        <v>Đắp vật liệu dạng hạt km101+778,79-km101+805,92 lớp 4</v>
      </c>
      <c r="D82" s="572"/>
      <c r="E82" s="573"/>
      <c r="F82" s="2">
        <f t="shared" si="102"/>
        <v>74.656000000000006</v>
      </c>
      <c r="G82" s="1">
        <f t="shared" si="103"/>
        <v>74.656000000000006</v>
      </c>
      <c r="H82" s="295">
        <f t="shared" si="104"/>
        <v>74.656000000000006</v>
      </c>
      <c r="I82" s="107">
        <f t="shared" si="105"/>
        <v>74.656000000000006</v>
      </c>
      <c r="J82" s="107">
        <f t="shared" si="106"/>
        <v>74.656000000000006</v>
      </c>
      <c r="K82" s="604"/>
      <c r="N82" s="118"/>
      <c r="O82" s="266" t="s">
        <v>443</v>
      </c>
      <c r="P82" s="88">
        <v>74.656000000000006</v>
      </c>
      <c r="Q82" s="89">
        <f>+Q81-1</f>
        <v>43509</v>
      </c>
      <c r="R82" s="88"/>
      <c r="S82" s="88" t="e">
        <f t="shared" si="99"/>
        <v>#VALUE!</v>
      </c>
      <c r="T82" s="3" t="str">
        <f t="shared" si="107"/>
        <v>Đắp vật liệu dạng hạt km101+778,79-km101+805,92 lớp 4</v>
      </c>
    </row>
    <row r="83" spans="1:20" ht="25.5" customHeight="1" outlineLevel="2">
      <c r="A83" s="81">
        <f>SUBTOTAL(103,$B$12:B83)</f>
        <v>72</v>
      </c>
      <c r="B83" s="78">
        <f t="shared" si="100"/>
        <v>43508</v>
      </c>
      <c r="C83" s="571" t="str">
        <f t="shared" si="101"/>
        <v>Đắp vật liệu dạng hạt km101+778,79-km101+805,92 lớp 5</v>
      </c>
      <c r="D83" s="572"/>
      <c r="E83" s="573"/>
      <c r="F83" s="2">
        <f t="shared" si="102"/>
        <v>58.960999999999999</v>
      </c>
      <c r="G83" s="1">
        <f t="shared" si="103"/>
        <v>58.960999999999999</v>
      </c>
      <c r="H83" s="295">
        <f t="shared" si="104"/>
        <v>58.960999999999999</v>
      </c>
      <c r="I83" s="107">
        <f t="shared" si="105"/>
        <v>58.960999999999999</v>
      </c>
      <c r="J83" s="107">
        <f t="shared" si="106"/>
        <v>58.960999999999999</v>
      </c>
      <c r="K83" s="604"/>
      <c r="N83" s="118"/>
      <c r="O83" s="266" t="s">
        <v>444</v>
      </c>
      <c r="P83" s="88">
        <v>58.960999999999999</v>
      </c>
      <c r="Q83" s="89">
        <f>+Q82-1</f>
        <v>43508</v>
      </c>
      <c r="R83" s="88"/>
      <c r="S83" s="88" t="e">
        <f t="shared" si="99"/>
        <v>#VALUE!</v>
      </c>
      <c r="T83" s="3" t="str">
        <f t="shared" si="107"/>
        <v>Đắp vật liệu dạng hạt km101+778,79-km101+805,92 lớp 5</v>
      </c>
    </row>
    <row r="84" spans="1:20" ht="25.5" customHeight="1" outlineLevel="2">
      <c r="A84" s="81">
        <f>SUBTOTAL(103,$B$12:B84)</f>
        <v>73</v>
      </c>
      <c r="B84" s="78">
        <f>Q84</f>
        <v>43507</v>
      </c>
      <c r="C84" s="571" t="str">
        <f>T84</f>
        <v>Đắp vật liệu dạng hạt km101+778,79-km101+805,92 lớp 6</v>
      </c>
      <c r="D84" s="572"/>
      <c r="E84" s="573"/>
      <c r="F84" s="2">
        <f>P84</f>
        <v>58.960999999999999</v>
      </c>
      <c r="G84" s="1">
        <f>P84</f>
        <v>58.960999999999999</v>
      </c>
      <c r="H84" s="295">
        <f>P84</f>
        <v>58.960999999999999</v>
      </c>
      <c r="I84" s="107">
        <f>P84</f>
        <v>58.960999999999999</v>
      </c>
      <c r="J84" s="107">
        <f>P84</f>
        <v>58.960999999999999</v>
      </c>
      <c r="K84" s="604"/>
      <c r="N84" s="118"/>
      <c r="O84" s="266" t="s">
        <v>445</v>
      </c>
      <c r="P84" s="88">
        <v>58.960999999999999</v>
      </c>
      <c r="Q84" s="89">
        <f>+Q83-1</f>
        <v>43507</v>
      </c>
      <c r="R84" s="88"/>
      <c r="S84" s="88" t="e">
        <f t="shared" si="99"/>
        <v>#VALUE!</v>
      </c>
      <c r="T84" s="3" t="str">
        <f>$N$6&amp;" "&amp;O84</f>
        <v>Đắp vật liệu dạng hạt km101+778,79-km101+805,92 lớp 6</v>
      </c>
    </row>
    <row r="85" spans="1:20" ht="25.5" customHeight="1" outlineLevel="2">
      <c r="A85" s="81">
        <f>SUBTOTAL(103,$B$12:B85)</f>
        <v>74</v>
      </c>
      <c r="B85" s="78">
        <f t="shared" ref="B85:B103" si="108">Q85</f>
        <v>43497</v>
      </c>
      <c r="C85" s="571" t="str">
        <f t="shared" ref="C85:C103" si="109">T85</f>
        <v>Đắp vật liệu dạng hạt km101+778,79-km101+805,92 lớp 7</v>
      </c>
      <c r="D85" s="572"/>
      <c r="E85" s="573"/>
      <c r="F85" s="2">
        <f t="shared" ref="F85:F103" si="110">P85</f>
        <v>58.960999999999999</v>
      </c>
      <c r="G85" s="1">
        <f t="shared" ref="G85:G103" si="111">P85</f>
        <v>58.960999999999999</v>
      </c>
      <c r="H85" s="295">
        <f t="shared" ref="H85:H103" si="112">P85</f>
        <v>58.960999999999999</v>
      </c>
      <c r="I85" s="107">
        <f t="shared" ref="I85:I103" si="113">P85</f>
        <v>58.960999999999999</v>
      </c>
      <c r="J85" s="107">
        <f t="shared" ref="J85:J103" si="114">P85</f>
        <v>58.960999999999999</v>
      </c>
      <c r="K85" s="604"/>
      <c r="N85" s="118"/>
      <c r="O85" s="266" t="s">
        <v>446</v>
      </c>
      <c r="P85" s="88">
        <v>58.960999999999999</v>
      </c>
      <c r="Q85" s="89">
        <f>+Q84-10</f>
        <v>43497</v>
      </c>
      <c r="R85" s="88"/>
      <c r="S85" s="88" t="e">
        <f t="shared" si="99"/>
        <v>#VALUE!</v>
      </c>
      <c r="T85" s="3" t="str">
        <f t="shared" ref="T85:T103" si="115">$N$6&amp;" "&amp;O85</f>
        <v>Đắp vật liệu dạng hạt km101+778,79-km101+805,92 lớp 7</v>
      </c>
    </row>
    <row r="86" spans="1:20" ht="25.5" customHeight="1" outlineLevel="2">
      <c r="A86" s="81">
        <f>SUBTOTAL(103,$B$12:B86)</f>
        <v>75</v>
      </c>
      <c r="B86" s="78">
        <f t="shared" si="108"/>
        <v>43495</v>
      </c>
      <c r="C86" s="571" t="str">
        <f t="shared" si="109"/>
        <v>Đắp vật liệu dạng hạt km101+778,79-km101+805,92 lớp 8</v>
      </c>
      <c r="D86" s="572"/>
      <c r="E86" s="573"/>
      <c r="F86" s="2">
        <f t="shared" si="110"/>
        <v>58.960999999999999</v>
      </c>
      <c r="G86" s="1">
        <f t="shared" si="111"/>
        <v>58.960999999999999</v>
      </c>
      <c r="H86" s="295">
        <f t="shared" si="112"/>
        <v>58.960999999999999</v>
      </c>
      <c r="I86" s="107">
        <f t="shared" si="113"/>
        <v>58.960999999999999</v>
      </c>
      <c r="J86" s="107">
        <f t="shared" si="114"/>
        <v>58.960999999999999</v>
      </c>
      <c r="K86" s="604"/>
      <c r="N86" s="118"/>
      <c r="O86" s="266" t="s">
        <v>447</v>
      </c>
      <c r="P86" s="88">
        <v>58.960999999999999</v>
      </c>
      <c r="Q86" s="89">
        <f>+Q85-2</f>
        <v>43495</v>
      </c>
      <c r="R86" s="88"/>
      <c r="S86" s="88" t="e">
        <f t="shared" si="99"/>
        <v>#VALUE!</v>
      </c>
      <c r="T86" s="3" t="str">
        <f t="shared" si="115"/>
        <v>Đắp vật liệu dạng hạt km101+778,79-km101+805,92 lớp 8</v>
      </c>
    </row>
    <row r="87" spans="1:20" ht="25.5" customHeight="1" outlineLevel="2">
      <c r="A87" s="81">
        <f>SUBTOTAL(103,$B$12:B87)</f>
        <v>76</v>
      </c>
      <c r="B87" s="78">
        <f t="shared" si="108"/>
        <v>43493</v>
      </c>
      <c r="C87" s="571" t="str">
        <f t="shared" si="109"/>
        <v>Đắp vật liệu dạng hạt km101+778,79-km101+805,92 lớp 9</v>
      </c>
      <c r="D87" s="572"/>
      <c r="E87" s="573"/>
      <c r="F87" s="2">
        <f t="shared" si="110"/>
        <v>58.92</v>
      </c>
      <c r="G87" s="1">
        <f t="shared" si="111"/>
        <v>58.92</v>
      </c>
      <c r="H87" s="295">
        <f t="shared" si="112"/>
        <v>58.92</v>
      </c>
      <c r="I87" s="107">
        <f t="shared" si="113"/>
        <v>58.92</v>
      </c>
      <c r="J87" s="107">
        <f t="shared" si="114"/>
        <v>58.92</v>
      </c>
      <c r="K87" s="604"/>
      <c r="N87" s="118"/>
      <c r="O87" s="266" t="s">
        <v>448</v>
      </c>
      <c r="P87" s="88">
        <v>58.92</v>
      </c>
      <c r="Q87" s="89">
        <f>+Q86-2</f>
        <v>43493</v>
      </c>
      <c r="R87" s="88"/>
      <c r="S87" s="88" t="e">
        <f t="shared" si="99"/>
        <v>#VALUE!</v>
      </c>
      <c r="T87" s="3" t="str">
        <f t="shared" si="115"/>
        <v>Đắp vật liệu dạng hạt km101+778,79-km101+805,92 lớp 9</v>
      </c>
    </row>
    <row r="88" spans="1:20" ht="25.5" customHeight="1" outlineLevel="2">
      <c r="A88" s="81">
        <f>SUBTOTAL(103,$B$12:B88)</f>
        <v>77</v>
      </c>
      <c r="B88" s="78">
        <f t="shared" si="108"/>
        <v>43491</v>
      </c>
      <c r="C88" s="571" t="str">
        <f t="shared" si="109"/>
        <v>Đắp vật liệu dạng hạt km101+778,79-km101+805,92 lớp 10</v>
      </c>
      <c r="D88" s="572"/>
      <c r="E88" s="573"/>
      <c r="F88" s="2">
        <f t="shared" si="110"/>
        <v>58.865000000000002</v>
      </c>
      <c r="G88" s="1">
        <f t="shared" si="111"/>
        <v>58.865000000000002</v>
      </c>
      <c r="H88" s="295">
        <f t="shared" si="112"/>
        <v>58.865000000000002</v>
      </c>
      <c r="I88" s="107">
        <f t="shared" si="113"/>
        <v>58.865000000000002</v>
      </c>
      <c r="J88" s="107">
        <f t="shared" si="114"/>
        <v>58.865000000000002</v>
      </c>
      <c r="K88" s="604"/>
      <c r="N88" s="118"/>
      <c r="O88" s="266" t="s">
        <v>449</v>
      </c>
      <c r="P88" s="88">
        <v>58.865000000000002</v>
      </c>
      <c r="Q88" s="89">
        <f t="shared" ref="Q88:Q129" si="116">+Q87-2</f>
        <v>43491</v>
      </c>
      <c r="R88" s="88"/>
      <c r="S88" s="88" t="e">
        <f t="shared" si="99"/>
        <v>#VALUE!</v>
      </c>
      <c r="T88" s="3" t="str">
        <f t="shared" si="115"/>
        <v>Đắp vật liệu dạng hạt km101+778,79-km101+805,92 lớp 10</v>
      </c>
    </row>
    <row r="89" spans="1:20" ht="25.5" customHeight="1" outlineLevel="2">
      <c r="A89" s="81">
        <f>SUBTOTAL(103,$B$12:B89)</f>
        <v>78</v>
      </c>
      <c r="B89" s="78">
        <f t="shared" si="108"/>
        <v>43489</v>
      </c>
      <c r="C89" s="571" t="str">
        <f t="shared" si="109"/>
        <v>Đắp vật liệu dạng hạt km101+778,79-km101+805,92 lớp 11</v>
      </c>
      <c r="D89" s="572"/>
      <c r="E89" s="573"/>
      <c r="F89" s="2">
        <f t="shared" si="110"/>
        <v>58.978999999999999</v>
      </c>
      <c r="G89" s="1">
        <f t="shared" si="111"/>
        <v>58.978999999999999</v>
      </c>
      <c r="H89" s="295">
        <f t="shared" si="112"/>
        <v>58.978999999999999</v>
      </c>
      <c r="I89" s="107">
        <f t="shared" si="113"/>
        <v>58.978999999999999</v>
      </c>
      <c r="J89" s="107">
        <f t="shared" si="114"/>
        <v>58.978999999999999</v>
      </c>
      <c r="K89" s="604"/>
      <c r="N89" s="118"/>
      <c r="O89" s="266" t="s">
        <v>450</v>
      </c>
      <c r="P89" s="88">
        <v>58.978999999999999</v>
      </c>
      <c r="Q89" s="89">
        <f t="shared" si="116"/>
        <v>43489</v>
      </c>
      <c r="R89" s="88"/>
      <c r="S89" s="88" t="e">
        <f t="shared" si="99"/>
        <v>#VALUE!</v>
      </c>
      <c r="T89" s="3" t="str">
        <f t="shared" si="115"/>
        <v>Đắp vật liệu dạng hạt km101+778,79-km101+805,92 lớp 11</v>
      </c>
    </row>
    <row r="90" spans="1:20" ht="25.5" customHeight="1" outlineLevel="2">
      <c r="A90" s="81">
        <f>SUBTOTAL(103,$B$12:B90)</f>
        <v>79</v>
      </c>
      <c r="B90" s="78">
        <f t="shared" si="108"/>
        <v>43487</v>
      </c>
      <c r="C90" s="571" t="str">
        <f t="shared" si="109"/>
        <v>Đắp vật liệu dạng hạt km101+778,79-km101+805,92 lớp 12</v>
      </c>
      <c r="D90" s="572"/>
      <c r="E90" s="573"/>
      <c r="F90" s="2">
        <f t="shared" si="110"/>
        <v>58.966000000000001</v>
      </c>
      <c r="G90" s="1">
        <f t="shared" si="111"/>
        <v>58.966000000000001</v>
      </c>
      <c r="H90" s="295">
        <f t="shared" si="112"/>
        <v>58.966000000000001</v>
      </c>
      <c r="I90" s="107">
        <f t="shared" si="113"/>
        <v>58.966000000000001</v>
      </c>
      <c r="J90" s="107">
        <f t="shared" si="114"/>
        <v>58.966000000000001</v>
      </c>
      <c r="K90" s="604"/>
      <c r="N90" s="118"/>
      <c r="O90" s="266" t="s">
        <v>451</v>
      </c>
      <c r="P90" s="88">
        <v>58.966000000000001</v>
      </c>
      <c r="Q90" s="89">
        <f t="shared" si="116"/>
        <v>43487</v>
      </c>
      <c r="R90" s="88"/>
      <c r="S90" s="88" t="e">
        <f t="shared" si="99"/>
        <v>#VALUE!</v>
      </c>
      <c r="T90" s="3" t="str">
        <f t="shared" si="115"/>
        <v>Đắp vật liệu dạng hạt km101+778,79-km101+805,92 lớp 12</v>
      </c>
    </row>
    <row r="91" spans="1:20" ht="25.5" customHeight="1" outlineLevel="2">
      <c r="A91" s="81">
        <f>SUBTOTAL(103,$B$12:B91)</f>
        <v>80</v>
      </c>
      <c r="B91" s="78">
        <f t="shared" si="108"/>
        <v>43485</v>
      </c>
      <c r="C91" s="571" t="str">
        <f t="shared" si="109"/>
        <v>Đắp vật liệu dạng hạt km101+778,79-km101+805,92 lớp 13</v>
      </c>
      <c r="D91" s="572"/>
      <c r="E91" s="573"/>
      <c r="F91" s="2">
        <f t="shared" si="110"/>
        <v>58.956000000000003</v>
      </c>
      <c r="G91" s="1">
        <f t="shared" si="111"/>
        <v>58.956000000000003</v>
      </c>
      <c r="H91" s="295">
        <f t="shared" si="112"/>
        <v>58.956000000000003</v>
      </c>
      <c r="I91" s="107">
        <f t="shared" si="113"/>
        <v>58.956000000000003</v>
      </c>
      <c r="J91" s="107">
        <f t="shared" si="114"/>
        <v>58.956000000000003</v>
      </c>
      <c r="K91" s="604"/>
      <c r="N91" s="118"/>
      <c r="O91" s="266" t="s">
        <v>452</v>
      </c>
      <c r="P91" s="88">
        <v>58.956000000000003</v>
      </c>
      <c r="Q91" s="89">
        <f t="shared" si="116"/>
        <v>43485</v>
      </c>
      <c r="R91" s="88"/>
      <c r="S91" s="88" t="e">
        <f t="shared" si="99"/>
        <v>#VALUE!</v>
      </c>
      <c r="T91" s="3" t="str">
        <f t="shared" si="115"/>
        <v>Đắp vật liệu dạng hạt km101+778,79-km101+805,92 lớp 13</v>
      </c>
    </row>
    <row r="92" spans="1:20" ht="25.5" customHeight="1" outlineLevel="2">
      <c r="A92" s="81">
        <f>SUBTOTAL(103,$B$12:B92)</f>
        <v>81</v>
      </c>
      <c r="B92" s="78">
        <f t="shared" si="108"/>
        <v>43483</v>
      </c>
      <c r="C92" s="571" t="str">
        <f t="shared" si="109"/>
        <v>Đắp vật liệu dạng hạt km101+778,79-km101+805,92 lớp 14</v>
      </c>
      <c r="D92" s="572"/>
      <c r="E92" s="573"/>
      <c r="F92" s="2">
        <f t="shared" si="110"/>
        <v>58.960999999999999</v>
      </c>
      <c r="G92" s="1">
        <f t="shared" si="111"/>
        <v>58.960999999999999</v>
      </c>
      <c r="H92" s="295">
        <f t="shared" si="112"/>
        <v>58.960999999999999</v>
      </c>
      <c r="I92" s="107">
        <f t="shared" si="113"/>
        <v>58.960999999999999</v>
      </c>
      <c r="J92" s="107">
        <f t="shared" si="114"/>
        <v>58.960999999999999</v>
      </c>
      <c r="K92" s="604"/>
      <c r="N92" s="118"/>
      <c r="O92" s="266" t="s">
        <v>453</v>
      </c>
      <c r="P92" s="88">
        <v>58.960999999999999</v>
      </c>
      <c r="Q92" s="89">
        <f t="shared" si="116"/>
        <v>43483</v>
      </c>
      <c r="R92" s="88"/>
      <c r="S92" s="88" t="e">
        <f t="shared" si="99"/>
        <v>#VALUE!</v>
      </c>
      <c r="T92" s="3" t="str">
        <f t="shared" si="115"/>
        <v>Đắp vật liệu dạng hạt km101+778,79-km101+805,92 lớp 14</v>
      </c>
    </row>
    <row r="93" spans="1:20" ht="25.5" customHeight="1" outlineLevel="2">
      <c r="A93" s="81">
        <f>SUBTOTAL(103,$B$12:B93)</f>
        <v>82</v>
      </c>
      <c r="B93" s="78">
        <f t="shared" si="108"/>
        <v>43481</v>
      </c>
      <c r="C93" s="571" t="str">
        <f t="shared" si="109"/>
        <v>Đắp vật liệu dạng hạt km101+778,79-km101+805,92 lớp 15</v>
      </c>
      <c r="D93" s="572"/>
      <c r="E93" s="573"/>
      <c r="F93" s="2">
        <f t="shared" si="110"/>
        <v>58.960999999999999</v>
      </c>
      <c r="G93" s="1">
        <f t="shared" si="111"/>
        <v>58.960999999999999</v>
      </c>
      <c r="H93" s="295">
        <f t="shared" si="112"/>
        <v>58.960999999999999</v>
      </c>
      <c r="I93" s="107">
        <f t="shared" si="113"/>
        <v>58.960999999999999</v>
      </c>
      <c r="J93" s="107">
        <f t="shared" si="114"/>
        <v>58.960999999999999</v>
      </c>
      <c r="K93" s="604"/>
      <c r="N93" s="118"/>
      <c r="O93" s="266" t="s">
        <v>454</v>
      </c>
      <c r="P93" s="88">
        <v>58.960999999999999</v>
      </c>
      <c r="Q93" s="89">
        <f t="shared" si="116"/>
        <v>43481</v>
      </c>
      <c r="R93" s="88"/>
      <c r="S93" s="88" t="e">
        <f t="shared" si="99"/>
        <v>#VALUE!</v>
      </c>
      <c r="T93" s="3" t="str">
        <f t="shared" si="115"/>
        <v>Đắp vật liệu dạng hạt km101+778,79-km101+805,92 lớp 15</v>
      </c>
    </row>
    <row r="94" spans="1:20" ht="25.5" customHeight="1" outlineLevel="2">
      <c r="A94" s="81">
        <f>SUBTOTAL(103,$B$12:B94)</f>
        <v>83</v>
      </c>
      <c r="B94" s="78">
        <f t="shared" si="108"/>
        <v>43479</v>
      </c>
      <c r="C94" s="571" t="str">
        <f t="shared" si="109"/>
        <v>Đắp vật liệu dạng hạt km101+778,79-km101+805,92 lớp 16</v>
      </c>
      <c r="D94" s="572"/>
      <c r="E94" s="573"/>
      <c r="F94" s="2">
        <f t="shared" si="110"/>
        <v>58.960999999999999</v>
      </c>
      <c r="G94" s="1">
        <f t="shared" si="111"/>
        <v>58.960999999999999</v>
      </c>
      <c r="H94" s="295">
        <f t="shared" si="112"/>
        <v>58.960999999999999</v>
      </c>
      <c r="I94" s="107">
        <f t="shared" si="113"/>
        <v>58.960999999999999</v>
      </c>
      <c r="J94" s="107">
        <f t="shared" si="114"/>
        <v>58.960999999999999</v>
      </c>
      <c r="K94" s="604"/>
      <c r="N94" s="118"/>
      <c r="O94" s="266" t="s">
        <v>455</v>
      </c>
      <c r="P94" s="88">
        <v>58.960999999999999</v>
      </c>
      <c r="Q94" s="89">
        <f t="shared" si="116"/>
        <v>43479</v>
      </c>
      <c r="R94" s="88"/>
      <c r="S94" s="88" t="e">
        <f t="shared" si="99"/>
        <v>#VALUE!</v>
      </c>
      <c r="T94" s="3" t="str">
        <f t="shared" si="115"/>
        <v>Đắp vật liệu dạng hạt km101+778,79-km101+805,92 lớp 16</v>
      </c>
    </row>
    <row r="95" spans="1:20" ht="25.5" customHeight="1" outlineLevel="2">
      <c r="A95" s="81">
        <f>SUBTOTAL(103,$B$12:B95)</f>
        <v>84</v>
      </c>
      <c r="B95" s="78">
        <f t="shared" si="108"/>
        <v>43477</v>
      </c>
      <c r="C95" s="571" t="str">
        <f t="shared" si="109"/>
        <v>Đắp vật liệu dạng hạt km101+778,79-km101+805,92 lớp 17</v>
      </c>
      <c r="D95" s="572"/>
      <c r="E95" s="573"/>
      <c r="F95" s="2">
        <f t="shared" si="110"/>
        <v>58.92</v>
      </c>
      <c r="G95" s="1">
        <f t="shared" si="111"/>
        <v>58.92</v>
      </c>
      <c r="H95" s="295">
        <f t="shared" si="112"/>
        <v>58.92</v>
      </c>
      <c r="I95" s="107">
        <f t="shared" si="113"/>
        <v>58.92</v>
      </c>
      <c r="J95" s="107">
        <f t="shared" si="114"/>
        <v>58.92</v>
      </c>
      <c r="K95" s="604"/>
      <c r="N95" s="118"/>
      <c r="O95" s="266" t="s">
        <v>456</v>
      </c>
      <c r="P95" s="88">
        <v>58.92</v>
      </c>
      <c r="Q95" s="89">
        <f t="shared" si="116"/>
        <v>43477</v>
      </c>
      <c r="R95" s="88"/>
      <c r="S95" s="88" t="e">
        <f t="shared" si="99"/>
        <v>#VALUE!</v>
      </c>
      <c r="T95" s="3" t="str">
        <f t="shared" si="115"/>
        <v>Đắp vật liệu dạng hạt km101+778,79-km101+805,92 lớp 17</v>
      </c>
    </row>
    <row r="96" spans="1:20" ht="25.5" customHeight="1" outlineLevel="2">
      <c r="A96" s="81">
        <f>SUBTOTAL(103,$B$12:B96)</f>
        <v>85</v>
      </c>
      <c r="B96" s="78">
        <f t="shared" si="108"/>
        <v>43475</v>
      </c>
      <c r="C96" s="571" t="str">
        <f t="shared" si="109"/>
        <v>Đắp vật liệu dạng hạt km101+778,79-km101+805,92 lớp 18</v>
      </c>
      <c r="D96" s="572"/>
      <c r="E96" s="573"/>
      <c r="F96" s="2">
        <f t="shared" si="110"/>
        <v>58.92</v>
      </c>
      <c r="G96" s="1">
        <f t="shared" si="111"/>
        <v>58.92</v>
      </c>
      <c r="H96" s="295">
        <f t="shared" si="112"/>
        <v>58.92</v>
      </c>
      <c r="I96" s="107">
        <f t="shared" si="113"/>
        <v>58.92</v>
      </c>
      <c r="J96" s="107">
        <f t="shared" si="114"/>
        <v>58.92</v>
      </c>
      <c r="K96" s="604"/>
      <c r="N96" s="118"/>
      <c r="O96" s="266" t="s">
        <v>457</v>
      </c>
      <c r="P96" s="88">
        <v>58.92</v>
      </c>
      <c r="Q96" s="89">
        <f t="shared" si="116"/>
        <v>43475</v>
      </c>
      <c r="R96" s="88"/>
      <c r="S96" s="88" t="e">
        <f t="shared" si="99"/>
        <v>#VALUE!</v>
      </c>
      <c r="T96" s="3" t="str">
        <f t="shared" si="115"/>
        <v>Đắp vật liệu dạng hạt km101+778,79-km101+805,92 lớp 18</v>
      </c>
    </row>
    <row r="97" spans="1:20" ht="25.5" customHeight="1" outlineLevel="2">
      <c r="A97" s="81">
        <f>SUBTOTAL(103,$B$12:B97)</f>
        <v>86</v>
      </c>
      <c r="B97" s="78">
        <f t="shared" si="108"/>
        <v>43473</v>
      </c>
      <c r="C97" s="571" t="str">
        <f t="shared" si="109"/>
        <v>Đắp vật liệu dạng hạt km101+778,79-km101+805,92 lớp 19</v>
      </c>
      <c r="D97" s="572"/>
      <c r="E97" s="573"/>
      <c r="F97" s="2">
        <f t="shared" si="110"/>
        <v>58.960999999999999</v>
      </c>
      <c r="G97" s="1">
        <f t="shared" si="111"/>
        <v>58.960999999999999</v>
      </c>
      <c r="H97" s="295">
        <f t="shared" si="112"/>
        <v>58.960999999999999</v>
      </c>
      <c r="I97" s="107">
        <f t="shared" si="113"/>
        <v>58.960999999999999</v>
      </c>
      <c r="J97" s="107">
        <f t="shared" si="114"/>
        <v>58.960999999999999</v>
      </c>
      <c r="K97" s="604"/>
      <c r="N97" s="118"/>
      <c r="O97" s="266" t="s">
        <v>458</v>
      </c>
      <c r="P97" s="88">
        <v>58.960999999999999</v>
      </c>
      <c r="Q97" s="89">
        <f t="shared" si="116"/>
        <v>43473</v>
      </c>
      <c r="R97" s="88"/>
      <c r="S97" s="88" t="e">
        <f t="shared" si="99"/>
        <v>#VALUE!</v>
      </c>
      <c r="T97" s="3" t="str">
        <f t="shared" si="115"/>
        <v>Đắp vật liệu dạng hạt km101+778,79-km101+805,92 lớp 19</v>
      </c>
    </row>
    <row r="98" spans="1:20" ht="25.5" customHeight="1" outlineLevel="2">
      <c r="A98" s="81">
        <f>SUBTOTAL(103,$B$12:B98)</f>
        <v>87</v>
      </c>
      <c r="B98" s="78">
        <f t="shared" si="108"/>
        <v>43471</v>
      </c>
      <c r="C98" s="571" t="str">
        <f t="shared" si="109"/>
        <v>Đắp vật liệu dạng hạt km101+778,79-km101+805,92 lớp 20</v>
      </c>
      <c r="D98" s="572"/>
      <c r="E98" s="573"/>
      <c r="F98" s="2">
        <f t="shared" si="110"/>
        <v>58.960999999999999</v>
      </c>
      <c r="G98" s="1">
        <f t="shared" si="111"/>
        <v>58.960999999999999</v>
      </c>
      <c r="H98" s="295">
        <f t="shared" si="112"/>
        <v>58.960999999999999</v>
      </c>
      <c r="I98" s="107">
        <f t="shared" si="113"/>
        <v>58.960999999999999</v>
      </c>
      <c r="J98" s="107">
        <f t="shared" si="114"/>
        <v>58.960999999999999</v>
      </c>
      <c r="K98" s="604"/>
      <c r="N98" s="118"/>
      <c r="O98" s="266" t="s">
        <v>459</v>
      </c>
      <c r="P98" s="88">
        <v>58.960999999999999</v>
      </c>
      <c r="Q98" s="89">
        <f t="shared" si="116"/>
        <v>43471</v>
      </c>
      <c r="R98" s="88"/>
      <c r="S98" s="88" t="e">
        <f t="shared" si="99"/>
        <v>#VALUE!</v>
      </c>
      <c r="T98" s="3" t="str">
        <f t="shared" si="115"/>
        <v>Đắp vật liệu dạng hạt km101+778,79-km101+805,92 lớp 20</v>
      </c>
    </row>
    <row r="99" spans="1:20" ht="25.5" customHeight="1" outlineLevel="2">
      <c r="A99" s="81">
        <f>SUBTOTAL(103,$B$12:B99)</f>
        <v>88</v>
      </c>
      <c r="B99" s="78">
        <f t="shared" si="108"/>
        <v>43469</v>
      </c>
      <c r="C99" s="571" t="str">
        <f t="shared" si="109"/>
        <v>Đắp vật liệu dạng hạt km101+778,79-km101+805,92 lớp 21</v>
      </c>
      <c r="D99" s="572"/>
      <c r="E99" s="573"/>
      <c r="F99" s="2">
        <f t="shared" si="110"/>
        <v>58.923999999999999</v>
      </c>
      <c r="G99" s="1">
        <f t="shared" si="111"/>
        <v>58.923999999999999</v>
      </c>
      <c r="H99" s="295">
        <f t="shared" si="112"/>
        <v>58.923999999999999</v>
      </c>
      <c r="I99" s="107">
        <f t="shared" si="113"/>
        <v>58.923999999999999</v>
      </c>
      <c r="J99" s="107">
        <f t="shared" si="114"/>
        <v>58.923999999999999</v>
      </c>
      <c r="K99" s="604"/>
      <c r="N99" s="118"/>
      <c r="O99" s="266" t="s">
        <v>460</v>
      </c>
      <c r="P99" s="88">
        <v>58.923999999999999</v>
      </c>
      <c r="Q99" s="89">
        <f t="shared" si="116"/>
        <v>43469</v>
      </c>
      <c r="R99" s="88"/>
      <c r="S99" s="88" t="e">
        <f t="shared" si="99"/>
        <v>#VALUE!</v>
      </c>
      <c r="T99" s="3" t="str">
        <f t="shared" si="115"/>
        <v>Đắp vật liệu dạng hạt km101+778,79-km101+805,92 lớp 21</v>
      </c>
    </row>
    <row r="100" spans="1:20" ht="25.5" customHeight="1" outlineLevel="2">
      <c r="A100" s="81">
        <f>SUBTOTAL(103,$B$12:B100)</f>
        <v>89</v>
      </c>
      <c r="B100" s="78">
        <f t="shared" si="108"/>
        <v>43467</v>
      </c>
      <c r="C100" s="571" t="str">
        <f t="shared" si="109"/>
        <v>Đắp vật liệu dạng hạt km101+778,79-km101+805,92 lớp 22</v>
      </c>
      <c r="D100" s="572"/>
      <c r="E100" s="573"/>
      <c r="F100" s="2">
        <f t="shared" si="110"/>
        <v>58.960999999999999</v>
      </c>
      <c r="G100" s="1">
        <f t="shared" si="111"/>
        <v>58.960999999999999</v>
      </c>
      <c r="H100" s="295">
        <f t="shared" si="112"/>
        <v>58.960999999999999</v>
      </c>
      <c r="I100" s="107">
        <f t="shared" si="113"/>
        <v>58.960999999999999</v>
      </c>
      <c r="J100" s="107">
        <f t="shared" si="114"/>
        <v>58.960999999999999</v>
      </c>
      <c r="K100" s="604"/>
      <c r="N100" s="118"/>
      <c r="O100" s="266" t="s">
        <v>461</v>
      </c>
      <c r="P100" s="88">
        <v>58.960999999999999</v>
      </c>
      <c r="Q100" s="89">
        <f t="shared" si="116"/>
        <v>43467</v>
      </c>
      <c r="R100" s="88"/>
      <c r="S100" s="88" t="e">
        <f t="shared" si="99"/>
        <v>#VALUE!</v>
      </c>
      <c r="T100" s="3" t="str">
        <f t="shared" si="115"/>
        <v>Đắp vật liệu dạng hạt km101+778,79-km101+805,92 lớp 22</v>
      </c>
    </row>
    <row r="101" spans="1:20" ht="25.5" customHeight="1" outlineLevel="2">
      <c r="A101" s="81">
        <f>SUBTOTAL(103,$B$12:B101)</f>
        <v>90</v>
      </c>
      <c r="B101" s="78">
        <f t="shared" si="108"/>
        <v>43465</v>
      </c>
      <c r="C101" s="571" t="str">
        <f t="shared" si="109"/>
        <v>Đắp vật liệu dạng hạt km101+778,79-km101+805,92 lớp 23</v>
      </c>
      <c r="D101" s="572"/>
      <c r="E101" s="573"/>
      <c r="F101" s="2">
        <f t="shared" si="110"/>
        <v>58.960999999999999</v>
      </c>
      <c r="G101" s="1">
        <f t="shared" si="111"/>
        <v>58.960999999999999</v>
      </c>
      <c r="H101" s="295">
        <f t="shared" si="112"/>
        <v>58.960999999999999</v>
      </c>
      <c r="I101" s="107">
        <f t="shared" si="113"/>
        <v>58.960999999999999</v>
      </c>
      <c r="J101" s="107">
        <f t="shared" si="114"/>
        <v>58.960999999999999</v>
      </c>
      <c r="K101" s="604"/>
      <c r="N101" s="118"/>
      <c r="O101" s="266" t="s">
        <v>462</v>
      </c>
      <c r="P101" s="88">
        <v>58.960999999999999</v>
      </c>
      <c r="Q101" s="89">
        <f t="shared" si="116"/>
        <v>43465</v>
      </c>
      <c r="R101" s="88"/>
      <c r="S101" s="88" t="e">
        <f t="shared" si="99"/>
        <v>#VALUE!</v>
      </c>
      <c r="T101" s="3" t="str">
        <f t="shared" si="115"/>
        <v>Đắp vật liệu dạng hạt km101+778,79-km101+805,92 lớp 23</v>
      </c>
    </row>
    <row r="102" spans="1:20" ht="25.5" customHeight="1" outlineLevel="2">
      <c r="A102" s="81">
        <f>SUBTOTAL(103,$B$12:B102)</f>
        <v>91</v>
      </c>
      <c r="B102" s="78">
        <f t="shared" si="108"/>
        <v>43463</v>
      </c>
      <c r="C102" s="571" t="str">
        <f t="shared" si="109"/>
        <v>Đắp vật liệu dạng hạt km101+778,79-km101+805,92 lớp 24</v>
      </c>
      <c r="D102" s="572"/>
      <c r="E102" s="573"/>
      <c r="F102" s="2">
        <f t="shared" si="110"/>
        <v>58.966000000000001</v>
      </c>
      <c r="G102" s="1">
        <f t="shared" si="111"/>
        <v>58.966000000000001</v>
      </c>
      <c r="H102" s="295">
        <f t="shared" si="112"/>
        <v>58.966000000000001</v>
      </c>
      <c r="I102" s="107">
        <f t="shared" si="113"/>
        <v>58.966000000000001</v>
      </c>
      <c r="J102" s="107">
        <f t="shared" si="114"/>
        <v>58.966000000000001</v>
      </c>
      <c r="K102" s="604"/>
      <c r="N102" s="118"/>
      <c r="O102" s="266" t="s">
        <v>463</v>
      </c>
      <c r="P102" s="88">
        <v>58.966000000000001</v>
      </c>
      <c r="Q102" s="89">
        <f t="shared" si="116"/>
        <v>43463</v>
      </c>
      <c r="R102" s="88"/>
      <c r="S102" s="88" t="e">
        <f t="shared" si="99"/>
        <v>#VALUE!</v>
      </c>
      <c r="T102" s="3" t="str">
        <f t="shared" si="115"/>
        <v>Đắp vật liệu dạng hạt km101+778,79-km101+805,92 lớp 24</v>
      </c>
    </row>
    <row r="103" spans="1:20" ht="25.5" customHeight="1" outlineLevel="2">
      <c r="A103" s="81">
        <f>SUBTOTAL(103,$B$12:B103)</f>
        <v>92</v>
      </c>
      <c r="B103" s="78">
        <f t="shared" si="108"/>
        <v>43461</v>
      </c>
      <c r="C103" s="571" t="str">
        <f t="shared" si="109"/>
        <v>Đắp vật liệu dạng hạt km101+778,79-km101+805,92 lớp 25</v>
      </c>
      <c r="D103" s="572"/>
      <c r="E103" s="573"/>
      <c r="F103" s="2">
        <f t="shared" si="110"/>
        <v>58.957000000000001</v>
      </c>
      <c r="G103" s="1">
        <f t="shared" si="111"/>
        <v>58.957000000000001</v>
      </c>
      <c r="H103" s="295">
        <f t="shared" si="112"/>
        <v>58.957000000000001</v>
      </c>
      <c r="I103" s="107">
        <f t="shared" si="113"/>
        <v>58.957000000000001</v>
      </c>
      <c r="J103" s="107">
        <f t="shared" si="114"/>
        <v>58.957000000000001</v>
      </c>
      <c r="K103" s="604"/>
      <c r="N103" s="118"/>
      <c r="O103" s="266" t="s">
        <v>464</v>
      </c>
      <c r="P103" s="88">
        <v>58.957000000000001</v>
      </c>
      <c r="Q103" s="89">
        <f t="shared" si="116"/>
        <v>43461</v>
      </c>
      <c r="R103" s="88"/>
      <c r="S103" s="88" t="e">
        <f t="shared" si="99"/>
        <v>#VALUE!</v>
      </c>
      <c r="T103" s="3" t="str">
        <f t="shared" si="115"/>
        <v>Đắp vật liệu dạng hạt km101+778,79-km101+805,92 lớp 25</v>
      </c>
    </row>
    <row r="104" spans="1:20" ht="25.5" customHeight="1" outlineLevel="2">
      <c r="A104" s="81">
        <f>SUBTOTAL(103,$B$12:B104)</f>
        <v>93</v>
      </c>
      <c r="B104" s="78">
        <f t="shared" ref="B104:B128" si="117">Q104</f>
        <v>43459</v>
      </c>
      <c r="C104" s="571" t="str">
        <f t="shared" ref="C104:C128" si="118">T104</f>
        <v>Đắp vật liệu dạng hạt km101+778,79-km101+805,92 lớp 26</v>
      </c>
      <c r="D104" s="572"/>
      <c r="E104" s="573"/>
      <c r="F104" s="2">
        <f t="shared" ref="F104:F128" si="119">P104</f>
        <v>58.960999999999999</v>
      </c>
      <c r="G104" s="1">
        <f t="shared" ref="G104:G128" si="120">P104</f>
        <v>58.960999999999999</v>
      </c>
      <c r="H104" s="295">
        <f t="shared" ref="H104:H128" si="121">P104</f>
        <v>58.960999999999999</v>
      </c>
      <c r="I104" s="107">
        <f t="shared" ref="I104:I128" si="122">P104</f>
        <v>58.960999999999999</v>
      </c>
      <c r="J104" s="107">
        <f t="shared" ref="J104:J128" si="123">P104</f>
        <v>58.960999999999999</v>
      </c>
      <c r="K104" s="604"/>
      <c r="N104" s="118"/>
      <c r="O104" s="266" t="s">
        <v>471</v>
      </c>
      <c r="P104" s="88">
        <v>58.960999999999999</v>
      </c>
      <c r="Q104" s="89">
        <f t="shared" si="116"/>
        <v>43459</v>
      </c>
      <c r="R104" s="88"/>
      <c r="S104" s="88" t="e">
        <f t="shared" ref="S104:S128" si="124">VLOOKUP($S$11,hamchuigoi3,M104,0)</f>
        <v>#VALUE!</v>
      </c>
      <c r="T104" s="3" t="str">
        <f t="shared" ref="T104:T128" si="125">$N$6&amp;" "&amp;O104</f>
        <v>Đắp vật liệu dạng hạt km101+778,79-km101+805,92 lớp 26</v>
      </c>
    </row>
    <row r="105" spans="1:20" ht="25.5" customHeight="1" outlineLevel="2">
      <c r="A105" s="81">
        <f>SUBTOTAL(103,$B$12:B105)</f>
        <v>94</v>
      </c>
      <c r="B105" s="78">
        <f t="shared" si="117"/>
        <v>43457</v>
      </c>
      <c r="C105" s="571" t="str">
        <f t="shared" si="118"/>
        <v>Đắp vật liệu dạng hạt km101+778,79-km101+805,92 lớp 27</v>
      </c>
      <c r="D105" s="572"/>
      <c r="E105" s="573"/>
      <c r="F105" s="2">
        <f t="shared" si="119"/>
        <v>58.960999999999999</v>
      </c>
      <c r="G105" s="1">
        <f t="shared" si="120"/>
        <v>58.960999999999999</v>
      </c>
      <c r="H105" s="295">
        <f t="shared" si="121"/>
        <v>58.960999999999999</v>
      </c>
      <c r="I105" s="107">
        <f t="shared" si="122"/>
        <v>58.960999999999999</v>
      </c>
      <c r="J105" s="107">
        <f t="shared" si="123"/>
        <v>58.960999999999999</v>
      </c>
      <c r="K105" s="604"/>
      <c r="N105" s="118"/>
      <c r="O105" s="266" t="s">
        <v>472</v>
      </c>
      <c r="P105" s="88">
        <v>58.960999999999999</v>
      </c>
      <c r="Q105" s="89">
        <f t="shared" si="116"/>
        <v>43457</v>
      </c>
      <c r="R105" s="88"/>
      <c r="S105" s="88" t="e">
        <f t="shared" si="124"/>
        <v>#VALUE!</v>
      </c>
      <c r="T105" s="3" t="str">
        <f t="shared" si="125"/>
        <v>Đắp vật liệu dạng hạt km101+778,79-km101+805,92 lớp 27</v>
      </c>
    </row>
    <row r="106" spans="1:20" ht="25.5" customHeight="1" outlineLevel="2">
      <c r="A106" s="81">
        <f>SUBTOTAL(103,$B$12:B106)</f>
        <v>95</v>
      </c>
      <c r="B106" s="78">
        <f t="shared" si="117"/>
        <v>43455</v>
      </c>
      <c r="C106" s="571" t="str">
        <f t="shared" si="118"/>
        <v>Đắp vật liệu dạng hạt km101+778,79-km101+805,92 lớp 28</v>
      </c>
      <c r="D106" s="572"/>
      <c r="E106" s="573"/>
      <c r="F106" s="2">
        <f t="shared" si="119"/>
        <v>62.518999999999998</v>
      </c>
      <c r="G106" s="1">
        <f t="shared" si="120"/>
        <v>62.518999999999998</v>
      </c>
      <c r="H106" s="295">
        <f t="shared" si="121"/>
        <v>62.518999999999998</v>
      </c>
      <c r="I106" s="107">
        <f t="shared" si="122"/>
        <v>62.518999999999998</v>
      </c>
      <c r="J106" s="107">
        <f t="shared" si="123"/>
        <v>62.518999999999998</v>
      </c>
      <c r="K106" s="604"/>
      <c r="N106" s="118"/>
      <c r="O106" s="266" t="s">
        <v>473</v>
      </c>
      <c r="P106" s="88">
        <v>62.518999999999998</v>
      </c>
      <c r="Q106" s="89">
        <f t="shared" si="116"/>
        <v>43455</v>
      </c>
      <c r="R106" s="88"/>
      <c r="S106" s="88" t="e">
        <f t="shared" si="124"/>
        <v>#VALUE!</v>
      </c>
      <c r="T106" s="3" t="str">
        <f t="shared" si="125"/>
        <v>Đắp vật liệu dạng hạt km101+778,79-km101+805,92 lớp 28</v>
      </c>
    </row>
    <row r="107" spans="1:20" ht="25.5" customHeight="1" outlineLevel="2">
      <c r="A107" s="81">
        <f>SUBTOTAL(103,$B$12:B107)</f>
        <v>96</v>
      </c>
      <c r="B107" s="78">
        <f t="shared" si="117"/>
        <v>43453</v>
      </c>
      <c r="C107" s="571" t="str">
        <f t="shared" si="118"/>
        <v>Đắp vật liệu dạng hạt km101+778,79-km101+805,92 lớp 29</v>
      </c>
      <c r="D107" s="572"/>
      <c r="E107" s="573"/>
      <c r="F107" s="2">
        <f t="shared" si="119"/>
        <v>40.860999999999997</v>
      </c>
      <c r="G107" s="1">
        <f t="shared" si="120"/>
        <v>40.860999999999997</v>
      </c>
      <c r="H107" s="295">
        <f t="shared" si="121"/>
        <v>40.860999999999997</v>
      </c>
      <c r="I107" s="107">
        <f t="shared" si="122"/>
        <v>40.860999999999997</v>
      </c>
      <c r="J107" s="107">
        <f t="shared" si="123"/>
        <v>40.860999999999997</v>
      </c>
      <c r="K107" s="604"/>
      <c r="N107" s="118"/>
      <c r="O107" s="266" t="s">
        <v>474</v>
      </c>
      <c r="P107" s="88">
        <v>40.860999999999997</v>
      </c>
      <c r="Q107" s="89">
        <f t="shared" si="116"/>
        <v>43453</v>
      </c>
      <c r="R107" s="88"/>
      <c r="S107" s="88" t="e">
        <f t="shared" si="124"/>
        <v>#VALUE!</v>
      </c>
      <c r="T107" s="3" t="str">
        <f t="shared" si="125"/>
        <v>Đắp vật liệu dạng hạt km101+778,79-km101+805,92 lớp 29</v>
      </c>
    </row>
    <row r="108" spans="1:20" ht="25.5" customHeight="1" outlineLevel="2">
      <c r="A108" s="81">
        <f>SUBTOTAL(103,$B$12:B108)</f>
        <v>97</v>
      </c>
      <c r="B108" s="78">
        <f t="shared" si="117"/>
        <v>43451</v>
      </c>
      <c r="C108" s="571" t="str">
        <f t="shared" si="118"/>
        <v>Đắp vật liệu dạng hạt km101+778,79-km101+805,92 lớp 30</v>
      </c>
      <c r="D108" s="572"/>
      <c r="E108" s="573"/>
      <c r="F108" s="2">
        <f t="shared" si="119"/>
        <v>40.805</v>
      </c>
      <c r="G108" s="1">
        <f t="shared" si="120"/>
        <v>40.805</v>
      </c>
      <c r="H108" s="295">
        <f t="shared" si="121"/>
        <v>40.805</v>
      </c>
      <c r="I108" s="107">
        <f t="shared" si="122"/>
        <v>40.805</v>
      </c>
      <c r="J108" s="107">
        <f t="shared" si="123"/>
        <v>40.805</v>
      </c>
      <c r="K108" s="604"/>
      <c r="N108" s="118"/>
      <c r="O108" s="266" t="s">
        <v>475</v>
      </c>
      <c r="P108" s="88">
        <v>40.805</v>
      </c>
      <c r="Q108" s="89">
        <f t="shared" si="116"/>
        <v>43451</v>
      </c>
      <c r="R108" s="88"/>
      <c r="S108" s="88" t="e">
        <f t="shared" si="124"/>
        <v>#VALUE!</v>
      </c>
      <c r="T108" s="3" t="str">
        <f t="shared" si="125"/>
        <v>Đắp vật liệu dạng hạt km101+778,79-km101+805,92 lớp 30</v>
      </c>
    </row>
    <row r="109" spans="1:20" ht="25.5" customHeight="1" outlineLevel="2">
      <c r="A109" s="81">
        <f>SUBTOTAL(103,$B$12:B109)</f>
        <v>98</v>
      </c>
      <c r="B109" s="78">
        <f t="shared" si="117"/>
        <v>43449</v>
      </c>
      <c r="C109" s="571" t="str">
        <f t="shared" si="118"/>
        <v>Đắp vật liệu dạng hạt km101+778,79-km101+805,92 lớp 31</v>
      </c>
      <c r="D109" s="572"/>
      <c r="E109" s="573"/>
      <c r="F109" s="2">
        <f t="shared" si="119"/>
        <v>40.878999999999998</v>
      </c>
      <c r="G109" s="1">
        <f t="shared" si="120"/>
        <v>40.878999999999998</v>
      </c>
      <c r="H109" s="295">
        <f t="shared" si="121"/>
        <v>40.878999999999998</v>
      </c>
      <c r="I109" s="107">
        <f t="shared" si="122"/>
        <v>40.878999999999998</v>
      </c>
      <c r="J109" s="107">
        <f t="shared" si="123"/>
        <v>40.878999999999998</v>
      </c>
      <c r="K109" s="604"/>
      <c r="N109" s="118"/>
      <c r="O109" s="266" t="s">
        <v>476</v>
      </c>
      <c r="P109" s="88">
        <v>40.878999999999998</v>
      </c>
      <c r="Q109" s="89">
        <f t="shared" si="116"/>
        <v>43449</v>
      </c>
      <c r="R109" s="88"/>
      <c r="S109" s="88" t="e">
        <f t="shared" si="124"/>
        <v>#VALUE!</v>
      </c>
      <c r="T109" s="3" t="str">
        <f t="shared" si="125"/>
        <v>Đắp vật liệu dạng hạt km101+778,79-km101+805,92 lớp 31</v>
      </c>
    </row>
    <row r="110" spans="1:20" ht="25.5" customHeight="1" outlineLevel="2">
      <c r="A110" s="81">
        <f>SUBTOTAL(103,$B$12:B110)</f>
        <v>99</v>
      </c>
      <c r="B110" s="78">
        <f t="shared" si="117"/>
        <v>43447</v>
      </c>
      <c r="C110" s="571" t="str">
        <f t="shared" si="118"/>
        <v>Đắp vật liệu dạng hạt km101+778,79-km101+805,92 lớp 32</v>
      </c>
      <c r="D110" s="572"/>
      <c r="E110" s="573"/>
      <c r="F110" s="2">
        <f t="shared" si="119"/>
        <v>40.865000000000002</v>
      </c>
      <c r="G110" s="1">
        <f t="shared" si="120"/>
        <v>40.865000000000002</v>
      </c>
      <c r="H110" s="295">
        <f t="shared" si="121"/>
        <v>40.865000000000002</v>
      </c>
      <c r="I110" s="107">
        <f t="shared" si="122"/>
        <v>40.865000000000002</v>
      </c>
      <c r="J110" s="107">
        <f t="shared" si="123"/>
        <v>40.865000000000002</v>
      </c>
      <c r="K110" s="604"/>
      <c r="N110" s="118"/>
      <c r="O110" s="266" t="s">
        <v>477</v>
      </c>
      <c r="P110" s="88">
        <v>40.865000000000002</v>
      </c>
      <c r="Q110" s="89">
        <f t="shared" si="116"/>
        <v>43447</v>
      </c>
      <c r="R110" s="88"/>
      <c r="S110" s="88" t="e">
        <f t="shared" si="124"/>
        <v>#VALUE!</v>
      </c>
      <c r="T110" s="3" t="str">
        <f t="shared" si="125"/>
        <v>Đắp vật liệu dạng hạt km101+778,79-km101+805,92 lớp 32</v>
      </c>
    </row>
    <row r="111" spans="1:20" ht="25.5" customHeight="1" outlineLevel="2">
      <c r="A111" s="81">
        <f>SUBTOTAL(103,$B$12:B111)</f>
        <v>100</v>
      </c>
      <c r="B111" s="78">
        <f t="shared" si="117"/>
        <v>43445</v>
      </c>
      <c r="C111" s="571" t="str">
        <f t="shared" si="118"/>
        <v>Đắp vật liệu dạng hạt km101+778,79-km101+805,92 lớp 33</v>
      </c>
      <c r="D111" s="572"/>
      <c r="E111" s="573"/>
      <c r="F111" s="2">
        <f t="shared" si="119"/>
        <v>40.860999999999997</v>
      </c>
      <c r="G111" s="1">
        <f t="shared" si="120"/>
        <v>40.860999999999997</v>
      </c>
      <c r="H111" s="295">
        <f t="shared" si="121"/>
        <v>40.860999999999997</v>
      </c>
      <c r="I111" s="107">
        <f t="shared" si="122"/>
        <v>40.860999999999997</v>
      </c>
      <c r="J111" s="107">
        <f t="shared" si="123"/>
        <v>40.860999999999997</v>
      </c>
      <c r="K111" s="604"/>
      <c r="N111" s="118"/>
      <c r="O111" s="266" t="s">
        <v>478</v>
      </c>
      <c r="P111" s="88">
        <v>40.860999999999997</v>
      </c>
      <c r="Q111" s="89">
        <f t="shared" si="116"/>
        <v>43445</v>
      </c>
      <c r="R111" s="88"/>
      <c r="S111" s="88" t="e">
        <f t="shared" si="124"/>
        <v>#VALUE!</v>
      </c>
      <c r="T111" s="3" t="str">
        <f t="shared" si="125"/>
        <v>Đắp vật liệu dạng hạt km101+778,79-km101+805,92 lớp 33</v>
      </c>
    </row>
    <row r="112" spans="1:20" ht="25.5" customHeight="1" outlineLevel="2">
      <c r="A112" s="81">
        <f>SUBTOTAL(103,$B$12:B112)</f>
        <v>101</v>
      </c>
      <c r="B112" s="78">
        <f t="shared" si="117"/>
        <v>43443</v>
      </c>
      <c r="C112" s="571" t="str">
        <f t="shared" si="118"/>
        <v>Đắp vật liệu dạng hạt km101+778,79-km101+805,92 lớp 34</v>
      </c>
      <c r="D112" s="572"/>
      <c r="E112" s="573"/>
      <c r="F112" s="2">
        <f t="shared" si="119"/>
        <v>38.359000000000002</v>
      </c>
      <c r="G112" s="1">
        <f t="shared" si="120"/>
        <v>38.359000000000002</v>
      </c>
      <c r="H112" s="295">
        <f t="shared" si="121"/>
        <v>38.359000000000002</v>
      </c>
      <c r="I112" s="107">
        <f t="shared" si="122"/>
        <v>38.359000000000002</v>
      </c>
      <c r="J112" s="107">
        <f t="shared" si="123"/>
        <v>38.359000000000002</v>
      </c>
      <c r="K112" s="604"/>
      <c r="N112" s="118"/>
      <c r="O112" s="266" t="s">
        <v>479</v>
      </c>
      <c r="P112" s="88">
        <v>38.359000000000002</v>
      </c>
      <c r="Q112" s="89">
        <f t="shared" si="116"/>
        <v>43443</v>
      </c>
      <c r="R112" s="88"/>
      <c r="S112" s="88" t="e">
        <f t="shared" si="124"/>
        <v>#VALUE!</v>
      </c>
      <c r="T112" s="3" t="str">
        <f t="shared" si="125"/>
        <v>Đắp vật liệu dạng hạt km101+778,79-km101+805,92 lớp 34</v>
      </c>
    </row>
    <row r="113" spans="1:20" ht="25.5" customHeight="1" outlineLevel="2">
      <c r="A113" s="81">
        <f>SUBTOTAL(103,$B$12:B113)</f>
        <v>102</v>
      </c>
      <c r="B113" s="78">
        <f t="shared" si="117"/>
        <v>43441</v>
      </c>
      <c r="C113" s="571" t="str">
        <f t="shared" si="118"/>
        <v>Đắp vật liệu dạng hạt km101+778,79-km101+805,92 lớp 35</v>
      </c>
      <c r="D113" s="572"/>
      <c r="E113" s="573"/>
      <c r="F113" s="2">
        <f t="shared" si="119"/>
        <v>28.521000000000001</v>
      </c>
      <c r="G113" s="1">
        <f t="shared" si="120"/>
        <v>28.521000000000001</v>
      </c>
      <c r="H113" s="295">
        <f t="shared" si="121"/>
        <v>28.521000000000001</v>
      </c>
      <c r="I113" s="107">
        <f t="shared" si="122"/>
        <v>28.521000000000001</v>
      </c>
      <c r="J113" s="107">
        <f t="shared" si="123"/>
        <v>28.521000000000001</v>
      </c>
      <c r="K113" s="604"/>
      <c r="N113" s="118"/>
      <c r="O113" s="266" t="s">
        <v>480</v>
      </c>
      <c r="P113" s="88">
        <v>28.521000000000001</v>
      </c>
      <c r="Q113" s="89">
        <f t="shared" si="116"/>
        <v>43441</v>
      </c>
      <c r="R113" s="88"/>
      <c r="S113" s="88" t="e">
        <f t="shared" si="124"/>
        <v>#VALUE!</v>
      </c>
      <c r="T113" s="3" t="str">
        <f t="shared" si="125"/>
        <v>Đắp vật liệu dạng hạt km101+778,79-km101+805,92 lớp 35</v>
      </c>
    </row>
    <row r="114" spans="1:20" ht="25.5" customHeight="1" outlineLevel="2">
      <c r="A114" s="81">
        <f>SUBTOTAL(103,$B$12:B114)</f>
        <v>103</v>
      </c>
      <c r="B114" s="78">
        <f t="shared" si="117"/>
        <v>43439</v>
      </c>
      <c r="C114" s="571" t="str">
        <f t="shared" si="118"/>
        <v>Đắp vật liệu dạng hạt km101+778,79-km101+805,92 lớp 36</v>
      </c>
      <c r="D114" s="572"/>
      <c r="E114" s="573"/>
      <c r="F114" s="2">
        <f t="shared" si="119"/>
        <v>28.521000000000001</v>
      </c>
      <c r="G114" s="1">
        <f t="shared" si="120"/>
        <v>28.521000000000001</v>
      </c>
      <c r="H114" s="295">
        <f t="shared" si="121"/>
        <v>28.521000000000001</v>
      </c>
      <c r="I114" s="107">
        <f t="shared" si="122"/>
        <v>28.521000000000001</v>
      </c>
      <c r="J114" s="107">
        <f t="shared" si="123"/>
        <v>28.521000000000001</v>
      </c>
      <c r="K114" s="604"/>
      <c r="N114" s="118"/>
      <c r="O114" s="266" t="s">
        <v>481</v>
      </c>
      <c r="P114" s="88">
        <v>28.521000000000001</v>
      </c>
      <c r="Q114" s="89">
        <f t="shared" si="116"/>
        <v>43439</v>
      </c>
      <c r="R114" s="88"/>
      <c r="S114" s="88" t="e">
        <f t="shared" si="124"/>
        <v>#VALUE!</v>
      </c>
      <c r="T114" s="3" t="str">
        <f t="shared" si="125"/>
        <v>Đắp vật liệu dạng hạt km101+778,79-km101+805,92 lớp 36</v>
      </c>
    </row>
    <row r="115" spans="1:20" ht="25.5" customHeight="1" outlineLevel="2">
      <c r="A115" s="81">
        <f>SUBTOTAL(103,$B$12:B115)</f>
        <v>104</v>
      </c>
      <c r="B115" s="78">
        <f t="shared" si="117"/>
        <v>43437</v>
      </c>
      <c r="C115" s="571" t="str">
        <f t="shared" si="118"/>
        <v>Đắp vật liệu dạng hạt km101+778,79-km101+805,92 lớp 37</v>
      </c>
      <c r="D115" s="572"/>
      <c r="E115" s="573"/>
      <c r="F115" s="2">
        <f t="shared" si="119"/>
        <v>28.521000000000001</v>
      </c>
      <c r="G115" s="1">
        <f t="shared" si="120"/>
        <v>28.521000000000001</v>
      </c>
      <c r="H115" s="295">
        <f t="shared" si="121"/>
        <v>28.521000000000001</v>
      </c>
      <c r="I115" s="107">
        <f t="shared" si="122"/>
        <v>28.521000000000001</v>
      </c>
      <c r="J115" s="107">
        <f t="shared" si="123"/>
        <v>28.521000000000001</v>
      </c>
      <c r="K115" s="604"/>
      <c r="N115" s="118"/>
      <c r="O115" s="266" t="s">
        <v>482</v>
      </c>
      <c r="P115" s="88">
        <v>28.521000000000001</v>
      </c>
      <c r="Q115" s="89">
        <f t="shared" si="116"/>
        <v>43437</v>
      </c>
      <c r="R115" s="88"/>
      <c r="S115" s="88" t="e">
        <f t="shared" si="124"/>
        <v>#VALUE!</v>
      </c>
      <c r="T115" s="3" t="str">
        <f t="shared" si="125"/>
        <v>Đắp vật liệu dạng hạt km101+778,79-km101+805,92 lớp 37</v>
      </c>
    </row>
    <row r="116" spans="1:20" ht="25.5" customHeight="1" outlineLevel="2">
      <c r="A116" s="81">
        <f>SUBTOTAL(103,$B$12:B116)</f>
        <v>105</v>
      </c>
      <c r="B116" s="78">
        <f t="shared" si="117"/>
        <v>43435</v>
      </c>
      <c r="C116" s="571" t="str">
        <f t="shared" si="118"/>
        <v>Đắp vật liệu dạng hạt km101+778,79-km101+805,92 lớp 38</v>
      </c>
      <c r="D116" s="572"/>
      <c r="E116" s="573"/>
      <c r="F116" s="2">
        <f t="shared" si="119"/>
        <v>28.472000000000001</v>
      </c>
      <c r="G116" s="1">
        <f t="shared" si="120"/>
        <v>28.472000000000001</v>
      </c>
      <c r="H116" s="295">
        <f t="shared" si="121"/>
        <v>28.472000000000001</v>
      </c>
      <c r="I116" s="107">
        <f t="shared" si="122"/>
        <v>28.472000000000001</v>
      </c>
      <c r="J116" s="107">
        <f t="shared" si="123"/>
        <v>28.472000000000001</v>
      </c>
      <c r="K116" s="604"/>
      <c r="N116" s="118"/>
      <c r="O116" s="266" t="s">
        <v>483</v>
      </c>
      <c r="P116" s="88">
        <v>28.472000000000001</v>
      </c>
      <c r="Q116" s="89">
        <f t="shared" si="116"/>
        <v>43435</v>
      </c>
      <c r="R116" s="88"/>
      <c r="S116" s="88" t="e">
        <f t="shared" si="124"/>
        <v>#VALUE!</v>
      </c>
      <c r="T116" s="3" t="str">
        <f t="shared" si="125"/>
        <v>Đắp vật liệu dạng hạt km101+778,79-km101+805,92 lớp 38</v>
      </c>
    </row>
    <row r="117" spans="1:20" ht="25.5" customHeight="1" outlineLevel="2">
      <c r="A117" s="81">
        <f>SUBTOTAL(103,$B$12:B117)</f>
        <v>106</v>
      </c>
      <c r="B117" s="78">
        <f t="shared" si="117"/>
        <v>43433</v>
      </c>
      <c r="C117" s="571" t="str">
        <f t="shared" si="118"/>
        <v>Đắp vật liệu dạng hạt km101+778,79-km101+805,92 lớp 39</v>
      </c>
      <c r="D117" s="572"/>
      <c r="E117" s="573"/>
      <c r="F117" s="2">
        <f t="shared" si="119"/>
        <v>28.521000000000001</v>
      </c>
      <c r="G117" s="1">
        <f t="shared" si="120"/>
        <v>28.521000000000001</v>
      </c>
      <c r="H117" s="295">
        <f t="shared" si="121"/>
        <v>28.521000000000001</v>
      </c>
      <c r="I117" s="107">
        <f t="shared" si="122"/>
        <v>28.521000000000001</v>
      </c>
      <c r="J117" s="107">
        <f t="shared" si="123"/>
        <v>28.521000000000001</v>
      </c>
      <c r="K117" s="604"/>
      <c r="N117" s="118"/>
      <c r="O117" s="266" t="s">
        <v>484</v>
      </c>
      <c r="P117" s="88">
        <v>28.521000000000001</v>
      </c>
      <c r="Q117" s="89">
        <f t="shared" si="116"/>
        <v>43433</v>
      </c>
      <c r="R117" s="88"/>
      <c r="S117" s="88" t="e">
        <f t="shared" si="124"/>
        <v>#VALUE!</v>
      </c>
      <c r="T117" s="3" t="str">
        <f t="shared" si="125"/>
        <v>Đắp vật liệu dạng hạt km101+778,79-km101+805,92 lớp 39</v>
      </c>
    </row>
    <row r="118" spans="1:20" ht="25.5" customHeight="1" outlineLevel="2">
      <c r="A118" s="81">
        <f>SUBTOTAL(103,$B$12:B118)</f>
        <v>107</v>
      </c>
      <c r="B118" s="78">
        <f t="shared" si="117"/>
        <v>43431</v>
      </c>
      <c r="C118" s="571" t="str">
        <f t="shared" si="118"/>
        <v>Đắp vật liệu dạng hạt km101+778,79-km101+805,92 lớp 40</v>
      </c>
      <c r="D118" s="572"/>
      <c r="E118" s="573"/>
      <c r="F118" s="2">
        <f t="shared" si="119"/>
        <v>28.521000000000001</v>
      </c>
      <c r="G118" s="1">
        <f t="shared" si="120"/>
        <v>28.521000000000001</v>
      </c>
      <c r="H118" s="295">
        <f t="shared" si="121"/>
        <v>28.521000000000001</v>
      </c>
      <c r="I118" s="107">
        <f t="shared" si="122"/>
        <v>28.521000000000001</v>
      </c>
      <c r="J118" s="107">
        <f t="shared" si="123"/>
        <v>28.521000000000001</v>
      </c>
      <c r="K118" s="604"/>
      <c r="N118" s="118"/>
      <c r="O118" s="266" t="s">
        <v>485</v>
      </c>
      <c r="P118" s="88">
        <v>28.521000000000001</v>
      </c>
      <c r="Q118" s="89">
        <f t="shared" si="116"/>
        <v>43431</v>
      </c>
      <c r="R118" s="88"/>
      <c r="S118" s="88" t="e">
        <f t="shared" si="124"/>
        <v>#VALUE!</v>
      </c>
      <c r="T118" s="3" t="str">
        <f t="shared" si="125"/>
        <v>Đắp vật liệu dạng hạt km101+778,79-km101+805,92 lớp 40</v>
      </c>
    </row>
    <row r="119" spans="1:20" ht="25.5" customHeight="1" outlineLevel="2">
      <c r="A119" s="81">
        <f>SUBTOTAL(103,$B$12:B119)</f>
        <v>108</v>
      </c>
      <c r="B119" s="78">
        <f t="shared" si="117"/>
        <v>43429</v>
      </c>
      <c r="C119" s="571" t="str">
        <f t="shared" si="118"/>
        <v>Đắp vật liệu dạng hạt km101+778,79-km101+805,92 lớp 41</v>
      </c>
      <c r="D119" s="572"/>
      <c r="E119" s="573"/>
      <c r="F119" s="2">
        <f t="shared" si="119"/>
        <v>28.521000000000001</v>
      </c>
      <c r="G119" s="1">
        <f t="shared" si="120"/>
        <v>28.521000000000001</v>
      </c>
      <c r="H119" s="295">
        <f t="shared" si="121"/>
        <v>28.521000000000001</v>
      </c>
      <c r="I119" s="107">
        <f t="shared" si="122"/>
        <v>28.521000000000001</v>
      </c>
      <c r="J119" s="107">
        <f t="shared" si="123"/>
        <v>28.521000000000001</v>
      </c>
      <c r="K119" s="604"/>
      <c r="N119" s="118"/>
      <c r="O119" s="266" t="s">
        <v>486</v>
      </c>
      <c r="P119" s="88">
        <v>28.521000000000001</v>
      </c>
      <c r="Q119" s="89">
        <f t="shared" si="116"/>
        <v>43429</v>
      </c>
      <c r="R119" s="88"/>
      <c r="S119" s="88" t="e">
        <f t="shared" si="124"/>
        <v>#VALUE!</v>
      </c>
      <c r="T119" s="3" t="str">
        <f t="shared" si="125"/>
        <v>Đắp vật liệu dạng hạt km101+778,79-km101+805,92 lớp 41</v>
      </c>
    </row>
    <row r="120" spans="1:20" ht="25.5" customHeight="1" outlineLevel="2">
      <c r="A120" s="81">
        <f>SUBTOTAL(103,$B$12:B120)</f>
        <v>109</v>
      </c>
      <c r="B120" s="78">
        <f t="shared" si="117"/>
        <v>43427</v>
      </c>
      <c r="C120" s="571" t="str">
        <f t="shared" si="118"/>
        <v>Đắp vật liệu dạng hạt km101+778,79-km101+805,92 lớp 42</v>
      </c>
      <c r="D120" s="572"/>
      <c r="E120" s="573"/>
      <c r="F120" s="2">
        <f t="shared" si="119"/>
        <v>28.521000000000001</v>
      </c>
      <c r="G120" s="1">
        <f t="shared" si="120"/>
        <v>28.521000000000001</v>
      </c>
      <c r="H120" s="295">
        <f t="shared" si="121"/>
        <v>28.521000000000001</v>
      </c>
      <c r="I120" s="107">
        <f t="shared" si="122"/>
        <v>28.521000000000001</v>
      </c>
      <c r="J120" s="107">
        <f t="shared" si="123"/>
        <v>28.521000000000001</v>
      </c>
      <c r="K120" s="604"/>
      <c r="N120" s="118"/>
      <c r="O120" s="266" t="s">
        <v>487</v>
      </c>
      <c r="P120" s="88">
        <v>28.521000000000001</v>
      </c>
      <c r="Q120" s="89">
        <f t="shared" si="116"/>
        <v>43427</v>
      </c>
      <c r="R120" s="88"/>
      <c r="S120" s="88" t="e">
        <f t="shared" si="124"/>
        <v>#VALUE!</v>
      </c>
      <c r="T120" s="3" t="str">
        <f t="shared" si="125"/>
        <v>Đắp vật liệu dạng hạt km101+778,79-km101+805,92 lớp 42</v>
      </c>
    </row>
    <row r="121" spans="1:20" ht="25.5" customHeight="1" outlineLevel="2">
      <c r="A121" s="81">
        <f>SUBTOTAL(103,$B$12:B121)</f>
        <v>110</v>
      </c>
      <c r="B121" s="78">
        <f t="shared" si="117"/>
        <v>43425</v>
      </c>
      <c r="C121" s="571" t="str">
        <f t="shared" si="118"/>
        <v>Đắp vật liệu dạng hạt km101+778,79-km101+805,92 lớp 43</v>
      </c>
      <c r="D121" s="572"/>
      <c r="E121" s="573"/>
      <c r="F121" s="2">
        <f t="shared" si="119"/>
        <v>28.521000000000001</v>
      </c>
      <c r="G121" s="1">
        <f t="shared" si="120"/>
        <v>28.521000000000001</v>
      </c>
      <c r="H121" s="295">
        <f t="shared" si="121"/>
        <v>28.521000000000001</v>
      </c>
      <c r="I121" s="107">
        <f t="shared" si="122"/>
        <v>28.521000000000001</v>
      </c>
      <c r="J121" s="107">
        <f t="shared" si="123"/>
        <v>28.521000000000001</v>
      </c>
      <c r="K121" s="604"/>
      <c r="N121" s="118"/>
      <c r="O121" s="266" t="s">
        <v>488</v>
      </c>
      <c r="P121" s="88">
        <v>28.521000000000001</v>
      </c>
      <c r="Q121" s="89">
        <f t="shared" si="116"/>
        <v>43425</v>
      </c>
      <c r="R121" s="88"/>
      <c r="S121" s="88" t="e">
        <f t="shared" si="124"/>
        <v>#VALUE!</v>
      </c>
      <c r="T121" s="3" t="str">
        <f t="shared" si="125"/>
        <v>Đắp vật liệu dạng hạt km101+778,79-km101+805,92 lớp 43</v>
      </c>
    </row>
    <row r="122" spans="1:20" ht="25.5" customHeight="1" outlineLevel="2">
      <c r="A122" s="81">
        <f>SUBTOTAL(103,$B$12:B122)</f>
        <v>111</v>
      </c>
      <c r="B122" s="78">
        <f t="shared" si="117"/>
        <v>43423</v>
      </c>
      <c r="C122" s="571" t="str">
        <f t="shared" si="118"/>
        <v>Đắp vật liệu dạng hạt km101+778,79-km101+805,92 lớp 44</v>
      </c>
      <c r="D122" s="572"/>
      <c r="E122" s="573"/>
      <c r="F122" s="2">
        <f t="shared" si="119"/>
        <v>28.521000000000001</v>
      </c>
      <c r="G122" s="1">
        <f t="shared" si="120"/>
        <v>28.521000000000001</v>
      </c>
      <c r="H122" s="295">
        <f t="shared" si="121"/>
        <v>28.521000000000001</v>
      </c>
      <c r="I122" s="107">
        <f t="shared" si="122"/>
        <v>28.521000000000001</v>
      </c>
      <c r="J122" s="107">
        <f t="shared" si="123"/>
        <v>28.521000000000001</v>
      </c>
      <c r="K122" s="604"/>
      <c r="N122" s="118"/>
      <c r="O122" s="266" t="s">
        <v>489</v>
      </c>
      <c r="P122" s="88">
        <v>28.521000000000001</v>
      </c>
      <c r="Q122" s="89">
        <f t="shared" si="116"/>
        <v>43423</v>
      </c>
      <c r="R122" s="88"/>
      <c r="S122" s="88" t="e">
        <f t="shared" si="124"/>
        <v>#VALUE!</v>
      </c>
      <c r="T122" s="3" t="str">
        <f t="shared" si="125"/>
        <v>Đắp vật liệu dạng hạt km101+778,79-km101+805,92 lớp 44</v>
      </c>
    </row>
    <row r="123" spans="1:20" ht="25.5" customHeight="1" outlineLevel="2">
      <c r="A123" s="81">
        <f>SUBTOTAL(103,$B$12:B123)</f>
        <v>112</v>
      </c>
      <c r="B123" s="78">
        <f t="shared" si="117"/>
        <v>43420</v>
      </c>
      <c r="C123" s="571" t="str">
        <f t="shared" si="118"/>
        <v>Đắp vật liệu dạng hạt km101+778,79-km101+805,92 lớp 45</v>
      </c>
      <c r="D123" s="572"/>
      <c r="E123" s="573"/>
      <c r="F123" s="2">
        <f t="shared" si="119"/>
        <v>28.521000000000001</v>
      </c>
      <c r="G123" s="1">
        <f t="shared" si="120"/>
        <v>28.521000000000001</v>
      </c>
      <c r="H123" s="295">
        <f t="shared" si="121"/>
        <v>28.521000000000001</v>
      </c>
      <c r="I123" s="107">
        <f t="shared" si="122"/>
        <v>28.521000000000001</v>
      </c>
      <c r="J123" s="107">
        <f t="shared" si="123"/>
        <v>28.521000000000001</v>
      </c>
      <c r="K123" s="604"/>
      <c r="N123" s="118"/>
      <c r="O123" s="266" t="s">
        <v>490</v>
      </c>
      <c r="P123" s="88">
        <v>28.521000000000001</v>
      </c>
      <c r="Q123" s="89">
        <f>+Q122-2-1</f>
        <v>43420</v>
      </c>
      <c r="R123" s="88"/>
      <c r="S123" s="88" t="e">
        <f t="shared" si="124"/>
        <v>#VALUE!</v>
      </c>
      <c r="T123" s="3" t="str">
        <f t="shared" si="125"/>
        <v>Đắp vật liệu dạng hạt km101+778,79-km101+805,92 lớp 45</v>
      </c>
    </row>
    <row r="124" spans="1:20" ht="25.5" customHeight="1" outlineLevel="2">
      <c r="A124" s="81">
        <f>SUBTOTAL(103,$B$12:B124)</f>
        <v>113</v>
      </c>
      <c r="B124" s="78">
        <f t="shared" si="117"/>
        <v>43418</v>
      </c>
      <c r="C124" s="571" t="str">
        <f t="shared" si="118"/>
        <v>Đắp vật liệu dạng hạt km101+778,79-km101+805,92 lớp 46</v>
      </c>
      <c r="D124" s="572"/>
      <c r="E124" s="573"/>
      <c r="F124" s="2">
        <f t="shared" si="119"/>
        <v>28.521000000000001</v>
      </c>
      <c r="G124" s="1">
        <f t="shared" si="120"/>
        <v>28.521000000000001</v>
      </c>
      <c r="H124" s="295">
        <f t="shared" si="121"/>
        <v>28.521000000000001</v>
      </c>
      <c r="I124" s="107">
        <f t="shared" si="122"/>
        <v>28.521000000000001</v>
      </c>
      <c r="J124" s="107">
        <f t="shared" si="123"/>
        <v>28.521000000000001</v>
      </c>
      <c r="K124" s="604"/>
      <c r="N124" s="118"/>
      <c r="O124" s="266" t="s">
        <v>491</v>
      </c>
      <c r="P124" s="88">
        <v>28.521000000000001</v>
      </c>
      <c r="Q124" s="89">
        <f t="shared" si="116"/>
        <v>43418</v>
      </c>
      <c r="R124" s="88"/>
      <c r="S124" s="88" t="e">
        <f t="shared" si="124"/>
        <v>#VALUE!</v>
      </c>
      <c r="T124" s="3" t="str">
        <f t="shared" si="125"/>
        <v>Đắp vật liệu dạng hạt km101+778,79-km101+805,92 lớp 46</v>
      </c>
    </row>
    <row r="125" spans="1:20" ht="25.5" customHeight="1" outlineLevel="2">
      <c r="A125" s="81">
        <f>SUBTOTAL(103,$B$12:B125)</f>
        <v>114</v>
      </c>
      <c r="B125" s="78">
        <f t="shared" si="117"/>
        <v>43414</v>
      </c>
      <c r="C125" s="571" t="str">
        <f t="shared" si="118"/>
        <v>Đắp vật liệu dạng hạt km101+778,79-km101+805,92 lớp 47</v>
      </c>
      <c r="D125" s="572"/>
      <c r="E125" s="573"/>
      <c r="F125" s="2">
        <f t="shared" si="119"/>
        <v>28.521000000000001</v>
      </c>
      <c r="G125" s="1">
        <f t="shared" si="120"/>
        <v>28.521000000000001</v>
      </c>
      <c r="H125" s="295">
        <f t="shared" si="121"/>
        <v>28.521000000000001</v>
      </c>
      <c r="I125" s="107">
        <f t="shared" si="122"/>
        <v>28.521000000000001</v>
      </c>
      <c r="J125" s="107">
        <f t="shared" si="123"/>
        <v>28.521000000000001</v>
      </c>
      <c r="K125" s="604"/>
      <c r="N125" s="118"/>
      <c r="O125" s="266" t="s">
        <v>492</v>
      </c>
      <c r="P125" s="88">
        <v>28.521000000000001</v>
      </c>
      <c r="Q125" s="89">
        <f>+Q124-2-2</f>
        <v>43414</v>
      </c>
      <c r="R125" s="88"/>
      <c r="S125" s="88" t="e">
        <f t="shared" si="124"/>
        <v>#VALUE!</v>
      </c>
      <c r="T125" s="3" t="str">
        <f t="shared" si="125"/>
        <v>Đắp vật liệu dạng hạt km101+778,79-km101+805,92 lớp 47</v>
      </c>
    </row>
    <row r="126" spans="1:20" ht="25.5" customHeight="1" outlineLevel="2">
      <c r="A126" s="81">
        <f>SUBTOTAL(103,$B$12:B126)</f>
        <v>115</v>
      </c>
      <c r="B126" s="78">
        <f t="shared" si="117"/>
        <v>43412</v>
      </c>
      <c r="C126" s="571" t="str">
        <f t="shared" si="118"/>
        <v>Đắp vật liệu dạng hạt km101+778,79-km101+805,92 lớp 48</v>
      </c>
      <c r="D126" s="572"/>
      <c r="E126" s="573"/>
      <c r="F126" s="2">
        <f t="shared" si="119"/>
        <v>27.815000000000001</v>
      </c>
      <c r="G126" s="1">
        <f t="shared" si="120"/>
        <v>27.815000000000001</v>
      </c>
      <c r="H126" s="295">
        <f t="shared" si="121"/>
        <v>27.815000000000001</v>
      </c>
      <c r="I126" s="107">
        <f t="shared" si="122"/>
        <v>27.815000000000001</v>
      </c>
      <c r="J126" s="107">
        <f t="shared" si="123"/>
        <v>27.815000000000001</v>
      </c>
      <c r="K126" s="604"/>
      <c r="N126" s="118"/>
      <c r="O126" s="266" t="s">
        <v>493</v>
      </c>
      <c r="P126" s="88">
        <v>27.815000000000001</v>
      </c>
      <c r="Q126" s="89">
        <f t="shared" si="116"/>
        <v>43412</v>
      </c>
      <c r="R126" s="88"/>
      <c r="S126" s="88" t="e">
        <f t="shared" si="124"/>
        <v>#VALUE!</v>
      </c>
      <c r="T126" s="3" t="str">
        <f t="shared" si="125"/>
        <v>Đắp vật liệu dạng hạt km101+778,79-km101+805,92 lớp 48</v>
      </c>
    </row>
    <row r="127" spans="1:20" ht="25.5" customHeight="1" outlineLevel="2">
      <c r="A127" s="81">
        <f>SUBTOTAL(103,$B$12:B127)</f>
        <v>116</v>
      </c>
      <c r="B127" s="78">
        <f t="shared" si="117"/>
        <v>43410</v>
      </c>
      <c r="C127" s="571" t="str">
        <f t="shared" si="118"/>
        <v>Đắp vật liệu dạng hạt km101+778,79-km101+805,92 lớp 49</v>
      </c>
      <c r="D127" s="572"/>
      <c r="E127" s="573"/>
      <c r="F127" s="2">
        <f t="shared" si="119"/>
        <v>20.584</v>
      </c>
      <c r="G127" s="1">
        <f t="shared" si="120"/>
        <v>20.584</v>
      </c>
      <c r="H127" s="295">
        <f t="shared" si="121"/>
        <v>20.584</v>
      </c>
      <c r="I127" s="107">
        <f t="shared" si="122"/>
        <v>20.584</v>
      </c>
      <c r="J127" s="107">
        <f t="shared" si="123"/>
        <v>20.584</v>
      </c>
      <c r="K127" s="604"/>
      <c r="N127" s="118"/>
      <c r="O127" s="266" t="s">
        <v>494</v>
      </c>
      <c r="P127" s="88">
        <v>20.584</v>
      </c>
      <c r="Q127" s="89">
        <f t="shared" si="116"/>
        <v>43410</v>
      </c>
      <c r="R127" s="88"/>
      <c r="S127" s="88" t="e">
        <f t="shared" si="124"/>
        <v>#VALUE!</v>
      </c>
      <c r="T127" s="3" t="str">
        <f t="shared" si="125"/>
        <v>Đắp vật liệu dạng hạt km101+778,79-km101+805,92 lớp 49</v>
      </c>
    </row>
    <row r="128" spans="1:20" ht="25.5" customHeight="1" outlineLevel="2">
      <c r="A128" s="81">
        <f>SUBTOTAL(103,$B$12:B128)</f>
        <v>117</v>
      </c>
      <c r="B128" s="78">
        <f t="shared" si="117"/>
        <v>43408</v>
      </c>
      <c r="C128" s="571" t="str">
        <f t="shared" si="118"/>
        <v>Đắp vật liệu dạng hạt km101+778,79-km101+805,92 lớp 50</v>
      </c>
      <c r="D128" s="572"/>
      <c r="E128" s="573"/>
      <c r="F128" s="2">
        <f t="shared" si="119"/>
        <v>11.561</v>
      </c>
      <c r="G128" s="1">
        <f t="shared" si="120"/>
        <v>11.561</v>
      </c>
      <c r="H128" s="295">
        <f t="shared" si="121"/>
        <v>11.561</v>
      </c>
      <c r="I128" s="107">
        <f t="shared" si="122"/>
        <v>11.561</v>
      </c>
      <c r="J128" s="107">
        <f t="shared" si="123"/>
        <v>11.561</v>
      </c>
      <c r="K128" s="604"/>
      <c r="N128" s="118"/>
      <c r="O128" s="266" t="s">
        <v>495</v>
      </c>
      <c r="P128" s="88">
        <v>11.561</v>
      </c>
      <c r="Q128" s="89">
        <f t="shared" si="116"/>
        <v>43408</v>
      </c>
      <c r="R128" s="88"/>
      <c r="S128" s="88" t="e">
        <f t="shared" si="124"/>
        <v>#VALUE!</v>
      </c>
      <c r="T128" s="3" t="str">
        <f t="shared" si="125"/>
        <v>Đắp vật liệu dạng hạt km101+778,79-km101+805,92 lớp 50</v>
      </c>
    </row>
    <row r="129" spans="1:20" ht="25.5" customHeight="1" outlineLevel="2">
      <c r="A129" s="81">
        <f>SUBTOTAL(103,$B$12:B129)</f>
        <v>118</v>
      </c>
      <c r="B129" s="78">
        <f t="shared" ref="B129" si="126">Q129</f>
        <v>43406</v>
      </c>
      <c r="C129" s="571" t="str">
        <f t="shared" ref="C129" si="127">T129</f>
        <v>Đắp vật liệu dạng hạt km101+778,79-km101+805,92 lớp 51</v>
      </c>
      <c r="D129" s="572"/>
      <c r="E129" s="573"/>
      <c r="F129" s="2">
        <f t="shared" ref="F129" si="128">P129</f>
        <v>6.2080000000000002</v>
      </c>
      <c r="G129" s="1">
        <f t="shared" ref="G129" si="129">P129</f>
        <v>6.2080000000000002</v>
      </c>
      <c r="H129" s="295">
        <f t="shared" ref="H129" si="130">P129</f>
        <v>6.2080000000000002</v>
      </c>
      <c r="I129" s="107">
        <f t="shared" ref="I129" si="131">P129</f>
        <v>6.2080000000000002</v>
      </c>
      <c r="J129" s="107">
        <f t="shared" ref="J129" si="132">P129</f>
        <v>6.2080000000000002</v>
      </c>
      <c r="K129" s="605"/>
      <c r="N129" s="118"/>
      <c r="O129" s="266" t="s">
        <v>496</v>
      </c>
      <c r="P129" s="88">
        <v>6.2080000000000002</v>
      </c>
      <c r="Q129" s="89">
        <f t="shared" si="116"/>
        <v>43406</v>
      </c>
      <c r="R129" s="88"/>
      <c r="S129" s="88" t="e">
        <f t="shared" ref="S129" si="133">VLOOKUP($S$11,hamchuigoi3,M129,0)</f>
        <v>#VALUE!</v>
      </c>
      <c r="T129" s="3" t="str">
        <f t="shared" ref="T129" si="134">$N$6&amp;" "&amp;O129</f>
        <v>Đắp vật liệu dạng hạt km101+778,79-km101+805,92 lớp 51</v>
      </c>
    </row>
    <row r="130" spans="1:20" ht="14.25" outlineLevel="2">
      <c r="A130" s="81"/>
      <c r="B130" s="78"/>
      <c r="C130" s="571"/>
      <c r="D130" s="572"/>
      <c r="E130" s="573"/>
      <c r="F130" s="27"/>
      <c r="G130" s="33"/>
      <c r="H130" s="31"/>
      <c r="I130" s="107"/>
      <c r="J130" s="107"/>
      <c r="K130" s="82"/>
      <c r="N130" s="118"/>
      <c r="O130" s="118"/>
      <c r="P130" s="88"/>
      <c r="Q130" s="89"/>
      <c r="R130" s="88"/>
      <c r="S130" s="88"/>
      <c r="T130" s="3"/>
    </row>
    <row r="131" spans="1:20" thickBot="1">
      <c r="A131" s="574" t="s">
        <v>4</v>
      </c>
      <c r="B131" s="575"/>
      <c r="C131" s="575"/>
      <c r="D131" s="575"/>
      <c r="E131" s="575"/>
      <c r="F131" s="79">
        <f>'[7]TONG KL '!$I$7</f>
        <v>5973.14</v>
      </c>
      <c r="G131" s="79">
        <f>F131</f>
        <v>5973.14</v>
      </c>
      <c r="H131" s="79">
        <f>MIN(F131:G131)</f>
        <v>5973.14</v>
      </c>
      <c r="I131" s="79">
        <f>H131</f>
        <v>5973.14</v>
      </c>
      <c r="J131" s="79">
        <f>'[5]PKTT ĐỢT 7'!$AA$386</f>
        <v>5975.28</v>
      </c>
      <c r="K131" s="80"/>
      <c r="N131" s="118"/>
      <c r="O131" s="118"/>
      <c r="P131" s="90">
        <f>SUM(P12:P12)</f>
        <v>100.886</v>
      </c>
    </row>
    <row r="132" spans="1:20" s="175" customFormat="1" ht="18" customHeight="1" thickTop="1" thickBot="1">
      <c r="A132" s="258"/>
      <c r="B132" s="258"/>
      <c r="C132" s="258"/>
      <c r="D132" s="258"/>
      <c r="E132" s="258"/>
      <c r="F132" s="116"/>
      <c r="G132" s="116"/>
      <c r="H132" s="116"/>
      <c r="I132" s="116"/>
      <c r="J132" s="116"/>
      <c r="K132" s="117"/>
      <c r="L132" s="4"/>
      <c r="M132" s="4"/>
      <c r="N132" s="118"/>
      <c r="O132" s="118"/>
      <c r="P132" s="119"/>
      <c r="Q132" s="120"/>
      <c r="R132" s="120"/>
      <c r="S132" s="120"/>
      <c r="T132" s="121"/>
    </row>
    <row r="133" spans="1:20" s="5" customFormat="1" ht="13.9" customHeight="1" thickTop="1">
      <c r="A133" s="578" t="s">
        <v>68</v>
      </c>
      <c r="B133" s="579"/>
      <c r="C133" s="579"/>
      <c r="D133" s="579"/>
      <c r="E133" s="579"/>
      <c r="F133" s="580" t="s">
        <v>69</v>
      </c>
      <c r="G133" s="580"/>
      <c r="H133" s="580"/>
      <c r="I133" s="581"/>
      <c r="J133" s="581"/>
      <c r="K133" s="582"/>
      <c r="L133" s="4"/>
      <c r="M133" s="4"/>
      <c r="N133" s="4"/>
      <c r="O133" s="4"/>
      <c r="P133" s="4"/>
    </row>
    <row r="134" spans="1:20" s="5" customFormat="1" ht="13.9" customHeight="1">
      <c r="A134" s="583" t="s">
        <v>5</v>
      </c>
      <c r="B134" s="584"/>
      <c r="C134" s="584"/>
      <c r="D134" s="584"/>
      <c r="E134" s="584"/>
      <c r="F134" s="585" t="s">
        <v>6</v>
      </c>
      <c r="G134" s="585"/>
      <c r="H134" s="585"/>
      <c r="I134" s="586"/>
      <c r="J134" s="586"/>
      <c r="K134" s="587"/>
      <c r="L134" s="4"/>
      <c r="M134" s="4"/>
      <c r="N134" s="4"/>
      <c r="O134" s="4"/>
      <c r="P134" s="4"/>
    </row>
    <row r="135" spans="1:20" s="5" customFormat="1" ht="13.9" customHeight="1">
      <c r="A135" s="583" t="s">
        <v>836</v>
      </c>
      <c r="B135" s="584"/>
      <c r="C135" s="584"/>
      <c r="D135" s="584"/>
      <c r="E135" s="584"/>
      <c r="F135" s="590" t="s">
        <v>837</v>
      </c>
      <c r="G135" s="590"/>
      <c r="H135" s="590"/>
      <c r="I135" s="591"/>
      <c r="J135" s="591"/>
      <c r="K135" s="592"/>
      <c r="L135" s="4"/>
      <c r="M135" s="4"/>
      <c r="N135" s="4"/>
      <c r="O135" s="4"/>
      <c r="P135" s="4"/>
    </row>
    <row r="136" spans="1:20" s="5" customFormat="1" ht="13.9" customHeight="1">
      <c r="A136" s="583"/>
      <c r="B136" s="584"/>
      <c r="C136" s="584"/>
      <c r="D136" s="584"/>
      <c r="E136" s="584"/>
      <c r="F136" s="590"/>
      <c r="G136" s="590"/>
      <c r="H136" s="590"/>
      <c r="I136" s="591"/>
      <c r="J136" s="591"/>
      <c r="K136" s="592"/>
      <c r="L136" s="4"/>
      <c r="M136" s="4"/>
      <c r="N136" s="4"/>
      <c r="O136" s="4"/>
      <c r="P136" s="4"/>
    </row>
    <row r="137" spans="1:20" s="5" customFormat="1" ht="13.9" customHeight="1">
      <c r="A137" s="583"/>
      <c r="B137" s="584"/>
      <c r="C137" s="584"/>
      <c r="D137" s="584"/>
      <c r="E137" s="584"/>
      <c r="F137" s="590"/>
      <c r="G137" s="590"/>
      <c r="H137" s="590"/>
      <c r="I137" s="591"/>
      <c r="J137" s="591"/>
      <c r="K137" s="592"/>
      <c r="L137" s="4"/>
      <c r="M137" s="4"/>
      <c r="N137" s="4"/>
      <c r="O137" s="4"/>
      <c r="P137" s="4"/>
    </row>
    <row r="138" spans="1:20" s="5" customFormat="1" ht="13.9" customHeight="1">
      <c r="A138" s="583"/>
      <c r="B138" s="584"/>
      <c r="C138" s="584"/>
      <c r="D138" s="584"/>
      <c r="E138" s="584"/>
      <c r="F138" s="590"/>
      <c r="G138" s="590"/>
      <c r="H138" s="590"/>
      <c r="I138" s="591"/>
      <c r="J138" s="591"/>
      <c r="K138" s="592"/>
      <c r="L138" s="4"/>
      <c r="M138" s="4"/>
      <c r="N138" s="4"/>
      <c r="O138" s="4"/>
      <c r="P138" s="4"/>
    </row>
    <row r="139" spans="1:20" s="5" customFormat="1" ht="13.9" hidden="1" customHeight="1">
      <c r="A139" s="583"/>
      <c r="B139" s="584"/>
      <c r="C139" s="584"/>
      <c r="D139" s="584"/>
      <c r="E139" s="584"/>
      <c r="F139" s="590"/>
      <c r="G139" s="590"/>
      <c r="H139" s="590"/>
      <c r="I139" s="591"/>
      <c r="J139" s="591"/>
      <c r="K139" s="592"/>
      <c r="L139" s="4"/>
      <c r="M139" s="4"/>
      <c r="N139" s="4"/>
      <c r="O139" s="4"/>
      <c r="P139" s="4"/>
    </row>
    <row r="140" spans="1:20" s="5" customFormat="1" ht="13.9" hidden="1" customHeight="1">
      <c r="A140" s="583"/>
      <c r="B140" s="584"/>
      <c r="C140" s="584"/>
      <c r="D140" s="584"/>
      <c r="E140" s="584"/>
      <c r="F140" s="590"/>
      <c r="G140" s="590"/>
      <c r="H140" s="590"/>
      <c r="I140" s="591"/>
      <c r="J140" s="591"/>
      <c r="K140" s="592"/>
      <c r="L140" s="4"/>
      <c r="M140" s="4"/>
      <c r="N140" s="4"/>
      <c r="O140" s="4"/>
      <c r="P140" s="4"/>
    </row>
    <row r="141" spans="1:20" s="5" customFormat="1" ht="13.9" customHeight="1" thickBot="1">
      <c r="A141" s="588"/>
      <c r="B141" s="589"/>
      <c r="C141" s="589"/>
      <c r="D141" s="589"/>
      <c r="E141" s="589"/>
      <c r="F141" s="593"/>
      <c r="G141" s="593"/>
      <c r="H141" s="593"/>
      <c r="I141" s="594"/>
      <c r="J141" s="594"/>
      <c r="K141" s="595"/>
      <c r="L141" s="4"/>
      <c r="M141" s="4"/>
      <c r="N141" s="4"/>
      <c r="O141" s="4"/>
      <c r="P141" s="4"/>
    </row>
    <row r="142" spans="1:20" s="175" customFormat="1" ht="18" customHeight="1" thickTop="1">
      <c r="A142" s="258"/>
      <c r="B142" s="258"/>
      <c r="C142" s="258"/>
      <c r="D142" s="258"/>
      <c r="E142" s="258"/>
      <c r="F142" s="116"/>
      <c r="G142" s="116"/>
      <c r="H142" s="116"/>
      <c r="I142" s="116"/>
      <c r="J142" s="116"/>
      <c r="K142" s="117"/>
      <c r="L142" s="118"/>
      <c r="M142" s="118"/>
      <c r="N142" s="118"/>
      <c r="O142" s="118"/>
      <c r="P142" s="119"/>
      <c r="Q142" s="120"/>
      <c r="R142" s="120"/>
      <c r="S142" s="120"/>
      <c r="T142" s="121"/>
    </row>
    <row r="143" spans="1:20" s="111" customFormat="1" ht="48" customHeight="1">
      <c r="A143" s="596" t="s">
        <v>87</v>
      </c>
      <c r="B143" s="596"/>
      <c r="C143" s="596"/>
      <c r="D143" s="596"/>
      <c r="E143" s="596"/>
      <c r="F143" s="596"/>
      <c r="G143" s="596"/>
      <c r="H143" s="596"/>
      <c r="I143" s="596"/>
      <c r="J143" s="596"/>
      <c r="K143" s="596"/>
      <c r="L143" s="108"/>
      <c r="M143" s="109"/>
      <c r="N143" s="110"/>
    </row>
    <row r="144" spans="1:20" s="112" customFormat="1" ht="18" customHeight="1">
      <c r="A144" s="597" t="s">
        <v>599</v>
      </c>
      <c r="B144" s="597"/>
      <c r="C144" s="597"/>
      <c r="D144" s="597"/>
      <c r="E144" s="597"/>
      <c r="F144" s="597"/>
      <c r="G144" s="597"/>
      <c r="H144" s="597"/>
      <c r="I144" s="597"/>
      <c r="J144" s="597"/>
      <c r="K144" s="597"/>
    </row>
    <row r="145" spans="1:20" s="175" customFormat="1" ht="20.100000000000001" customHeight="1">
      <c r="A145" s="598" t="s">
        <v>90</v>
      </c>
      <c r="B145" s="598"/>
      <c r="C145" s="598"/>
      <c r="D145" s="598"/>
      <c r="E145" s="598"/>
      <c r="F145" s="598"/>
      <c r="G145" s="598"/>
      <c r="H145" s="598"/>
      <c r="I145" s="598"/>
      <c r="J145" s="598"/>
      <c r="K145" s="598"/>
      <c r="L145" s="123"/>
      <c r="M145" s="124"/>
      <c r="N145" s="123"/>
      <c r="O145" s="123"/>
      <c r="P145" s="123"/>
      <c r="Q145" s="123"/>
      <c r="R145" s="123"/>
      <c r="S145" s="123"/>
      <c r="T145" s="123"/>
    </row>
    <row r="146" spans="1:20" s="175" customFormat="1" ht="15.95" customHeight="1">
      <c r="A146" s="599" t="s">
        <v>91</v>
      </c>
      <c r="B146" s="599"/>
      <c r="C146" s="599"/>
      <c r="D146" s="599"/>
      <c r="E146" s="599"/>
      <c r="F146" s="599"/>
      <c r="G146" s="599"/>
      <c r="H146" s="599"/>
      <c r="I146" s="599"/>
      <c r="J146" s="599"/>
      <c r="K146" s="599"/>
      <c r="L146" s="123"/>
      <c r="M146" s="124"/>
      <c r="N146" s="123"/>
      <c r="O146" s="123"/>
      <c r="P146" s="123"/>
      <c r="Q146" s="123"/>
      <c r="R146" s="123"/>
      <c r="S146" s="123"/>
      <c r="T146" s="123"/>
    </row>
    <row r="147" spans="1:20" s="175" customFormat="1" ht="15.95" customHeight="1">
      <c r="A147" s="600" t="str">
        <f>A4</f>
        <v>PHẦN C.: CẦU VƯỢT</v>
      </c>
      <c r="B147" s="601"/>
      <c r="C147" s="601"/>
      <c r="D147" s="601"/>
      <c r="E147" s="601"/>
      <c r="F147" s="601"/>
      <c r="G147" s="601"/>
      <c r="H147" s="601"/>
      <c r="I147" s="601"/>
      <c r="J147" s="601"/>
      <c r="K147" s="602"/>
      <c r="L147" s="123"/>
      <c r="M147" s="124"/>
      <c r="N147" s="123"/>
      <c r="O147" s="123"/>
      <c r="P147" s="123"/>
      <c r="Q147" s="123"/>
      <c r="R147" s="123"/>
      <c r="S147" s="123"/>
      <c r="T147" s="123"/>
    </row>
    <row r="148" spans="1:20" s="175" customFormat="1" ht="15.95" customHeight="1">
      <c r="A148" s="259" t="str">
        <f>A5</f>
        <v>Hạng mục C.II.1.7. Đường đầu cầu</v>
      </c>
      <c r="B148" s="260"/>
      <c r="C148" s="127"/>
      <c r="D148" s="127"/>
      <c r="E148" s="128"/>
      <c r="F148" s="129"/>
      <c r="G148" s="129"/>
      <c r="H148" s="129"/>
      <c r="I148" s="129"/>
      <c r="J148" s="129"/>
      <c r="K148" s="130"/>
      <c r="L148" s="123"/>
      <c r="M148" s="124"/>
      <c r="N148" s="123"/>
      <c r="O148" s="123"/>
      <c r="P148" s="123"/>
      <c r="Q148" s="123"/>
      <c r="R148" s="123"/>
      <c r="S148" s="123"/>
      <c r="T148" s="123"/>
    </row>
    <row r="149" spans="1:20" s="175" customFormat="1" ht="15.95" customHeight="1">
      <c r="A149" s="259" t="str">
        <f>A6</f>
        <v>Mục C.II.1.7.5. Đắp vật liệu dạng hạt</v>
      </c>
      <c r="B149" s="260"/>
      <c r="C149" s="127"/>
      <c r="D149" s="127"/>
      <c r="E149" s="128"/>
      <c r="F149" s="129"/>
      <c r="G149" s="129"/>
      <c r="H149" s="129"/>
      <c r="I149" s="129"/>
      <c r="J149" s="129"/>
      <c r="K149" s="130"/>
      <c r="L149" s="123"/>
      <c r="M149" s="124"/>
      <c r="N149" s="123"/>
      <c r="O149" s="123"/>
      <c r="P149" s="123"/>
      <c r="Q149" s="123"/>
      <c r="R149" s="123"/>
      <c r="S149" s="123"/>
      <c r="T149" s="123"/>
    </row>
    <row r="150" spans="1:20" s="175" customFormat="1" ht="15.95" customHeight="1">
      <c r="A150" s="639">
        <f>A7</f>
        <v>5973.14</v>
      </c>
      <c r="B150" s="640"/>
      <c r="C150" s="640"/>
      <c r="D150" s="640"/>
      <c r="E150" s="131" t="str">
        <f>E7</f>
        <v>(m3)</v>
      </c>
      <c r="F150" s="132"/>
      <c r="G150" s="132"/>
      <c r="H150" s="132"/>
      <c r="I150" s="132"/>
      <c r="J150" s="132"/>
      <c r="K150" s="133"/>
      <c r="L150" s="173"/>
      <c r="M150" s="135"/>
      <c r="N150" s="174"/>
      <c r="P150" s="174"/>
    </row>
    <row r="151" spans="1:20" s="5" customFormat="1" ht="13.5" customHeight="1" thickBot="1">
      <c r="A151" s="28"/>
      <c r="B151" s="28"/>
      <c r="C151" s="28"/>
      <c r="D151" s="28"/>
      <c r="E151" s="28"/>
      <c r="F151" s="30"/>
      <c r="G151" s="30"/>
      <c r="H151" s="30"/>
      <c r="I151" s="30"/>
      <c r="J151" s="30"/>
      <c r="K151" s="8"/>
      <c r="L151" s="23"/>
      <c r="M151" s="9"/>
      <c r="N151" s="4"/>
      <c r="O151" s="4"/>
      <c r="P151" s="4"/>
      <c r="R151" s="4"/>
      <c r="S151" s="4"/>
      <c r="T151" s="4"/>
    </row>
    <row r="152" spans="1:20" s="5" customFormat="1" ht="21.6" customHeight="1" thickTop="1">
      <c r="A152" s="576" t="s">
        <v>3</v>
      </c>
      <c r="B152" s="641" t="s">
        <v>84</v>
      </c>
      <c r="C152" s="641"/>
      <c r="D152" s="643" t="s">
        <v>96</v>
      </c>
      <c r="E152" s="643"/>
      <c r="F152" s="643"/>
      <c r="G152" s="643"/>
      <c r="H152" s="641" t="s">
        <v>89</v>
      </c>
      <c r="I152" s="641"/>
      <c r="J152" s="641" t="s">
        <v>85</v>
      </c>
      <c r="K152" s="645"/>
      <c r="L152"/>
      <c r="M152" s="94"/>
      <c r="N152" s="94"/>
      <c r="O152" s="95"/>
      <c r="P152" s="96"/>
    </row>
    <row r="153" spans="1:20" s="5" customFormat="1" ht="21.6" customHeight="1">
      <c r="A153" s="577"/>
      <c r="B153" s="642"/>
      <c r="C153" s="642"/>
      <c r="D153" s="644"/>
      <c r="E153" s="644"/>
      <c r="F153" s="644"/>
      <c r="G153" s="644"/>
      <c r="H153" s="642"/>
      <c r="I153" s="642"/>
      <c r="J153" s="642"/>
      <c r="K153" s="646"/>
      <c r="L153"/>
      <c r="M153" s="97"/>
      <c r="N153" s="97"/>
      <c r="O153" s="98"/>
      <c r="P153" s="99"/>
    </row>
    <row r="154" spans="1:20" s="5" customFormat="1" ht="17.100000000000001" customHeight="1">
      <c r="A154" s="100">
        <v>1</v>
      </c>
      <c r="B154" s="623" t="str">
        <f>"Tháng "&amp;IF(L154&lt;10,0&amp;L154&amp;"/"&amp;M154,L154&amp;"/"&amp;M154)</f>
        <v>Tháng 08/2017</v>
      </c>
      <c r="C154" s="623"/>
      <c r="D154" s="624" t="str">
        <f>N6</f>
        <v>Đắp vật liệu dạng hạt</v>
      </c>
      <c r="E154" s="624"/>
      <c r="F154" s="624"/>
      <c r="G154" s="624"/>
      <c r="H154" s="625">
        <f t="shared" ref="H154:H177" si="135">+SUMIFS($I$12:$I$130,$B$12:$B$130,"&gt;="&amp;$O154,$B$12:$B$130,"&lt;="&amp;$P154)</f>
        <v>0</v>
      </c>
      <c r="I154" s="625"/>
      <c r="J154" s="623"/>
      <c r="K154" s="626"/>
      <c r="L154">
        <v>8</v>
      </c>
      <c r="M154" s="101">
        <v>2017</v>
      </c>
      <c r="N154" s="97"/>
      <c r="O154" s="103">
        <f t="shared" ref="O154:O178" si="136">DATE(M154,L154,1)</f>
        <v>42948</v>
      </c>
      <c r="P154" s="103">
        <f t="shared" ref="P154:P178" si="137">DATE(M154,L154+1,0)</f>
        <v>42978</v>
      </c>
    </row>
    <row r="155" spans="1:20" s="5" customFormat="1" ht="17.100000000000001" customHeight="1">
      <c r="A155" s="104">
        <v>2</v>
      </c>
      <c r="B155" s="567" t="str">
        <f t="shared" ref="B155:B179" si="138">"Tháng "&amp;IF(L155&lt;10,0&amp;L155&amp;"/"&amp;M155,L155&amp;"/"&amp;M155)</f>
        <v>Tháng 09/2017</v>
      </c>
      <c r="C155" s="567"/>
      <c r="D155" s="568" t="str">
        <f>D154</f>
        <v>Đắp vật liệu dạng hạt</v>
      </c>
      <c r="E155" s="568"/>
      <c r="F155" s="568"/>
      <c r="G155" s="568"/>
      <c r="H155" s="569">
        <f t="shared" si="135"/>
        <v>0</v>
      </c>
      <c r="I155" s="569"/>
      <c r="J155" s="567"/>
      <c r="K155" s="570"/>
      <c r="L155">
        <v>9</v>
      </c>
      <c r="M155" s="101">
        <v>2017</v>
      </c>
      <c r="N155"/>
      <c r="O155" s="103">
        <f t="shared" si="136"/>
        <v>42979</v>
      </c>
      <c r="P155" s="103">
        <f t="shared" si="137"/>
        <v>43008</v>
      </c>
    </row>
    <row r="156" spans="1:20" s="5" customFormat="1" ht="17.100000000000001" customHeight="1">
      <c r="A156" s="104">
        <f>A155+1</f>
        <v>3</v>
      </c>
      <c r="B156" s="567" t="str">
        <f t="shared" si="138"/>
        <v>Tháng 10/2017</v>
      </c>
      <c r="C156" s="567"/>
      <c r="D156" s="568" t="str">
        <f t="shared" ref="D156:D178" si="139">D155</f>
        <v>Đắp vật liệu dạng hạt</v>
      </c>
      <c r="E156" s="568"/>
      <c r="F156" s="568"/>
      <c r="G156" s="568"/>
      <c r="H156" s="569">
        <f t="shared" si="135"/>
        <v>0</v>
      </c>
      <c r="I156" s="569"/>
      <c r="J156" s="567"/>
      <c r="K156" s="570"/>
      <c r="L156">
        <v>10</v>
      </c>
      <c r="M156" s="101">
        <v>2017</v>
      </c>
      <c r="N156"/>
      <c r="O156" s="103">
        <f t="shared" si="136"/>
        <v>43009</v>
      </c>
      <c r="P156" s="103">
        <f t="shared" si="137"/>
        <v>43039</v>
      </c>
    </row>
    <row r="157" spans="1:20" s="5" customFormat="1" ht="17.100000000000001" customHeight="1">
      <c r="A157" s="104">
        <f t="shared" ref="A157:A179" si="140">A156+1</f>
        <v>4</v>
      </c>
      <c r="B157" s="567" t="str">
        <f t="shared" si="138"/>
        <v>Tháng 11/2017</v>
      </c>
      <c r="C157" s="567"/>
      <c r="D157" s="568" t="str">
        <f t="shared" si="139"/>
        <v>Đắp vật liệu dạng hạt</v>
      </c>
      <c r="E157" s="568"/>
      <c r="F157" s="568"/>
      <c r="G157" s="568"/>
      <c r="H157" s="569">
        <f t="shared" si="135"/>
        <v>0</v>
      </c>
      <c r="I157" s="569"/>
      <c r="J157" s="567"/>
      <c r="K157" s="570"/>
      <c r="L157">
        <v>11</v>
      </c>
      <c r="M157" s="101">
        <v>2017</v>
      </c>
      <c r="N157"/>
      <c r="O157" s="103">
        <f t="shared" si="136"/>
        <v>43040</v>
      </c>
      <c r="P157" s="103">
        <f t="shared" si="137"/>
        <v>43069</v>
      </c>
    </row>
    <row r="158" spans="1:20" s="5" customFormat="1" ht="17.100000000000001" customHeight="1">
      <c r="A158" s="104">
        <f t="shared" si="140"/>
        <v>5</v>
      </c>
      <c r="B158" s="567" t="str">
        <f t="shared" si="138"/>
        <v>Tháng 12/2017</v>
      </c>
      <c r="C158" s="567"/>
      <c r="D158" s="568" t="str">
        <f t="shared" si="139"/>
        <v>Đắp vật liệu dạng hạt</v>
      </c>
      <c r="E158" s="568"/>
      <c r="F158" s="568"/>
      <c r="G158" s="568"/>
      <c r="H158" s="569">
        <f t="shared" si="135"/>
        <v>0</v>
      </c>
      <c r="I158" s="569"/>
      <c r="J158" s="567"/>
      <c r="K158" s="570"/>
      <c r="L158">
        <v>12</v>
      </c>
      <c r="M158" s="101">
        <v>2017</v>
      </c>
      <c r="N158"/>
      <c r="O158" s="103">
        <f t="shared" si="136"/>
        <v>43070</v>
      </c>
      <c r="P158" s="103">
        <f t="shared" si="137"/>
        <v>43100</v>
      </c>
    </row>
    <row r="159" spans="1:20" s="5" customFormat="1" ht="17.100000000000001" customHeight="1">
      <c r="A159" s="104">
        <f t="shared" si="140"/>
        <v>6</v>
      </c>
      <c r="B159" s="567" t="str">
        <f t="shared" si="138"/>
        <v>Tháng 01/2018</v>
      </c>
      <c r="C159" s="567"/>
      <c r="D159" s="568" t="str">
        <f t="shared" si="139"/>
        <v>Đắp vật liệu dạng hạt</v>
      </c>
      <c r="E159" s="568"/>
      <c r="F159" s="568"/>
      <c r="G159" s="568"/>
      <c r="H159" s="569">
        <f t="shared" si="135"/>
        <v>0</v>
      </c>
      <c r="I159" s="569"/>
      <c r="J159" s="567"/>
      <c r="K159" s="570"/>
      <c r="L159">
        <v>1</v>
      </c>
      <c r="M159" s="101">
        <v>2018</v>
      </c>
      <c r="N159"/>
      <c r="O159" s="103">
        <f t="shared" si="136"/>
        <v>43101</v>
      </c>
      <c r="P159" s="103">
        <f t="shared" si="137"/>
        <v>43131</v>
      </c>
    </row>
    <row r="160" spans="1:20" s="5" customFormat="1" ht="17.100000000000001" customHeight="1">
      <c r="A160" s="104">
        <f t="shared" si="140"/>
        <v>7</v>
      </c>
      <c r="B160" s="567" t="str">
        <f t="shared" si="138"/>
        <v>Tháng 02/2018</v>
      </c>
      <c r="C160" s="567"/>
      <c r="D160" s="568" t="str">
        <f t="shared" si="139"/>
        <v>Đắp vật liệu dạng hạt</v>
      </c>
      <c r="E160" s="568"/>
      <c r="F160" s="568"/>
      <c r="G160" s="568"/>
      <c r="H160" s="569">
        <f t="shared" si="135"/>
        <v>0</v>
      </c>
      <c r="I160" s="569"/>
      <c r="J160" s="567"/>
      <c r="K160" s="570"/>
      <c r="L160">
        <v>2</v>
      </c>
      <c r="M160" s="101">
        <v>2018</v>
      </c>
      <c r="N160"/>
      <c r="O160" s="103">
        <f t="shared" si="136"/>
        <v>43132</v>
      </c>
      <c r="P160" s="103">
        <f t="shared" si="137"/>
        <v>43159</v>
      </c>
    </row>
    <row r="161" spans="1:16" s="5" customFormat="1" ht="17.100000000000001" customHeight="1">
      <c r="A161" s="104">
        <f t="shared" si="140"/>
        <v>8</v>
      </c>
      <c r="B161" s="567" t="str">
        <f t="shared" si="138"/>
        <v>Tháng 03/2018</v>
      </c>
      <c r="C161" s="567"/>
      <c r="D161" s="568" t="str">
        <f t="shared" si="139"/>
        <v>Đắp vật liệu dạng hạt</v>
      </c>
      <c r="E161" s="568"/>
      <c r="F161" s="568"/>
      <c r="G161" s="568"/>
      <c r="H161" s="569">
        <f t="shared" si="135"/>
        <v>0</v>
      </c>
      <c r="I161" s="569"/>
      <c r="J161" s="567"/>
      <c r="K161" s="570"/>
      <c r="L161">
        <v>3</v>
      </c>
      <c r="M161" s="101">
        <v>2018</v>
      </c>
      <c r="N161"/>
      <c r="O161" s="103">
        <f t="shared" si="136"/>
        <v>43160</v>
      </c>
      <c r="P161" s="103">
        <f t="shared" si="137"/>
        <v>43190</v>
      </c>
    </row>
    <row r="162" spans="1:16" s="5" customFormat="1" ht="17.100000000000001" customHeight="1">
      <c r="A162" s="104">
        <f t="shared" si="140"/>
        <v>9</v>
      </c>
      <c r="B162" s="567" t="str">
        <f t="shared" si="138"/>
        <v>Tháng 04/2018</v>
      </c>
      <c r="C162" s="567"/>
      <c r="D162" s="568" t="str">
        <f t="shared" si="139"/>
        <v>Đắp vật liệu dạng hạt</v>
      </c>
      <c r="E162" s="568"/>
      <c r="F162" s="568"/>
      <c r="G162" s="568"/>
      <c r="H162" s="569">
        <f t="shared" si="135"/>
        <v>0</v>
      </c>
      <c r="I162" s="569"/>
      <c r="J162" s="567"/>
      <c r="K162" s="570"/>
      <c r="L162">
        <v>4</v>
      </c>
      <c r="M162" s="101">
        <v>2018</v>
      </c>
      <c r="N162"/>
      <c r="O162" s="103">
        <f t="shared" si="136"/>
        <v>43191</v>
      </c>
      <c r="P162" s="103">
        <f t="shared" si="137"/>
        <v>43220</v>
      </c>
    </row>
    <row r="163" spans="1:16" s="5" customFormat="1" ht="17.100000000000001" customHeight="1">
      <c r="A163" s="104">
        <f t="shared" si="140"/>
        <v>10</v>
      </c>
      <c r="B163" s="567" t="str">
        <f t="shared" si="138"/>
        <v>Tháng 05/2018</v>
      </c>
      <c r="C163" s="567"/>
      <c r="D163" s="568" t="str">
        <f t="shared" si="139"/>
        <v>Đắp vật liệu dạng hạt</v>
      </c>
      <c r="E163" s="568"/>
      <c r="F163" s="568"/>
      <c r="G163" s="568"/>
      <c r="H163" s="569">
        <f t="shared" si="135"/>
        <v>0</v>
      </c>
      <c r="I163" s="569"/>
      <c r="J163" s="567"/>
      <c r="K163" s="570"/>
      <c r="L163">
        <v>5</v>
      </c>
      <c r="M163" s="101">
        <v>2018</v>
      </c>
      <c r="N163"/>
      <c r="O163" s="103">
        <f t="shared" si="136"/>
        <v>43221</v>
      </c>
      <c r="P163" s="103">
        <f t="shared" si="137"/>
        <v>43251</v>
      </c>
    </row>
    <row r="164" spans="1:16" s="5" customFormat="1" ht="17.100000000000001" customHeight="1">
      <c r="A164" s="104">
        <f t="shared" si="140"/>
        <v>11</v>
      </c>
      <c r="B164" s="567" t="str">
        <f t="shared" si="138"/>
        <v>Tháng 06/2018</v>
      </c>
      <c r="C164" s="567"/>
      <c r="D164" s="568" t="str">
        <f t="shared" si="139"/>
        <v>Đắp vật liệu dạng hạt</v>
      </c>
      <c r="E164" s="568"/>
      <c r="F164" s="568"/>
      <c r="G164" s="568"/>
      <c r="H164" s="569">
        <f t="shared" si="135"/>
        <v>0</v>
      </c>
      <c r="I164" s="569"/>
      <c r="J164" s="567"/>
      <c r="K164" s="570"/>
      <c r="L164">
        <v>6</v>
      </c>
      <c r="M164" s="101">
        <v>2018</v>
      </c>
      <c r="N164"/>
      <c r="O164" s="103">
        <f t="shared" si="136"/>
        <v>43252</v>
      </c>
      <c r="P164" s="103">
        <f t="shared" si="137"/>
        <v>43281</v>
      </c>
    </row>
    <row r="165" spans="1:16" s="5" customFormat="1" ht="17.100000000000001" customHeight="1">
      <c r="A165" s="104">
        <f t="shared" si="140"/>
        <v>12</v>
      </c>
      <c r="B165" s="567" t="str">
        <f t="shared" si="138"/>
        <v>Tháng 07/2018</v>
      </c>
      <c r="C165" s="567"/>
      <c r="D165" s="568" t="str">
        <f t="shared" si="139"/>
        <v>Đắp vật liệu dạng hạt</v>
      </c>
      <c r="E165" s="568"/>
      <c r="F165" s="568"/>
      <c r="G165" s="568"/>
      <c r="H165" s="569">
        <f t="shared" si="135"/>
        <v>0</v>
      </c>
      <c r="I165" s="569"/>
      <c r="J165" s="567"/>
      <c r="K165" s="570"/>
      <c r="L165">
        <v>7</v>
      </c>
      <c r="M165" s="101">
        <v>2018</v>
      </c>
      <c r="N165"/>
      <c r="O165" s="103">
        <f t="shared" si="136"/>
        <v>43282</v>
      </c>
      <c r="P165" s="103">
        <f t="shared" si="137"/>
        <v>43312</v>
      </c>
    </row>
    <row r="166" spans="1:16" s="5" customFormat="1" ht="17.100000000000001" customHeight="1">
      <c r="A166" s="104">
        <f t="shared" si="140"/>
        <v>13</v>
      </c>
      <c r="B166" s="567" t="str">
        <f t="shared" si="138"/>
        <v>Tháng 08/2018</v>
      </c>
      <c r="C166" s="567"/>
      <c r="D166" s="568" t="str">
        <f t="shared" si="139"/>
        <v>Đắp vật liệu dạng hạt</v>
      </c>
      <c r="E166" s="568"/>
      <c r="F166" s="568"/>
      <c r="G166" s="568"/>
      <c r="H166" s="569">
        <f t="shared" si="135"/>
        <v>0</v>
      </c>
      <c r="I166" s="569"/>
      <c r="J166" s="567"/>
      <c r="K166" s="570"/>
      <c r="L166">
        <v>8</v>
      </c>
      <c r="M166" s="101">
        <v>2018</v>
      </c>
      <c r="N166"/>
      <c r="O166" s="103">
        <f t="shared" si="136"/>
        <v>43313</v>
      </c>
      <c r="P166" s="103">
        <f t="shared" si="137"/>
        <v>43343</v>
      </c>
    </row>
    <row r="167" spans="1:16" s="5" customFormat="1" ht="17.100000000000001" customHeight="1">
      <c r="A167" s="104">
        <f t="shared" si="140"/>
        <v>14</v>
      </c>
      <c r="B167" s="567" t="str">
        <f t="shared" si="138"/>
        <v>Tháng 09/2018</v>
      </c>
      <c r="C167" s="567"/>
      <c r="D167" s="568" t="str">
        <f t="shared" si="139"/>
        <v>Đắp vật liệu dạng hạt</v>
      </c>
      <c r="E167" s="568"/>
      <c r="F167" s="568"/>
      <c r="G167" s="568"/>
      <c r="H167" s="569">
        <f t="shared" si="135"/>
        <v>0</v>
      </c>
      <c r="I167" s="569"/>
      <c r="J167" s="567"/>
      <c r="K167" s="570"/>
      <c r="L167">
        <v>9</v>
      </c>
      <c r="M167" s="101">
        <v>2018</v>
      </c>
      <c r="N167"/>
      <c r="O167" s="103">
        <f t="shared" si="136"/>
        <v>43344</v>
      </c>
      <c r="P167" s="103">
        <f t="shared" si="137"/>
        <v>43373</v>
      </c>
    </row>
    <row r="168" spans="1:16" s="5" customFormat="1" ht="17.100000000000001" customHeight="1">
      <c r="A168" s="104">
        <f t="shared" si="140"/>
        <v>15</v>
      </c>
      <c r="B168" s="567" t="str">
        <f t="shared" si="138"/>
        <v>Tháng 10/2018</v>
      </c>
      <c r="C168" s="567"/>
      <c r="D168" s="568" t="str">
        <f t="shared" si="139"/>
        <v>Đắp vật liệu dạng hạt</v>
      </c>
      <c r="E168" s="568"/>
      <c r="F168" s="568"/>
      <c r="G168" s="568"/>
      <c r="H168" s="569">
        <f t="shared" si="135"/>
        <v>539.85799999999983</v>
      </c>
      <c r="I168" s="569"/>
      <c r="J168" s="567"/>
      <c r="K168" s="570"/>
      <c r="L168">
        <v>10</v>
      </c>
      <c r="M168" s="101">
        <v>2018</v>
      </c>
      <c r="N168"/>
      <c r="O168" s="103">
        <f t="shared" si="136"/>
        <v>43374</v>
      </c>
      <c r="P168" s="103">
        <f t="shared" si="137"/>
        <v>43404</v>
      </c>
    </row>
    <row r="169" spans="1:16" s="5" customFormat="1" ht="17.100000000000001" customHeight="1">
      <c r="A169" s="104">
        <f t="shared" si="140"/>
        <v>16</v>
      </c>
      <c r="B169" s="567" t="str">
        <f t="shared" si="138"/>
        <v>Tháng 11/2018</v>
      </c>
      <c r="C169" s="567"/>
      <c r="D169" s="568" t="str">
        <f t="shared" si="139"/>
        <v>Đắp vật liệu dạng hạt</v>
      </c>
      <c r="E169" s="568"/>
      <c r="F169" s="568"/>
      <c r="G169" s="568"/>
      <c r="H169" s="569">
        <f t="shared" si="135"/>
        <v>1220.4899999999998</v>
      </c>
      <c r="I169" s="569"/>
      <c r="J169" s="567"/>
      <c r="K169" s="570"/>
      <c r="L169">
        <v>11</v>
      </c>
      <c r="M169" s="101">
        <v>2018</v>
      </c>
      <c r="N169"/>
      <c r="O169" s="103">
        <f t="shared" si="136"/>
        <v>43405</v>
      </c>
      <c r="P169" s="103">
        <f t="shared" si="137"/>
        <v>43434</v>
      </c>
    </row>
    <row r="170" spans="1:16" s="5" customFormat="1" ht="17.100000000000001" customHeight="1">
      <c r="A170" s="104">
        <f t="shared" si="140"/>
        <v>17</v>
      </c>
      <c r="B170" s="567" t="str">
        <f t="shared" si="138"/>
        <v>Tháng 12/2018</v>
      </c>
      <c r="C170" s="567"/>
      <c r="D170" s="568" t="str">
        <f t="shared" si="139"/>
        <v>Đắp vật liệu dạng hạt</v>
      </c>
      <c r="E170" s="568"/>
      <c r="F170" s="568"/>
      <c r="G170" s="568"/>
      <c r="H170" s="569">
        <f t="shared" si="135"/>
        <v>1896.4499999999998</v>
      </c>
      <c r="I170" s="569"/>
      <c r="J170" s="567"/>
      <c r="K170" s="570"/>
      <c r="L170">
        <v>12</v>
      </c>
      <c r="M170" s="101">
        <v>2018</v>
      </c>
      <c r="N170"/>
      <c r="O170" s="103">
        <f t="shared" si="136"/>
        <v>43435</v>
      </c>
      <c r="P170" s="103">
        <f t="shared" si="137"/>
        <v>43465</v>
      </c>
    </row>
    <row r="171" spans="1:16" s="5" customFormat="1" ht="17.100000000000001" customHeight="1">
      <c r="A171" s="104">
        <f t="shared" si="140"/>
        <v>18</v>
      </c>
      <c r="B171" s="567" t="str">
        <f t="shared" si="138"/>
        <v>Tháng 01/2019</v>
      </c>
      <c r="C171" s="567"/>
      <c r="D171" s="568" t="str">
        <f t="shared" si="139"/>
        <v>Đắp vật liệu dạng hạt</v>
      </c>
      <c r="E171" s="568"/>
      <c r="F171" s="568"/>
      <c r="G171" s="568"/>
      <c r="H171" s="569">
        <f t="shared" si="135"/>
        <v>2066.6419999999998</v>
      </c>
      <c r="I171" s="569"/>
      <c r="J171" s="567"/>
      <c r="K171" s="570"/>
      <c r="L171">
        <v>1</v>
      </c>
      <c r="M171" s="101">
        <v>2019</v>
      </c>
      <c r="N171"/>
      <c r="O171" s="103">
        <f t="shared" si="136"/>
        <v>43466</v>
      </c>
      <c r="P171" s="103">
        <f t="shared" si="137"/>
        <v>43496</v>
      </c>
    </row>
    <row r="172" spans="1:16" s="5" customFormat="1" ht="17.100000000000001" customHeight="1">
      <c r="A172" s="104">
        <f t="shared" si="140"/>
        <v>19</v>
      </c>
      <c r="B172" s="567" t="str">
        <f t="shared" si="138"/>
        <v>Tháng 02/2019</v>
      </c>
      <c r="C172" s="567"/>
      <c r="D172" s="568" t="str">
        <f t="shared" si="139"/>
        <v>Đắp vật liệu dạng hạt</v>
      </c>
      <c r="E172" s="568"/>
      <c r="F172" s="568"/>
      <c r="G172" s="568"/>
      <c r="H172" s="569">
        <f>H131-SUM(H168:I171)</f>
        <v>249.70000000000164</v>
      </c>
      <c r="I172" s="569"/>
      <c r="J172" s="567"/>
      <c r="K172" s="570"/>
      <c r="L172">
        <v>2</v>
      </c>
      <c r="M172" s="101">
        <v>2019</v>
      </c>
      <c r="N172"/>
      <c r="O172" s="103">
        <f t="shared" si="136"/>
        <v>43497</v>
      </c>
      <c r="P172" s="103">
        <f t="shared" si="137"/>
        <v>43524</v>
      </c>
    </row>
    <row r="173" spans="1:16" s="5" customFormat="1" ht="17.100000000000001" customHeight="1">
      <c r="A173" s="104">
        <f t="shared" si="140"/>
        <v>20</v>
      </c>
      <c r="B173" s="567" t="str">
        <f t="shared" si="138"/>
        <v>Tháng 03/2019</v>
      </c>
      <c r="C173" s="567"/>
      <c r="D173" s="568" t="str">
        <f t="shared" si="139"/>
        <v>Đắp vật liệu dạng hạt</v>
      </c>
      <c r="E173" s="568"/>
      <c r="F173" s="568"/>
      <c r="G173" s="568"/>
      <c r="H173" s="569">
        <f t="shared" si="135"/>
        <v>0</v>
      </c>
      <c r="I173" s="569"/>
      <c r="J173" s="567"/>
      <c r="K173" s="570"/>
      <c r="L173">
        <v>3</v>
      </c>
      <c r="M173" s="101">
        <v>2019</v>
      </c>
      <c r="N173"/>
      <c r="O173" s="103">
        <f t="shared" si="136"/>
        <v>43525</v>
      </c>
      <c r="P173" s="103">
        <f t="shared" si="137"/>
        <v>43555</v>
      </c>
    </row>
    <row r="174" spans="1:16" s="5" customFormat="1" ht="17.100000000000001" customHeight="1">
      <c r="A174" s="104">
        <f t="shared" si="140"/>
        <v>21</v>
      </c>
      <c r="B174" s="567" t="str">
        <f t="shared" si="138"/>
        <v>Tháng 04/2019</v>
      </c>
      <c r="C174" s="567"/>
      <c r="D174" s="568" t="str">
        <f t="shared" si="139"/>
        <v>Đắp vật liệu dạng hạt</v>
      </c>
      <c r="E174" s="568"/>
      <c r="F174" s="568"/>
      <c r="G174" s="568"/>
      <c r="H174" s="569">
        <f t="shared" si="135"/>
        <v>0</v>
      </c>
      <c r="I174" s="569"/>
      <c r="J174" s="567"/>
      <c r="K174" s="570"/>
      <c r="L174">
        <v>4</v>
      </c>
      <c r="M174" s="101">
        <v>2019</v>
      </c>
      <c r="N174"/>
      <c r="O174" s="103">
        <f t="shared" si="136"/>
        <v>43556</v>
      </c>
      <c r="P174" s="103">
        <f t="shared" si="137"/>
        <v>43585</v>
      </c>
    </row>
    <row r="175" spans="1:16" s="5" customFormat="1" ht="17.100000000000001" customHeight="1">
      <c r="A175" s="104">
        <f t="shared" si="140"/>
        <v>22</v>
      </c>
      <c r="B175" s="567" t="str">
        <f t="shared" si="138"/>
        <v>Tháng 05/2019</v>
      </c>
      <c r="C175" s="567"/>
      <c r="D175" s="568" t="str">
        <f t="shared" si="139"/>
        <v>Đắp vật liệu dạng hạt</v>
      </c>
      <c r="E175" s="568"/>
      <c r="F175" s="568"/>
      <c r="G175" s="568"/>
      <c r="H175" s="569">
        <f t="shared" si="135"/>
        <v>0</v>
      </c>
      <c r="I175" s="569"/>
      <c r="J175" s="567"/>
      <c r="K175" s="570"/>
      <c r="L175">
        <v>5</v>
      </c>
      <c r="M175" s="101">
        <v>2019</v>
      </c>
      <c r="N175"/>
      <c r="O175" s="103">
        <f t="shared" si="136"/>
        <v>43586</v>
      </c>
      <c r="P175" s="103">
        <f t="shared" si="137"/>
        <v>43616</v>
      </c>
    </row>
    <row r="176" spans="1:16" s="5" customFormat="1" ht="17.100000000000001" customHeight="1">
      <c r="A176" s="104">
        <f t="shared" si="140"/>
        <v>23</v>
      </c>
      <c r="B176" s="567" t="str">
        <f t="shared" si="138"/>
        <v>Tháng 06/2019</v>
      </c>
      <c r="C176" s="567"/>
      <c r="D176" s="568" t="str">
        <f t="shared" si="139"/>
        <v>Đắp vật liệu dạng hạt</v>
      </c>
      <c r="E176" s="568"/>
      <c r="F176" s="568"/>
      <c r="G176" s="568"/>
      <c r="H176" s="569">
        <f t="shared" si="135"/>
        <v>0</v>
      </c>
      <c r="I176" s="569"/>
      <c r="J176" s="567"/>
      <c r="K176" s="570"/>
      <c r="L176">
        <v>6</v>
      </c>
      <c r="M176" s="101">
        <v>2019</v>
      </c>
      <c r="N176"/>
      <c r="O176" s="103">
        <f t="shared" si="136"/>
        <v>43617</v>
      </c>
      <c r="P176" s="103">
        <f t="shared" si="137"/>
        <v>43646</v>
      </c>
    </row>
    <row r="177" spans="1:20" s="5" customFormat="1" ht="17.100000000000001" customHeight="1">
      <c r="A177" s="104">
        <f t="shared" si="140"/>
        <v>24</v>
      </c>
      <c r="B177" s="567" t="str">
        <f t="shared" si="138"/>
        <v>Tháng 07/2019</v>
      </c>
      <c r="C177" s="567"/>
      <c r="D177" s="568" t="str">
        <f t="shared" si="139"/>
        <v>Đắp vật liệu dạng hạt</v>
      </c>
      <c r="E177" s="568"/>
      <c r="F177" s="568"/>
      <c r="G177" s="568"/>
      <c r="H177" s="569">
        <f t="shared" si="135"/>
        <v>0</v>
      </c>
      <c r="I177" s="569"/>
      <c r="J177" s="567"/>
      <c r="K177" s="570"/>
      <c r="L177">
        <v>7</v>
      </c>
      <c r="M177" s="101">
        <v>2019</v>
      </c>
      <c r="N177"/>
      <c r="O177" s="103">
        <f t="shared" si="136"/>
        <v>43647</v>
      </c>
      <c r="P177" s="103">
        <f t="shared" si="137"/>
        <v>43677</v>
      </c>
    </row>
    <row r="178" spans="1:20" s="5" customFormat="1" ht="17.100000000000001" customHeight="1">
      <c r="A178" s="104">
        <f t="shared" si="140"/>
        <v>25</v>
      </c>
      <c r="B178" s="567" t="str">
        <f t="shared" si="138"/>
        <v>Tháng 08/2019</v>
      </c>
      <c r="C178" s="567"/>
      <c r="D178" s="568" t="str">
        <f t="shared" si="139"/>
        <v>Đắp vật liệu dạng hạt</v>
      </c>
      <c r="E178" s="568"/>
      <c r="F178" s="568"/>
      <c r="G178" s="568"/>
      <c r="H178" s="569">
        <f t="shared" ref="H178:H179" si="141">+SUMIFS($I$12:$I$35,$B$12:$B$35,"&gt;="&amp;$O178,$B$12:$B$35,"&lt;="&amp;$P178)</f>
        <v>0</v>
      </c>
      <c r="I178" s="569"/>
      <c r="J178" s="567"/>
      <c r="K178" s="570"/>
      <c r="L178">
        <v>8</v>
      </c>
      <c r="M178" s="101">
        <v>2019</v>
      </c>
      <c r="N178"/>
      <c r="O178" s="103">
        <f t="shared" si="136"/>
        <v>43678</v>
      </c>
      <c r="P178" s="103">
        <f t="shared" si="137"/>
        <v>43708</v>
      </c>
    </row>
    <row r="179" spans="1:20" s="5" customFormat="1" ht="17.100000000000001" customHeight="1">
      <c r="A179" s="104">
        <f t="shared" si="140"/>
        <v>26</v>
      </c>
      <c r="B179" s="616" t="str">
        <f t="shared" si="138"/>
        <v>Tháng 09/2019</v>
      </c>
      <c r="C179" s="616"/>
      <c r="D179" s="652" t="str">
        <f>D177</f>
        <v>Đắp vật liệu dạng hạt</v>
      </c>
      <c r="E179" s="652"/>
      <c r="F179" s="652"/>
      <c r="G179" s="652"/>
      <c r="H179" s="615">
        <f t="shared" si="141"/>
        <v>0</v>
      </c>
      <c r="I179" s="615"/>
      <c r="J179" s="616"/>
      <c r="K179" s="617"/>
      <c r="L179">
        <v>9</v>
      </c>
      <c r="M179" s="101">
        <v>2019</v>
      </c>
      <c r="N179"/>
      <c r="O179" s="103">
        <f>DATE(M179,L179,1)</f>
        <v>43709</v>
      </c>
      <c r="P179" s="103">
        <f>DATE(M179,L179+1,0)</f>
        <v>43738</v>
      </c>
    </row>
    <row r="180" spans="1:20" s="5" customFormat="1" ht="21.6" customHeight="1" thickBot="1">
      <c r="A180" s="618" t="s">
        <v>86</v>
      </c>
      <c r="B180" s="619"/>
      <c r="C180" s="619"/>
      <c r="D180" s="619"/>
      <c r="E180" s="619"/>
      <c r="F180" s="619"/>
      <c r="G180" s="620"/>
      <c r="H180" s="621">
        <f t="shared" ref="H180" si="142">SUM(H154:I179)</f>
        <v>5973.14</v>
      </c>
      <c r="I180" s="622"/>
      <c r="J180" s="621"/>
      <c r="K180" s="622"/>
      <c r="L180"/>
      <c r="M180"/>
      <c r="N180"/>
      <c r="O180"/>
      <c r="P180"/>
    </row>
    <row r="181" spans="1:20" s="5" customFormat="1" ht="18" customHeight="1" thickTop="1" thickBot="1">
      <c r="A181" s="105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L181" s="4"/>
      <c r="M181" s="4"/>
      <c r="N181" s="4"/>
      <c r="O181" s="4"/>
      <c r="P181" s="20"/>
    </row>
    <row r="182" spans="1:20" s="5" customFormat="1" ht="13.9" customHeight="1" thickTop="1">
      <c r="A182" s="647" t="s">
        <v>68</v>
      </c>
      <c r="B182" s="648"/>
      <c r="C182" s="648"/>
      <c r="D182" s="648"/>
      <c r="E182" s="648"/>
      <c r="F182" s="649" t="s">
        <v>69</v>
      </c>
      <c r="G182" s="649"/>
      <c r="H182" s="649"/>
      <c r="I182" s="650"/>
      <c r="J182" s="650"/>
      <c r="K182" s="651"/>
      <c r="L182" s="4"/>
      <c r="M182" s="4"/>
      <c r="N182" s="4"/>
      <c r="O182" s="4"/>
      <c r="P182" s="4"/>
    </row>
    <row r="183" spans="1:20" s="5" customFormat="1" ht="13.9" customHeight="1">
      <c r="A183" s="583" t="s">
        <v>5</v>
      </c>
      <c r="B183" s="584"/>
      <c r="C183" s="584"/>
      <c r="D183" s="584"/>
      <c r="E183" s="584"/>
      <c r="F183" s="585" t="s">
        <v>6</v>
      </c>
      <c r="G183" s="585"/>
      <c r="H183" s="585"/>
      <c r="I183" s="586"/>
      <c r="J183" s="586"/>
      <c r="K183" s="587"/>
      <c r="L183" s="4"/>
      <c r="M183" s="4"/>
      <c r="N183" s="4"/>
      <c r="O183" s="4"/>
      <c r="P183" s="4"/>
    </row>
    <row r="184" spans="1:20" s="5" customFormat="1" ht="13.9" customHeight="1">
      <c r="A184" s="583" t="s">
        <v>836</v>
      </c>
      <c r="B184" s="584"/>
      <c r="C184" s="584"/>
      <c r="D184" s="584"/>
      <c r="E184" s="584"/>
      <c r="F184" s="590" t="s">
        <v>837</v>
      </c>
      <c r="G184" s="590"/>
      <c r="H184" s="590"/>
      <c r="I184" s="591"/>
      <c r="J184" s="591"/>
      <c r="K184" s="592"/>
      <c r="L184" s="4"/>
      <c r="M184" s="4"/>
      <c r="N184" s="4"/>
      <c r="O184" s="4"/>
      <c r="P184" s="4"/>
    </row>
    <row r="185" spans="1:20" s="5" customFormat="1" ht="13.9" customHeight="1">
      <c r="A185" s="583"/>
      <c r="B185" s="584"/>
      <c r="C185" s="584"/>
      <c r="D185" s="584"/>
      <c r="E185" s="584"/>
      <c r="F185" s="590"/>
      <c r="G185" s="590"/>
      <c r="H185" s="590"/>
      <c r="I185" s="591"/>
      <c r="J185" s="591"/>
      <c r="K185" s="592"/>
      <c r="L185" s="4"/>
      <c r="M185" s="4"/>
      <c r="N185" s="4"/>
      <c r="O185" s="4"/>
      <c r="P185" s="4"/>
    </row>
    <row r="186" spans="1:20" s="5" customFormat="1" ht="13.9" customHeight="1">
      <c r="A186" s="583"/>
      <c r="B186" s="584"/>
      <c r="C186" s="584"/>
      <c r="D186" s="584"/>
      <c r="E186" s="584"/>
      <c r="F186" s="590"/>
      <c r="G186" s="590"/>
      <c r="H186" s="590"/>
      <c r="I186" s="591"/>
      <c r="J186" s="591"/>
      <c r="K186" s="592"/>
      <c r="L186" s="4"/>
      <c r="M186" s="4"/>
      <c r="N186" s="4"/>
      <c r="O186" s="4"/>
      <c r="P186" s="4"/>
    </row>
    <row r="187" spans="1:20" s="5" customFormat="1" ht="13.9" customHeight="1">
      <c r="A187" s="583"/>
      <c r="B187" s="584"/>
      <c r="C187" s="584"/>
      <c r="D187" s="584"/>
      <c r="E187" s="584"/>
      <c r="F187" s="590"/>
      <c r="G187" s="590"/>
      <c r="H187" s="590"/>
      <c r="I187" s="591"/>
      <c r="J187" s="591"/>
      <c r="K187" s="592"/>
      <c r="L187" s="4"/>
      <c r="M187" s="4"/>
      <c r="N187" s="4"/>
      <c r="O187" s="4"/>
      <c r="P187" s="4"/>
    </row>
    <row r="188" spans="1:20" s="5" customFormat="1" ht="13.9" customHeight="1">
      <c r="A188" s="583"/>
      <c r="B188" s="584"/>
      <c r="C188" s="584"/>
      <c r="D188" s="584"/>
      <c r="E188" s="584"/>
      <c r="F188" s="590"/>
      <c r="G188" s="590"/>
      <c r="H188" s="590"/>
      <c r="I188" s="591"/>
      <c r="J188" s="591"/>
      <c r="K188" s="592"/>
      <c r="L188" s="4"/>
      <c r="M188" s="4"/>
      <c r="N188" s="4"/>
      <c r="O188" s="4"/>
      <c r="P188" s="4"/>
    </row>
    <row r="189" spans="1:20" s="5" customFormat="1" ht="13.9" customHeight="1">
      <c r="A189" s="583"/>
      <c r="B189" s="584"/>
      <c r="C189" s="584"/>
      <c r="D189" s="584"/>
      <c r="E189" s="584"/>
      <c r="F189" s="590"/>
      <c r="G189" s="590"/>
      <c r="H189" s="590"/>
      <c r="I189" s="591"/>
      <c r="J189" s="591"/>
      <c r="K189" s="592"/>
      <c r="L189" s="4"/>
      <c r="M189" s="4"/>
      <c r="N189" s="4"/>
      <c r="O189" s="4"/>
      <c r="P189" s="4"/>
    </row>
    <row r="190" spans="1:20" s="5" customFormat="1" ht="13.9" customHeight="1" thickBot="1">
      <c r="A190" s="588"/>
      <c r="B190" s="589"/>
      <c r="C190" s="589"/>
      <c r="D190" s="589"/>
      <c r="E190" s="589"/>
      <c r="F190" s="593"/>
      <c r="G190" s="593"/>
      <c r="H190" s="593"/>
      <c r="I190" s="594"/>
      <c r="J190" s="594"/>
      <c r="K190" s="595"/>
      <c r="L190" s="4"/>
      <c r="M190" s="4"/>
      <c r="N190" s="4"/>
      <c r="O190" s="4"/>
      <c r="P190" s="4"/>
    </row>
    <row r="191" spans="1:20" s="5" customFormat="1" ht="15.75" thickTop="1">
      <c r="A191" s="4"/>
      <c r="B191" s="12"/>
      <c r="C191" s="10"/>
      <c r="D191" s="10"/>
      <c r="E191" s="10"/>
      <c r="F191" s="13"/>
      <c r="G191" s="13"/>
      <c r="H191" s="13"/>
      <c r="I191" s="13"/>
      <c r="J191" s="13"/>
      <c r="K191" s="4"/>
      <c r="L191" s="4"/>
      <c r="M191" s="4"/>
      <c r="N191" s="4"/>
      <c r="O191" s="4"/>
      <c r="P191" s="4"/>
      <c r="R191" s="4"/>
      <c r="S191" s="4"/>
      <c r="T191" s="4"/>
    </row>
  </sheetData>
  <mergeCells count="264"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B176:C176"/>
    <mergeCell ref="D176:G176"/>
    <mergeCell ref="H176:I176"/>
    <mergeCell ref="J176:K176"/>
    <mergeCell ref="B177:C177"/>
    <mergeCell ref="D177:G177"/>
    <mergeCell ref="H177:I177"/>
    <mergeCell ref="J177:K177"/>
    <mergeCell ref="B174:C174"/>
    <mergeCell ref="D174:G174"/>
    <mergeCell ref="H174:I174"/>
    <mergeCell ref="J174:K174"/>
    <mergeCell ref="B175:C175"/>
    <mergeCell ref="D175:G175"/>
    <mergeCell ref="H175:I175"/>
    <mergeCell ref="J175:K175"/>
    <mergeCell ref="A184:E190"/>
    <mergeCell ref="F184:K190"/>
    <mergeCell ref="B178:C178"/>
    <mergeCell ref="D178:G178"/>
    <mergeCell ref="H178:I178"/>
    <mergeCell ref="J178:K178"/>
    <mergeCell ref="A180:G180"/>
    <mergeCell ref="H180:I180"/>
    <mergeCell ref="J180:K180"/>
    <mergeCell ref="H179:I179"/>
    <mergeCell ref="J179:K179"/>
    <mergeCell ref="B179:C179"/>
    <mergeCell ref="D179:G179"/>
    <mergeCell ref="A182:E182"/>
    <mergeCell ref="F182:K182"/>
    <mergeCell ref="A183:E183"/>
    <mergeCell ref="F183:K183"/>
    <mergeCell ref="B172:C172"/>
    <mergeCell ref="D172:G172"/>
    <mergeCell ref="H172:I172"/>
    <mergeCell ref="J172:K172"/>
    <mergeCell ref="B173:C173"/>
    <mergeCell ref="D173:G173"/>
    <mergeCell ref="H173:I173"/>
    <mergeCell ref="J173:K173"/>
    <mergeCell ref="B170:C170"/>
    <mergeCell ref="D170:G170"/>
    <mergeCell ref="H170:I170"/>
    <mergeCell ref="J170:K170"/>
    <mergeCell ref="B171:C171"/>
    <mergeCell ref="D171:G171"/>
    <mergeCell ref="H171:I171"/>
    <mergeCell ref="J171:K171"/>
    <mergeCell ref="B168:C168"/>
    <mergeCell ref="D168:G168"/>
    <mergeCell ref="H168:I168"/>
    <mergeCell ref="J168:K168"/>
    <mergeCell ref="B169:C169"/>
    <mergeCell ref="D169:G169"/>
    <mergeCell ref="H169:I169"/>
    <mergeCell ref="J169:K169"/>
    <mergeCell ref="B166:C166"/>
    <mergeCell ref="D166:G166"/>
    <mergeCell ref="H166:I166"/>
    <mergeCell ref="J166:K166"/>
    <mergeCell ref="B167:C167"/>
    <mergeCell ref="D167:G167"/>
    <mergeCell ref="H167:I167"/>
    <mergeCell ref="J167:K167"/>
    <mergeCell ref="B164:C164"/>
    <mergeCell ref="D164:G164"/>
    <mergeCell ref="H164:I164"/>
    <mergeCell ref="J164:K164"/>
    <mergeCell ref="B165:C165"/>
    <mergeCell ref="D165:G165"/>
    <mergeCell ref="H165:I165"/>
    <mergeCell ref="J165:K165"/>
    <mergeCell ref="B162:C162"/>
    <mergeCell ref="D162:G162"/>
    <mergeCell ref="H162:I162"/>
    <mergeCell ref="J162:K162"/>
    <mergeCell ref="B163:C163"/>
    <mergeCell ref="D163:G163"/>
    <mergeCell ref="H163:I163"/>
    <mergeCell ref="J163:K163"/>
    <mergeCell ref="B160:C160"/>
    <mergeCell ref="D160:G160"/>
    <mergeCell ref="H160:I160"/>
    <mergeCell ref="J160:K160"/>
    <mergeCell ref="B161:C161"/>
    <mergeCell ref="D161:G161"/>
    <mergeCell ref="H161:I161"/>
    <mergeCell ref="J161:K161"/>
    <mergeCell ref="B159:C159"/>
    <mergeCell ref="D159:G159"/>
    <mergeCell ref="H159:I159"/>
    <mergeCell ref="J159:K159"/>
    <mergeCell ref="B156:C156"/>
    <mergeCell ref="D156:G156"/>
    <mergeCell ref="H156:I156"/>
    <mergeCell ref="J156:K156"/>
    <mergeCell ref="B157:C157"/>
    <mergeCell ref="D157:G157"/>
    <mergeCell ref="H157:I157"/>
    <mergeCell ref="J157:K157"/>
    <mergeCell ref="B158:C158"/>
    <mergeCell ref="D158:G158"/>
    <mergeCell ref="H158:I158"/>
    <mergeCell ref="J158:K158"/>
    <mergeCell ref="D154:G154"/>
    <mergeCell ref="H154:I154"/>
    <mergeCell ref="J154:K154"/>
    <mergeCell ref="B155:C155"/>
    <mergeCell ref="D155:G155"/>
    <mergeCell ref="H155:I155"/>
    <mergeCell ref="J155:K155"/>
    <mergeCell ref="A135:E141"/>
    <mergeCell ref="F135:K141"/>
    <mergeCell ref="A143:K143"/>
    <mergeCell ref="A144:K144"/>
    <mergeCell ref="A145:K145"/>
    <mergeCell ref="A146:K146"/>
    <mergeCell ref="A147:K147"/>
    <mergeCell ref="A150:D150"/>
    <mergeCell ref="A152:A153"/>
    <mergeCell ref="B152:C153"/>
    <mergeCell ref="D152:G153"/>
    <mergeCell ref="H152:I153"/>
    <mergeCell ref="J152:K153"/>
    <mergeCell ref="B154:C154"/>
    <mergeCell ref="C130:E130"/>
    <mergeCell ref="A131:E131"/>
    <mergeCell ref="A133:E133"/>
    <mergeCell ref="F133:K133"/>
    <mergeCell ref="A134:E134"/>
    <mergeCell ref="F134:K134"/>
    <mergeCell ref="C22:E22"/>
    <mergeCell ref="C23:E23"/>
    <mergeCell ref="C24:E24"/>
    <mergeCell ref="C79:E79"/>
    <mergeCell ref="C80:E80"/>
    <mergeCell ref="C81:E81"/>
    <mergeCell ref="C82:E82"/>
    <mergeCell ref="C83:E83"/>
    <mergeCell ref="C84:E84"/>
    <mergeCell ref="C85:E85"/>
    <mergeCell ref="C86:E86"/>
    <mergeCell ref="C113:E113"/>
    <mergeCell ref="C54:E54"/>
    <mergeCell ref="C55:E55"/>
    <mergeCell ref="C56:E56"/>
    <mergeCell ref="C57:E57"/>
    <mergeCell ref="C58:E58"/>
    <mergeCell ref="C25:E25"/>
    <mergeCell ref="I9:I11"/>
    <mergeCell ref="J9:J11"/>
    <mergeCell ref="K9:K11"/>
    <mergeCell ref="C12:E12"/>
    <mergeCell ref="C13:E13"/>
    <mergeCell ref="C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K12:K129"/>
    <mergeCell ref="C91:E91"/>
    <mergeCell ref="C92:E92"/>
    <mergeCell ref="C62:E62"/>
    <mergeCell ref="C63:E63"/>
    <mergeCell ref="C64:E64"/>
    <mergeCell ref="C65:E65"/>
    <mergeCell ref="C66:E66"/>
    <mergeCell ref="C15:E15"/>
    <mergeCell ref="C16:E16"/>
    <mergeCell ref="C17:E17"/>
    <mergeCell ref="C18:E18"/>
    <mergeCell ref="C19:E19"/>
    <mergeCell ref="C20:E20"/>
    <mergeCell ref="C21:E21"/>
    <mergeCell ref="C26:E26"/>
    <mergeCell ref="C27:E27"/>
    <mergeCell ref="C28:E28"/>
    <mergeCell ref="C29:E29"/>
    <mergeCell ref="C30:E30"/>
    <mergeCell ref="C43:E43"/>
    <mergeCell ref="C44:E44"/>
    <mergeCell ref="C37:E37"/>
    <mergeCell ref="C38:E38"/>
    <mergeCell ref="C39:E39"/>
    <mergeCell ref="C112:E112"/>
    <mergeCell ref="C45:E45"/>
    <mergeCell ref="C46:E46"/>
    <mergeCell ref="C47:E47"/>
    <mergeCell ref="C48:E48"/>
    <mergeCell ref="C49:E49"/>
    <mergeCell ref="C50:E50"/>
    <mergeCell ref="C51:E51"/>
    <mergeCell ref="C52:E52"/>
    <mergeCell ref="C53:E53"/>
    <mergeCell ref="C67:E67"/>
    <mergeCell ref="C68:E68"/>
    <mergeCell ref="C69:E69"/>
    <mergeCell ref="C70:E70"/>
    <mergeCell ref="C71:E71"/>
    <mergeCell ref="C72:E72"/>
    <mergeCell ref="C73:E73"/>
    <mergeCell ref="C96:E96"/>
    <mergeCell ref="C97:E97"/>
    <mergeCell ref="C101:E101"/>
    <mergeCell ref="C59:E59"/>
    <mergeCell ref="C60:E60"/>
    <mergeCell ref="C61:E61"/>
    <mergeCell ref="C87:E87"/>
    <mergeCell ref="C102:E102"/>
    <mergeCell ref="C103:E103"/>
    <mergeCell ref="C104:E104"/>
    <mergeCell ref="C109:E109"/>
    <mergeCell ref="C110:E110"/>
    <mergeCell ref="C111:E111"/>
    <mergeCell ref="C98:E98"/>
    <mergeCell ref="C99:E99"/>
    <mergeCell ref="C74:E74"/>
    <mergeCell ref="C75:E75"/>
    <mergeCell ref="C76:E76"/>
    <mergeCell ref="C77:E77"/>
    <mergeCell ref="C78:E78"/>
    <mergeCell ref="C105:E105"/>
    <mergeCell ref="C106:E106"/>
    <mergeCell ref="C107:E107"/>
    <mergeCell ref="C108:E108"/>
    <mergeCell ref="C93:E93"/>
    <mergeCell ref="C94:E94"/>
    <mergeCell ref="C95:E95"/>
    <mergeCell ref="C100:E100"/>
    <mergeCell ref="C88:E88"/>
    <mergeCell ref="C89:E89"/>
    <mergeCell ref="C90:E90"/>
    <mergeCell ref="C114:E114"/>
    <mergeCell ref="C123:E123"/>
    <mergeCell ref="C124:E124"/>
    <mergeCell ref="C125:E125"/>
    <mergeCell ref="C126:E126"/>
    <mergeCell ref="C127:E127"/>
    <mergeCell ref="C128:E128"/>
    <mergeCell ref="C129:E129"/>
    <mergeCell ref="C115:E115"/>
    <mergeCell ref="C116:E116"/>
    <mergeCell ref="C117:E117"/>
    <mergeCell ref="C118:E118"/>
    <mergeCell ref="C119:E119"/>
    <mergeCell ref="C120:E120"/>
    <mergeCell ref="C121:E121"/>
    <mergeCell ref="C122:E122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142" max="10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5">
    <tabColor rgb="FF92D050"/>
  </sheetPr>
  <dimension ref="A1:T83"/>
  <sheetViews>
    <sheetView view="pageBreakPreview" topLeftCell="A17" zoomScaleSheetLayoutView="100" workbookViewId="0">
      <selection activeCell="F23" sqref="F2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8554687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C.II.1.7. Đường đầu cầu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295</v>
      </c>
      <c r="N5" s="245" t="str">
        <f>'PHAN KHAI'!C149</f>
        <v>Đường đầu cầu</v>
      </c>
      <c r="Q5" s="17"/>
    </row>
    <row r="6" spans="1:20" s="16" customFormat="1" ht="15.75" customHeight="1">
      <c r="A6" s="91" t="str">
        <f>L6&amp;M6&amp;". "&amp;N6</f>
        <v>Mục C.II.1.7.6. Cấp phối đá dăm loại 1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C.II.1.7.</v>
      </c>
      <c r="M6" s="16">
        <v>6</v>
      </c>
      <c r="N6" s="245" t="str">
        <f>THKLQT!C156</f>
        <v>Cấp phối đá dăm loại 1</v>
      </c>
      <c r="Q6" s="17"/>
    </row>
    <row r="7" spans="1:20" s="178" customFormat="1" ht="18.75" customHeight="1">
      <c r="A7" s="634">
        <f>I23</f>
        <v>639.30999999999995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THKLQT!D156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5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8.5" customHeight="1" outlineLevel="2">
      <c r="A12" s="81">
        <f>SUBTOTAL(103,$B$12:B12)</f>
        <v>1</v>
      </c>
      <c r="B12" s="78">
        <f>Q12</f>
        <v>43513</v>
      </c>
      <c r="C12" s="571" t="str">
        <f>T12</f>
        <v>Cấp phối đá dăm loại 1 km101+778,79-km101+805,992 lớp 1</v>
      </c>
      <c r="D12" s="572"/>
      <c r="E12" s="573"/>
      <c r="F12" s="2">
        <f>P12</f>
        <v>11.324999999999999</v>
      </c>
      <c r="G12" s="1">
        <f>P12</f>
        <v>11.324999999999999</v>
      </c>
      <c r="H12" s="295">
        <f>P12</f>
        <v>11.324999999999999</v>
      </c>
      <c r="I12" s="107">
        <f>P12</f>
        <v>11.324999999999999</v>
      </c>
      <c r="J12" s="107">
        <f>P12</f>
        <v>11.324999999999999</v>
      </c>
      <c r="K12" s="700" t="s">
        <v>698</v>
      </c>
      <c r="N12" s="118"/>
      <c r="O12" s="118" t="s">
        <v>402</v>
      </c>
      <c r="P12" s="88">
        <v>11.324999999999999</v>
      </c>
      <c r="Q12" s="89">
        <v>43513</v>
      </c>
      <c r="R12" s="88"/>
      <c r="S12" s="88" t="e">
        <f t="shared" ref="S12:S21" si="0">VLOOKUP($S$11,hamchuigoi3,M12,0)</f>
        <v>#VALUE!</v>
      </c>
      <c r="T12" s="3" t="str">
        <f>$N$6&amp;" "&amp;O12</f>
        <v>Cấp phối đá dăm loại 1 km101+778,79-km101+805,992 lớp 1</v>
      </c>
    </row>
    <row r="13" spans="1:20" ht="28.5" customHeight="1" outlineLevel="2">
      <c r="A13" s="81">
        <f>SUBTOTAL(103,$B$12:B13)</f>
        <v>2</v>
      </c>
      <c r="B13" s="78">
        <f t="shared" ref="B13:B15" si="1">Q13</f>
        <v>43511</v>
      </c>
      <c r="C13" s="571" t="str">
        <f t="shared" ref="C13:C15" si="2">T13</f>
        <v>Cấp phối đá dăm loại 1 km101+778,79-km101+805,992 lớp 2</v>
      </c>
      <c r="D13" s="572"/>
      <c r="E13" s="573"/>
      <c r="F13" s="2">
        <f t="shared" ref="F13:F15" si="3">P13</f>
        <v>82.418000000000006</v>
      </c>
      <c r="G13" s="1">
        <f t="shared" ref="G13:G15" si="4">P13</f>
        <v>82.418000000000006</v>
      </c>
      <c r="H13" s="295">
        <f t="shared" ref="H13:H15" si="5">P13</f>
        <v>82.418000000000006</v>
      </c>
      <c r="I13" s="107">
        <f t="shared" ref="I13:I15" si="6">P13</f>
        <v>82.418000000000006</v>
      </c>
      <c r="J13" s="107">
        <f t="shared" ref="J13:J15" si="7">P13</f>
        <v>82.418000000000006</v>
      </c>
      <c r="K13" s="701"/>
      <c r="N13" s="118"/>
      <c r="O13" s="118" t="s">
        <v>403</v>
      </c>
      <c r="P13" s="88">
        <v>82.418000000000006</v>
      </c>
      <c r="Q13" s="89">
        <v>43511</v>
      </c>
      <c r="R13" s="88"/>
      <c r="S13" s="88" t="e">
        <f t="shared" si="0"/>
        <v>#VALUE!</v>
      </c>
      <c r="T13" s="3" t="str">
        <f t="shared" ref="T13:T15" si="8">$N$6&amp;" "&amp;O13</f>
        <v>Cấp phối đá dăm loại 1 km101+778,79-km101+805,992 lớp 2</v>
      </c>
    </row>
    <row r="14" spans="1:20" ht="28.5" customHeight="1" outlineLevel="2">
      <c r="A14" s="81">
        <f>SUBTOTAL(103,$B$12:B14)</f>
        <v>3</v>
      </c>
      <c r="B14" s="78">
        <f t="shared" si="1"/>
        <v>43510</v>
      </c>
      <c r="C14" s="571" t="str">
        <f t="shared" si="2"/>
        <v>Cấp phối đá dăm loại 1 km101+778,79-km101+805,992 lớp 3</v>
      </c>
      <c r="D14" s="572"/>
      <c r="E14" s="573"/>
      <c r="F14" s="2">
        <f t="shared" si="3"/>
        <v>83.415000000000006</v>
      </c>
      <c r="G14" s="1">
        <f t="shared" si="4"/>
        <v>83.415000000000006</v>
      </c>
      <c r="H14" s="295">
        <f t="shared" si="5"/>
        <v>83.415000000000006</v>
      </c>
      <c r="I14" s="107">
        <f t="shared" si="6"/>
        <v>83.415000000000006</v>
      </c>
      <c r="J14" s="107">
        <f t="shared" si="7"/>
        <v>83.415000000000006</v>
      </c>
      <c r="K14" s="701"/>
      <c r="N14" s="118"/>
      <c r="O14" s="118" t="s">
        <v>404</v>
      </c>
      <c r="P14" s="88">
        <v>83.415000000000006</v>
      </c>
      <c r="Q14" s="89">
        <v>43510</v>
      </c>
      <c r="R14" s="88"/>
      <c r="S14" s="88" t="e">
        <f t="shared" si="0"/>
        <v>#VALUE!</v>
      </c>
      <c r="T14" s="3" t="str">
        <f t="shared" si="8"/>
        <v>Cấp phối đá dăm loại 1 km101+778,79-km101+805,992 lớp 3</v>
      </c>
    </row>
    <row r="15" spans="1:20" ht="28.5" customHeight="1" outlineLevel="2">
      <c r="A15" s="81">
        <f>SUBTOTAL(103,$B$12:B15)</f>
        <v>4</v>
      </c>
      <c r="B15" s="78">
        <f t="shared" si="1"/>
        <v>43509</v>
      </c>
      <c r="C15" s="571" t="str">
        <f t="shared" si="2"/>
        <v>Cấp phối đá dăm loại 1 km101+778,79-km101+805,992 lớp 4</v>
      </c>
      <c r="D15" s="572"/>
      <c r="E15" s="573"/>
      <c r="F15" s="2">
        <f t="shared" si="3"/>
        <v>84.206999999999994</v>
      </c>
      <c r="G15" s="1">
        <f t="shared" si="4"/>
        <v>84.206999999999994</v>
      </c>
      <c r="H15" s="295">
        <f t="shared" si="5"/>
        <v>84.206999999999994</v>
      </c>
      <c r="I15" s="107">
        <f t="shared" si="6"/>
        <v>84.206999999999994</v>
      </c>
      <c r="J15" s="107">
        <f t="shared" si="7"/>
        <v>84.206999999999994</v>
      </c>
      <c r="K15" s="701"/>
      <c r="N15" s="118"/>
      <c r="O15" s="118" t="s">
        <v>405</v>
      </c>
      <c r="P15" s="88">
        <v>84.206999999999994</v>
      </c>
      <c r="Q15" s="89">
        <v>43509</v>
      </c>
      <c r="R15" s="88"/>
      <c r="S15" s="88" t="e">
        <f t="shared" si="0"/>
        <v>#VALUE!</v>
      </c>
      <c r="T15" s="3" t="str">
        <f t="shared" si="8"/>
        <v>Cấp phối đá dăm loại 1 km101+778,79-km101+805,992 lớp 4</v>
      </c>
    </row>
    <row r="16" spans="1:20" ht="28.5" customHeight="1" outlineLevel="2">
      <c r="A16" s="81">
        <f>SUBTOTAL(103,$B$12:B16)</f>
        <v>5</v>
      </c>
      <c r="B16" s="78">
        <f t="shared" ref="B16" si="9">Q16</f>
        <v>43508</v>
      </c>
      <c r="C16" s="571" t="str">
        <f t="shared" ref="C16" si="10">T16</f>
        <v>Cấp phối đá dăm loại 1 km101+778,79-km101+805,992 lớp 5</v>
      </c>
      <c r="D16" s="572"/>
      <c r="E16" s="573"/>
      <c r="F16" s="2">
        <f t="shared" ref="F16" si="11">P16</f>
        <v>73.650999999999996</v>
      </c>
      <c r="G16" s="1">
        <f t="shared" ref="G16" si="12">P16</f>
        <v>73.650999999999996</v>
      </c>
      <c r="H16" s="295">
        <f t="shared" ref="H16" si="13">P16</f>
        <v>73.650999999999996</v>
      </c>
      <c r="I16" s="107">
        <f t="shared" ref="I16" si="14">P16</f>
        <v>73.650999999999996</v>
      </c>
      <c r="J16" s="107">
        <f t="shared" ref="J16" si="15">P16</f>
        <v>73.650999999999996</v>
      </c>
      <c r="K16" s="701"/>
      <c r="L16" s="412" t="s">
        <v>787</v>
      </c>
      <c r="N16" s="118"/>
      <c r="O16" s="118" t="s">
        <v>406</v>
      </c>
      <c r="P16" s="88">
        <v>73.650999999999996</v>
      </c>
      <c r="Q16" s="89">
        <v>43508</v>
      </c>
      <c r="R16" s="88"/>
      <c r="S16" s="88" t="e">
        <f t="shared" si="0"/>
        <v>#VALUE!</v>
      </c>
      <c r="T16" s="3" t="str">
        <f t="shared" ref="T16" si="16">$N$6&amp;" "&amp;O16</f>
        <v>Cấp phối đá dăm loại 1 km101+778,79-km101+805,992 lớp 5</v>
      </c>
    </row>
    <row r="17" spans="1:20" ht="28.5" customHeight="1" outlineLevel="2">
      <c r="A17" s="81">
        <f>SUBTOTAL(103,$B$12:B17)</f>
        <v>6</v>
      </c>
      <c r="B17" s="78">
        <f>Q17</f>
        <v>43517</v>
      </c>
      <c r="C17" s="571" t="str">
        <f>T17</f>
        <v>Cấp phối đá dăm loại 1 km101+850,79-km101+820+87 lớp 1</v>
      </c>
      <c r="D17" s="572"/>
      <c r="E17" s="573"/>
      <c r="F17" s="2">
        <f>P17</f>
        <v>13.864000000000001</v>
      </c>
      <c r="G17" s="1">
        <f>P17</f>
        <v>13.864000000000001</v>
      </c>
      <c r="H17" s="295">
        <f>P17</f>
        <v>13.864000000000001</v>
      </c>
      <c r="I17" s="107">
        <f>P17</f>
        <v>13.864000000000001</v>
      </c>
      <c r="J17" s="107">
        <f>P17</f>
        <v>13.864000000000001</v>
      </c>
      <c r="K17" s="701"/>
      <c r="N17" s="118"/>
      <c r="O17" s="118" t="s">
        <v>407</v>
      </c>
      <c r="P17" s="88">
        <v>13.864000000000001</v>
      </c>
      <c r="Q17" s="89">
        <v>43517</v>
      </c>
      <c r="R17" s="88"/>
      <c r="S17" s="88" t="e">
        <f t="shared" si="0"/>
        <v>#VALUE!</v>
      </c>
      <c r="T17" s="3" t="str">
        <f>$N$6&amp;" "&amp;O17</f>
        <v>Cấp phối đá dăm loại 1 km101+850,79-km101+820+87 lớp 1</v>
      </c>
    </row>
    <row r="18" spans="1:20" ht="28.5" customHeight="1" outlineLevel="2">
      <c r="A18" s="81">
        <f>SUBTOTAL(103,$B$12:B18)</f>
        <v>7</v>
      </c>
      <c r="B18" s="78">
        <f t="shared" ref="B18:B21" si="17">Q18</f>
        <v>43515</v>
      </c>
      <c r="C18" s="571" t="str">
        <f t="shared" ref="C18:C21" si="18">T18</f>
        <v>Cấp phối đá dăm loại 1 km101+850,79-km101+820+87 lớp 2</v>
      </c>
      <c r="D18" s="572"/>
      <c r="E18" s="573"/>
      <c r="F18" s="2">
        <f t="shared" ref="F18:F21" si="19">P18</f>
        <v>102.331</v>
      </c>
      <c r="G18" s="1">
        <f t="shared" ref="G18:G21" si="20">P18</f>
        <v>102.331</v>
      </c>
      <c r="H18" s="295">
        <f t="shared" ref="H18:H21" si="21">P18</f>
        <v>102.331</v>
      </c>
      <c r="I18" s="107">
        <f t="shared" ref="I18:I21" si="22">P18</f>
        <v>102.331</v>
      </c>
      <c r="J18" s="107">
        <f t="shared" ref="J18:J21" si="23">P18</f>
        <v>102.331</v>
      </c>
      <c r="K18" s="701"/>
      <c r="N18" s="118"/>
      <c r="O18" s="118" t="s">
        <v>408</v>
      </c>
      <c r="P18" s="88">
        <v>102.331</v>
      </c>
      <c r="Q18" s="89">
        <v>43515</v>
      </c>
      <c r="R18" s="88"/>
      <c r="S18" s="88" t="e">
        <f t="shared" si="0"/>
        <v>#VALUE!</v>
      </c>
      <c r="T18" s="3" t="str">
        <f t="shared" ref="T18:T21" si="24">$N$6&amp;" "&amp;O18</f>
        <v>Cấp phối đá dăm loại 1 km101+850,79-km101+820+87 lớp 2</v>
      </c>
    </row>
    <row r="19" spans="1:20" ht="28.5" customHeight="1" outlineLevel="2">
      <c r="A19" s="81">
        <f>SUBTOTAL(103,$B$12:B19)</f>
        <v>8</v>
      </c>
      <c r="B19" s="78">
        <f t="shared" si="17"/>
        <v>43513</v>
      </c>
      <c r="C19" s="571" t="str">
        <f t="shared" si="18"/>
        <v>Cấp phối đá dăm loại 1 km101+850,79-km101+820+87 lớp 3</v>
      </c>
      <c r="D19" s="572"/>
      <c r="E19" s="573"/>
      <c r="F19" s="2">
        <f t="shared" si="19"/>
        <v>92.676000000000002</v>
      </c>
      <c r="G19" s="1">
        <f t="shared" si="20"/>
        <v>92.676000000000002</v>
      </c>
      <c r="H19" s="295">
        <f t="shared" si="21"/>
        <v>92.676000000000002</v>
      </c>
      <c r="I19" s="107">
        <f t="shared" si="22"/>
        <v>92.676000000000002</v>
      </c>
      <c r="J19" s="107">
        <f t="shared" si="23"/>
        <v>92.676000000000002</v>
      </c>
      <c r="K19" s="701"/>
      <c r="N19" s="118"/>
      <c r="O19" s="118" t="s">
        <v>409</v>
      </c>
      <c r="P19" s="88">
        <v>92.676000000000002</v>
      </c>
      <c r="Q19" s="89">
        <v>43513</v>
      </c>
      <c r="R19" s="88"/>
      <c r="S19" s="88" t="e">
        <f t="shared" si="0"/>
        <v>#VALUE!</v>
      </c>
      <c r="T19" s="3" t="str">
        <f t="shared" si="24"/>
        <v>Cấp phối đá dăm loại 1 km101+850,79-km101+820+87 lớp 3</v>
      </c>
    </row>
    <row r="20" spans="1:20" ht="28.5" customHeight="1" outlineLevel="2">
      <c r="A20" s="81">
        <f>SUBTOTAL(103,$B$12:B20)</f>
        <v>9</v>
      </c>
      <c r="B20" s="78">
        <f t="shared" si="17"/>
        <v>43511</v>
      </c>
      <c r="C20" s="571" t="str">
        <f t="shared" si="18"/>
        <v>Cấp phối đá dăm loại 1 km101+850,79-km101+820+87 lớp 4</v>
      </c>
      <c r="D20" s="572"/>
      <c r="E20" s="573"/>
      <c r="F20" s="2">
        <f t="shared" si="19"/>
        <v>103.449</v>
      </c>
      <c r="G20" s="1">
        <f t="shared" si="20"/>
        <v>103.449</v>
      </c>
      <c r="H20" s="295">
        <f t="shared" si="21"/>
        <v>103.449</v>
      </c>
      <c r="I20" s="107">
        <f t="shared" si="22"/>
        <v>103.449</v>
      </c>
      <c r="J20" s="107">
        <f t="shared" si="23"/>
        <v>103.449</v>
      </c>
      <c r="K20" s="701"/>
      <c r="N20" s="118"/>
      <c r="O20" s="118" t="s">
        <v>410</v>
      </c>
      <c r="P20" s="88">
        <v>103.449</v>
      </c>
      <c r="Q20" s="89">
        <v>43511</v>
      </c>
      <c r="R20" s="88"/>
      <c r="S20" s="88" t="e">
        <f t="shared" si="0"/>
        <v>#VALUE!</v>
      </c>
      <c r="T20" s="3" t="str">
        <f t="shared" si="24"/>
        <v>Cấp phối đá dăm loại 1 km101+850,79-km101+820+87 lớp 4</v>
      </c>
    </row>
    <row r="21" spans="1:20" ht="28.5" customHeight="1" outlineLevel="2">
      <c r="A21" s="81">
        <f>SUBTOTAL(103,$B$12:B21)</f>
        <v>10</v>
      </c>
      <c r="B21" s="78">
        <f t="shared" si="17"/>
        <v>43510</v>
      </c>
      <c r="C21" s="571" t="str">
        <f t="shared" si="18"/>
        <v>Cấp phối đá dăm loại 1 km101+850,79-km101+820+87 lớp 5</v>
      </c>
      <c r="D21" s="572"/>
      <c r="E21" s="573"/>
      <c r="F21" s="2">
        <f t="shared" si="19"/>
        <v>104.34</v>
      </c>
      <c r="G21" s="1">
        <f t="shared" si="20"/>
        <v>104.34</v>
      </c>
      <c r="H21" s="295">
        <f t="shared" si="21"/>
        <v>104.34</v>
      </c>
      <c r="I21" s="107">
        <f t="shared" si="22"/>
        <v>104.34</v>
      </c>
      <c r="J21" s="107">
        <f t="shared" si="23"/>
        <v>104.34</v>
      </c>
      <c r="K21" s="702"/>
      <c r="N21" s="118"/>
      <c r="O21" s="118" t="s">
        <v>411</v>
      </c>
      <c r="P21" s="88">
        <v>104.34</v>
      </c>
      <c r="Q21" s="89">
        <v>43510</v>
      </c>
      <c r="R21" s="88"/>
      <c r="S21" s="88" t="e">
        <f t="shared" si="0"/>
        <v>#VALUE!</v>
      </c>
      <c r="T21" s="3" t="str">
        <f t="shared" si="24"/>
        <v>Cấp phối đá dăm loại 1 km101+850,79-km101+820+87 lớp 5</v>
      </c>
    </row>
    <row r="22" spans="1:20" ht="14.25" outlineLevel="2">
      <c r="A22" s="81"/>
      <c r="B22" s="78"/>
      <c r="C22" s="571"/>
      <c r="D22" s="572"/>
      <c r="E22" s="573"/>
      <c r="F22" s="27"/>
      <c r="G22" s="33"/>
      <c r="H22" s="31"/>
      <c r="I22" s="107"/>
      <c r="J22" s="107"/>
      <c r="K22" s="82"/>
      <c r="N22" s="118"/>
      <c r="O22" s="118"/>
      <c r="P22" s="88"/>
      <c r="Q22" s="89"/>
      <c r="R22" s="88"/>
      <c r="S22" s="88"/>
      <c r="T22" s="3"/>
    </row>
    <row r="23" spans="1:20" thickBot="1">
      <c r="A23" s="574" t="s">
        <v>4</v>
      </c>
      <c r="B23" s="575"/>
      <c r="C23" s="575"/>
      <c r="D23" s="575"/>
      <c r="E23" s="575"/>
      <c r="F23" s="79">
        <f>'[7]TONG KL '!$I$9</f>
        <v>639.30999999999995</v>
      </c>
      <c r="G23" s="79">
        <f>F23</f>
        <v>639.30999999999995</v>
      </c>
      <c r="H23" s="79">
        <f>MIN(F23:G23)</f>
        <v>639.30999999999995</v>
      </c>
      <c r="I23" s="79">
        <f>+F23</f>
        <v>639.30999999999995</v>
      </c>
      <c r="J23" s="79">
        <f>'[5]PKTT ĐỢT 7'!$AA$387</f>
        <v>358.56</v>
      </c>
      <c r="K23" s="80"/>
      <c r="N23" s="118"/>
      <c r="O23" s="118"/>
      <c r="P23" s="90">
        <f>SUM(P12:P12)</f>
        <v>11.324999999999999</v>
      </c>
    </row>
    <row r="24" spans="1:20" s="175" customFormat="1" ht="18" customHeight="1" thickTop="1" thickBot="1">
      <c r="A24" s="258"/>
      <c r="B24" s="258"/>
      <c r="C24" s="258"/>
      <c r="D24" s="258"/>
      <c r="E24" s="258"/>
      <c r="F24" s="116"/>
      <c r="G24" s="116"/>
      <c r="H24" s="116"/>
      <c r="I24" s="116"/>
      <c r="J24" s="116"/>
      <c r="K24" s="117"/>
      <c r="L24" s="4"/>
      <c r="M24" s="4"/>
      <c r="N24" s="118"/>
      <c r="O24" s="118"/>
      <c r="P24" s="119"/>
      <c r="Q24" s="120"/>
      <c r="R24" s="120"/>
      <c r="S24" s="120"/>
      <c r="T24" s="121"/>
    </row>
    <row r="25" spans="1:20" s="5" customFormat="1" ht="13.9" customHeight="1" thickTop="1">
      <c r="A25" s="578" t="s">
        <v>68</v>
      </c>
      <c r="B25" s="579"/>
      <c r="C25" s="579"/>
      <c r="D25" s="579"/>
      <c r="E25" s="579"/>
      <c r="F25" s="580" t="s">
        <v>69</v>
      </c>
      <c r="G25" s="580"/>
      <c r="H25" s="580"/>
      <c r="I25" s="581"/>
      <c r="J25" s="581"/>
      <c r="K25" s="582"/>
      <c r="L25" s="4"/>
      <c r="M25" s="4"/>
      <c r="N25" s="4"/>
      <c r="O25" s="4"/>
      <c r="P25" s="4"/>
    </row>
    <row r="26" spans="1:20" s="5" customFormat="1" ht="13.9" customHeight="1">
      <c r="A26" s="583" t="s">
        <v>5</v>
      </c>
      <c r="B26" s="584"/>
      <c r="C26" s="584"/>
      <c r="D26" s="584"/>
      <c r="E26" s="584"/>
      <c r="F26" s="585" t="s">
        <v>6</v>
      </c>
      <c r="G26" s="585"/>
      <c r="H26" s="585"/>
      <c r="I26" s="586"/>
      <c r="J26" s="586"/>
      <c r="K26" s="587"/>
      <c r="L26" s="4"/>
      <c r="M26" s="4"/>
      <c r="N26" s="4"/>
      <c r="O26" s="4"/>
      <c r="P26" s="4"/>
    </row>
    <row r="27" spans="1:20" s="5" customFormat="1" ht="13.9" customHeight="1">
      <c r="A27" s="583" t="s">
        <v>836</v>
      </c>
      <c r="B27" s="584"/>
      <c r="C27" s="584"/>
      <c r="D27" s="584"/>
      <c r="E27" s="584"/>
      <c r="F27" s="590" t="s">
        <v>837</v>
      </c>
      <c r="G27" s="590"/>
      <c r="H27" s="590"/>
      <c r="I27" s="591"/>
      <c r="J27" s="591"/>
      <c r="K27" s="592"/>
      <c r="L27" s="4"/>
      <c r="M27" s="4"/>
      <c r="N27" s="4"/>
      <c r="O27" s="4"/>
      <c r="P27" s="4"/>
    </row>
    <row r="28" spans="1:20" s="5" customFormat="1" ht="13.9" customHeight="1">
      <c r="A28" s="583"/>
      <c r="B28" s="584"/>
      <c r="C28" s="584"/>
      <c r="D28" s="584"/>
      <c r="E28" s="584"/>
      <c r="F28" s="590"/>
      <c r="G28" s="590"/>
      <c r="H28" s="590"/>
      <c r="I28" s="591"/>
      <c r="J28" s="591"/>
      <c r="K28" s="592"/>
      <c r="L28" s="4"/>
      <c r="M28" s="4"/>
      <c r="N28" s="4"/>
      <c r="O28" s="4"/>
      <c r="P28" s="4"/>
    </row>
    <row r="29" spans="1:20" s="5" customFormat="1" ht="13.9" customHeight="1">
      <c r="A29" s="583"/>
      <c r="B29" s="584"/>
      <c r="C29" s="584"/>
      <c r="D29" s="584"/>
      <c r="E29" s="584"/>
      <c r="F29" s="590"/>
      <c r="G29" s="590"/>
      <c r="H29" s="590"/>
      <c r="I29" s="591"/>
      <c r="J29" s="591"/>
      <c r="K29" s="592"/>
      <c r="L29" s="4"/>
      <c r="M29" s="4"/>
      <c r="N29" s="4"/>
      <c r="O29" s="4"/>
      <c r="P29" s="4"/>
    </row>
    <row r="30" spans="1:20" s="5" customFormat="1" ht="13.9" customHeight="1">
      <c r="A30" s="583"/>
      <c r="B30" s="584"/>
      <c r="C30" s="584"/>
      <c r="D30" s="584"/>
      <c r="E30" s="584"/>
      <c r="F30" s="590"/>
      <c r="G30" s="590"/>
      <c r="H30" s="590"/>
      <c r="I30" s="591"/>
      <c r="J30" s="591"/>
      <c r="K30" s="592"/>
      <c r="L30" s="4"/>
      <c r="M30" s="4"/>
      <c r="N30" s="4"/>
      <c r="O30" s="4"/>
      <c r="P30" s="4"/>
    </row>
    <row r="31" spans="1:20" s="5" customFormat="1" ht="13.9" customHeight="1">
      <c r="A31" s="583"/>
      <c r="B31" s="584"/>
      <c r="C31" s="584"/>
      <c r="D31" s="584"/>
      <c r="E31" s="584"/>
      <c r="F31" s="590"/>
      <c r="G31" s="590"/>
      <c r="H31" s="590"/>
      <c r="I31" s="591"/>
      <c r="J31" s="591"/>
      <c r="K31" s="592"/>
      <c r="L31" s="4"/>
      <c r="M31" s="4"/>
      <c r="N31" s="4"/>
      <c r="O31" s="4"/>
      <c r="P31" s="4"/>
    </row>
    <row r="32" spans="1:20" s="5" customFormat="1" ht="13.9" customHeight="1">
      <c r="A32" s="583"/>
      <c r="B32" s="584"/>
      <c r="C32" s="584"/>
      <c r="D32" s="584"/>
      <c r="E32" s="584"/>
      <c r="F32" s="590"/>
      <c r="G32" s="590"/>
      <c r="H32" s="590"/>
      <c r="I32" s="591"/>
      <c r="J32" s="591"/>
      <c r="K32" s="592"/>
      <c r="L32" s="4"/>
      <c r="M32" s="4"/>
      <c r="N32" s="4"/>
      <c r="O32" s="4"/>
      <c r="P32" s="4"/>
    </row>
    <row r="33" spans="1:20" s="5" customFormat="1" ht="13.9" customHeight="1" thickBot="1">
      <c r="A33" s="588"/>
      <c r="B33" s="589"/>
      <c r="C33" s="589"/>
      <c r="D33" s="589"/>
      <c r="E33" s="589"/>
      <c r="F33" s="593"/>
      <c r="G33" s="593"/>
      <c r="H33" s="593"/>
      <c r="I33" s="594"/>
      <c r="J33" s="594"/>
      <c r="K33" s="595"/>
      <c r="L33" s="4"/>
      <c r="M33" s="4"/>
      <c r="N33" s="4"/>
      <c r="O33" s="4"/>
      <c r="P33" s="4"/>
    </row>
    <row r="34" spans="1:20" s="175" customFormat="1" ht="18" customHeight="1" thickTop="1">
      <c r="A34" s="258"/>
      <c r="B34" s="258"/>
      <c r="C34" s="258"/>
      <c r="D34" s="258"/>
      <c r="E34" s="258"/>
      <c r="F34" s="116"/>
      <c r="G34" s="116"/>
      <c r="H34" s="116"/>
      <c r="I34" s="116"/>
      <c r="J34" s="116"/>
      <c r="K34" s="117"/>
      <c r="L34" s="118"/>
      <c r="M34" s="118"/>
      <c r="N34" s="118"/>
      <c r="O34" s="118"/>
      <c r="P34" s="119"/>
      <c r="Q34" s="120"/>
      <c r="R34" s="120"/>
      <c r="S34" s="120"/>
      <c r="T34" s="121"/>
    </row>
    <row r="35" spans="1:20" s="111" customFormat="1" ht="48" customHeight="1">
      <c r="A35" s="596" t="s">
        <v>87</v>
      </c>
      <c r="B35" s="596"/>
      <c r="C35" s="596"/>
      <c r="D35" s="596"/>
      <c r="E35" s="596"/>
      <c r="F35" s="596"/>
      <c r="G35" s="596"/>
      <c r="H35" s="596"/>
      <c r="I35" s="596"/>
      <c r="J35" s="596"/>
      <c r="K35" s="596"/>
      <c r="L35" s="108"/>
      <c r="M35" s="109"/>
      <c r="N35" s="110"/>
    </row>
    <row r="36" spans="1:20" s="112" customFormat="1" ht="18" customHeight="1">
      <c r="A36" s="597" t="s">
        <v>599</v>
      </c>
      <c r="B36" s="597"/>
      <c r="C36" s="597"/>
      <c r="D36" s="597"/>
      <c r="E36" s="597"/>
      <c r="F36" s="597"/>
      <c r="G36" s="597"/>
      <c r="H36" s="597"/>
      <c r="I36" s="597"/>
      <c r="J36" s="597"/>
      <c r="K36" s="597"/>
    </row>
    <row r="37" spans="1:20" s="175" customFormat="1" ht="20.100000000000001" customHeight="1">
      <c r="A37" s="598" t="s">
        <v>90</v>
      </c>
      <c r="B37" s="598"/>
      <c r="C37" s="598"/>
      <c r="D37" s="598"/>
      <c r="E37" s="598"/>
      <c r="F37" s="598"/>
      <c r="G37" s="598"/>
      <c r="H37" s="598"/>
      <c r="I37" s="598"/>
      <c r="J37" s="598"/>
      <c r="K37" s="598"/>
      <c r="L37" s="123"/>
      <c r="M37" s="124"/>
      <c r="N37" s="123"/>
      <c r="O37" s="123"/>
      <c r="P37" s="123"/>
      <c r="Q37" s="123"/>
      <c r="R37" s="123"/>
      <c r="S37" s="123"/>
      <c r="T37" s="123"/>
    </row>
    <row r="38" spans="1:20" s="175" customFormat="1" ht="15.95" customHeight="1">
      <c r="A38" s="599" t="s">
        <v>91</v>
      </c>
      <c r="B38" s="599"/>
      <c r="C38" s="599"/>
      <c r="D38" s="599"/>
      <c r="E38" s="599"/>
      <c r="F38" s="599"/>
      <c r="G38" s="599"/>
      <c r="H38" s="599"/>
      <c r="I38" s="599"/>
      <c r="J38" s="599"/>
      <c r="K38" s="599"/>
      <c r="L38" s="123"/>
      <c r="M38" s="124"/>
      <c r="N38" s="123"/>
      <c r="O38" s="123"/>
      <c r="P38" s="123"/>
      <c r="Q38" s="123"/>
      <c r="R38" s="123"/>
      <c r="S38" s="123"/>
      <c r="T38" s="123"/>
    </row>
    <row r="39" spans="1:20" s="175" customFormat="1" ht="15.95" customHeight="1">
      <c r="A39" s="600" t="str">
        <f>A4</f>
        <v>PHẦN C.: CẦU VƯỢT</v>
      </c>
      <c r="B39" s="601"/>
      <c r="C39" s="601"/>
      <c r="D39" s="601"/>
      <c r="E39" s="601"/>
      <c r="F39" s="601"/>
      <c r="G39" s="601"/>
      <c r="H39" s="601"/>
      <c r="I39" s="601"/>
      <c r="J39" s="601"/>
      <c r="K39" s="602"/>
      <c r="L39" s="123"/>
      <c r="M39" s="124"/>
      <c r="N39" s="123"/>
      <c r="O39" s="123"/>
      <c r="P39" s="123"/>
      <c r="Q39" s="123"/>
      <c r="R39" s="123"/>
      <c r="S39" s="123"/>
      <c r="T39" s="123"/>
    </row>
    <row r="40" spans="1:20" s="175" customFormat="1" ht="15.95" customHeight="1">
      <c r="A40" s="259" t="str">
        <f>A5</f>
        <v>Hạng mục C.II.1.7. Đường đầu cầu</v>
      </c>
      <c r="B40" s="260"/>
      <c r="C40" s="127"/>
      <c r="D40" s="127"/>
      <c r="E40" s="128"/>
      <c r="F40" s="129"/>
      <c r="G40" s="129"/>
      <c r="H40" s="129"/>
      <c r="I40" s="129"/>
      <c r="J40" s="129"/>
      <c r="K40" s="130"/>
      <c r="L40" s="123"/>
      <c r="M40" s="124"/>
      <c r="N40" s="123"/>
      <c r="O40" s="123"/>
      <c r="P40" s="123"/>
      <c r="Q40" s="123"/>
      <c r="R40" s="123"/>
      <c r="S40" s="123"/>
      <c r="T40" s="123"/>
    </row>
    <row r="41" spans="1:20" s="175" customFormat="1" ht="15.95" customHeight="1">
      <c r="A41" s="259" t="str">
        <f>A6</f>
        <v>Mục C.II.1.7.6. Cấp phối đá dăm loại 1</v>
      </c>
      <c r="B41" s="260"/>
      <c r="C41" s="127"/>
      <c r="D41" s="127"/>
      <c r="E41" s="128"/>
      <c r="F41" s="129"/>
      <c r="G41" s="129"/>
      <c r="H41" s="129"/>
      <c r="I41" s="129"/>
      <c r="J41" s="129"/>
      <c r="K41" s="130"/>
      <c r="L41" s="123"/>
      <c r="M41" s="124"/>
      <c r="N41" s="123"/>
      <c r="O41" s="123"/>
      <c r="P41" s="123"/>
      <c r="Q41" s="123"/>
      <c r="R41" s="123"/>
      <c r="S41" s="123"/>
      <c r="T41" s="123"/>
    </row>
    <row r="42" spans="1:20" s="175" customFormat="1" ht="15.95" customHeight="1">
      <c r="A42" s="639">
        <f>A7</f>
        <v>639.30999999999995</v>
      </c>
      <c r="B42" s="640"/>
      <c r="C42" s="640"/>
      <c r="D42" s="640"/>
      <c r="E42" s="131" t="str">
        <f>E7</f>
        <v>(m3)</v>
      </c>
      <c r="F42" s="132"/>
      <c r="G42" s="132"/>
      <c r="H42" s="132"/>
      <c r="I42" s="132"/>
      <c r="J42" s="132"/>
      <c r="K42" s="133"/>
      <c r="L42" s="173"/>
      <c r="M42" s="135"/>
      <c r="N42" s="174"/>
      <c r="P42" s="174"/>
    </row>
    <row r="43" spans="1:20" s="5" customFormat="1" ht="13.5" customHeight="1" thickBot="1">
      <c r="A43" s="28"/>
      <c r="B43" s="28"/>
      <c r="C43" s="28"/>
      <c r="D43" s="28"/>
      <c r="E43" s="28"/>
      <c r="F43" s="30"/>
      <c r="G43" s="30"/>
      <c r="H43" s="30"/>
      <c r="I43" s="30"/>
      <c r="J43" s="30"/>
      <c r="K43" s="8"/>
      <c r="L43" s="23"/>
      <c r="M43" s="9"/>
      <c r="N43" s="4"/>
      <c r="O43" s="4"/>
      <c r="P43" s="4"/>
      <c r="R43" s="4"/>
      <c r="S43" s="4"/>
      <c r="T43" s="4"/>
    </row>
    <row r="44" spans="1:20" s="5" customFormat="1" ht="21.6" customHeight="1" thickTop="1">
      <c r="A44" s="576" t="s">
        <v>3</v>
      </c>
      <c r="B44" s="641" t="s">
        <v>84</v>
      </c>
      <c r="C44" s="641"/>
      <c r="D44" s="643" t="s">
        <v>96</v>
      </c>
      <c r="E44" s="643"/>
      <c r="F44" s="643"/>
      <c r="G44" s="643"/>
      <c r="H44" s="641" t="s">
        <v>89</v>
      </c>
      <c r="I44" s="641"/>
      <c r="J44" s="641" t="s">
        <v>85</v>
      </c>
      <c r="K44" s="645"/>
      <c r="L44"/>
      <c r="M44" s="94"/>
      <c r="N44" s="94"/>
      <c r="O44" s="95"/>
      <c r="P44" s="96"/>
    </row>
    <row r="45" spans="1:20" s="5" customFormat="1" ht="21.6" customHeight="1">
      <c r="A45" s="577"/>
      <c r="B45" s="642"/>
      <c r="C45" s="642"/>
      <c r="D45" s="644"/>
      <c r="E45" s="644"/>
      <c r="F45" s="644"/>
      <c r="G45" s="644"/>
      <c r="H45" s="642"/>
      <c r="I45" s="642"/>
      <c r="J45" s="642"/>
      <c r="K45" s="646"/>
      <c r="L45"/>
      <c r="M45" s="97"/>
      <c r="N45" s="97"/>
      <c r="O45" s="98"/>
      <c r="P45" s="99"/>
    </row>
    <row r="46" spans="1:20" s="5" customFormat="1" ht="17.100000000000001" customHeight="1">
      <c r="A46" s="100">
        <v>1</v>
      </c>
      <c r="B46" s="623" t="str">
        <f>"Tháng "&amp;IF(L46&lt;10,0&amp;L46&amp;"/"&amp;M46,L46&amp;"/"&amp;M46)</f>
        <v>Tháng 08/2017</v>
      </c>
      <c r="C46" s="623"/>
      <c r="D46" s="624" t="str">
        <f>N6</f>
        <v>Cấp phối đá dăm loại 1</v>
      </c>
      <c r="E46" s="624"/>
      <c r="F46" s="624"/>
      <c r="G46" s="624"/>
      <c r="H46" s="625">
        <f t="shared" ref="H46:H69" si="25">+SUMIFS($I$12:$I$22,$B$12:$B$22,"&gt;="&amp;$O46,$B$12:$B$22,"&lt;="&amp;$P46)</f>
        <v>0</v>
      </c>
      <c r="I46" s="625"/>
      <c r="J46" s="623"/>
      <c r="K46" s="626"/>
      <c r="L46">
        <v>8</v>
      </c>
      <c r="M46" s="101">
        <v>2017</v>
      </c>
      <c r="N46" s="97"/>
      <c r="O46" s="103">
        <f t="shared" ref="O46:O70" si="26">DATE(M46,L46,1)</f>
        <v>42948</v>
      </c>
      <c r="P46" s="103">
        <f t="shared" ref="P46:P70" si="27">DATE(M46,L46+1,0)</f>
        <v>42978</v>
      </c>
    </row>
    <row r="47" spans="1:20" s="5" customFormat="1" ht="17.100000000000001" customHeight="1">
      <c r="A47" s="104">
        <v>2</v>
      </c>
      <c r="B47" s="567" t="str">
        <f t="shared" ref="B47:B71" si="28">"Tháng "&amp;IF(L47&lt;10,0&amp;L47&amp;"/"&amp;M47,L47&amp;"/"&amp;M47)</f>
        <v>Tháng 09/2017</v>
      </c>
      <c r="C47" s="567"/>
      <c r="D47" s="568" t="str">
        <f>D46</f>
        <v>Cấp phối đá dăm loại 1</v>
      </c>
      <c r="E47" s="568"/>
      <c r="F47" s="568"/>
      <c r="G47" s="568"/>
      <c r="H47" s="569">
        <f t="shared" si="25"/>
        <v>0</v>
      </c>
      <c r="I47" s="569"/>
      <c r="J47" s="567"/>
      <c r="K47" s="570"/>
      <c r="L47">
        <v>9</v>
      </c>
      <c r="M47" s="101">
        <v>2017</v>
      </c>
      <c r="N47"/>
      <c r="O47" s="103">
        <f t="shared" si="26"/>
        <v>42979</v>
      </c>
      <c r="P47" s="103">
        <f t="shared" si="27"/>
        <v>43008</v>
      </c>
    </row>
    <row r="48" spans="1:20" s="5" customFormat="1" ht="17.100000000000001" customHeight="1">
      <c r="A48" s="104">
        <f>A47+1</f>
        <v>3</v>
      </c>
      <c r="B48" s="567" t="str">
        <f t="shared" si="28"/>
        <v>Tháng 10/2017</v>
      </c>
      <c r="C48" s="567"/>
      <c r="D48" s="568" t="str">
        <f t="shared" ref="D48:D70" si="29">D47</f>
        <v>Cấp phối đá dăm loại 1</v>
      </c>
      <c r="E48" s="568"/>
      <c r="F48" s="568"/>
      <c r="G48" s="568"/>
      <c r="H48" s="569">
        <f t="shared" si="25"/>
        <v>0</v>
      </c>
      <c r="I48" s="569"/>
      <c r="J48" s="567"/>
      <c r="K48" s="570"/>
      <c r="L48">
        <v>10</v>
      </c>
      <c r="M48" s="101">
        <v>2017</v>
      </c>
      <c r="N48"/>
      <c r="O48" s="103">
        <f t="shared" si="26"/>
        <v>43009</v>
      </c>
      <c r="P48" s="103">
        <f t="shared" si="27"/>
        <v>43039</v>
      </c>
    </row>
    <row r="49" spans="1:16" s="5" customFormat="1" ht="17.100000000000001" customHeight="1">
      <c r="A49" s="104">
        <f t="shared" ref="A49:A71" si="30">A48+1</f>
        <v>4</v>
      </c>
      <c r="B49" s="567" t="str">
        <f t="shared" si="28"/>
        <v>Tháng 11/2017</v>
      </c>
      <c r="C49" s="567"/>
      <c r="D49" s="568" t="str">
        <f t="shared" si="29"/>
        <v>Cấp phối đá dăm loại 1</v>
      </c>
      <c r="E49" s="568"/>
      <c r="F49" s="568"/>
      <c r="G49" s="568"/>
      <c r="H49" s="569">
        <f t="shared" si="25"/>
        <v>0</v>
      </c>
      <c r="I49" s="569"/>
      <c r="J49" s="567"/>
      <c r="K49" s="570"/>
      <c r="L49">
        <v>11</v>
      </c>
      <c r="M49" s="101">
        <v>2017</v>
      </c>
      <c r="N49"/>
      <c r="O49" s="103">
        <f t="shared" si="26"/>
        <v>43040</v>
      </c>
      <c r="P49" s="103">
        <f t="shared" si="27"/>
        <v>43069</v>
      </c>
    </row>
    <row r="50" spans="1:16" s="5" customFormat="1" ht="17.100000000000001" customHeight="1">
      <c r="A50" s="104">
        <f t="shared" si="30"/>
        <v>5</v>
      </c>
      <c r="B50" s="567" t="str">
        <f t="shared" si="28"/>
        <v>Tháng 12/2017</v>
      </c>
      <c r="C50" s="567"/>
      <c r="D50" s="568" t="str">
        <f t="shared" si="29"/>
        <v>Cấp phối đá dăm loại 1</v>
      </c>
      <c r="E50" s="568"/>
      <c r="F50" s="568"/>
      <c r="G50" s="568"/>
      <c r="H50" s="569">
        <f t="shared" si="25"/>
        <v>0</v>
      </c>
      <c r="I50" s="569"/>
      <c r="J50" s="567"/>
      <c r="K50" s="570"/>
      <c r="L50">
        <v>12</v>
      </c>
      <c r="M50" s="101">
        <v>2017</v>
      </c>
      <c r="N50"/>
      <c r="O50" s="103">
        <f t="shared" si="26"/>
        <v>43070</v>
      </c>
      <c r="P50" s="103">
        <f t="shared" si="27"/>
        <v>43100</v>
      </c>
    </row>
    <row r="51" spans="1:16" s="5" customFormat="1" ht="17.100000000000001" customHeight="1">
      <c r="A51" s="104">
        <f t="shared" si="30"/>
        <v>6</v>
      </c>
      <c r="B51" s="567" t="str">
        <f t="shared" si="28"/>
        <v>Tháng 01/2018</v>
      </c>
      <c r="C51" s="567"/>
      <c r="D51" s="568" t="str">
        <f t="shared" si="29"/>
        <v>Cấp phối đá dăm loại 1</v>
      </c>
      <c r="E51" s="568"/>
      <c r="F51" s="568"/>
      <c r="G51" s="568"/>
      <c r="H51" s="569">
        <f t="shared" si="25"/>
        <v>0</v>
      </c>
      <c r="I51" s="569"/>
      <c r="J51" s="567"/>
      <c r="K51" s="570"/>
      <c r="L51">
        <v>1</v>
      </c>
      <c r="M51" s="101">
        <v>2018</v>
      </c>
      <c r="N51"/>
      <c r="O51" s="103">
        <f t="shared" si="26"/>
        <v>43101</v>
      </c>
      <c r="P51" s="103">
        <f t="shared" si="27"/>
        <v>43131</v>
      </c>
    </row>
    <row r="52" spans="1:16" s="5" customFormat="1" ht="17.100000000000001" customHeight="1">
      <c r="A52" s="104">
        <f t="shared" si="30"/>
        <v>7</v>
      </c>
      <c r="B52" s="567" t="str">
        <f t="shared" si="28"/>
        <v>Tháng 02/2018</v>
      </c>
      <c r="C52" s="567"/>
      <c r="D52" s="568" t="str">
        <f t="shared" si="29"/>
        <v>Cấp phối đá dăm loại 1</v>
      </c>
      <c r="E52" s="568"/>
      <c r="F52" s="568"/>
      <c r="G52" s="568"/>
      <c r="H52" s="569">
        <f t="shared" si="25"/>
        <v>0</v>
      </c>
      <c r="I52" s="569"/>
      <c r="J52" s="567"/>
      <c r="K52" s="570"/>
      <c r="L52">
        <v>2</v>
      </c>
      <c r="M52" s="101">
        <v>2018</v>
      </c>
      <c r="N52"/>
      <c r="O52" s="103">
        <f t="shared" si="26"/>
        <v>43132</v>
      </c>
      <c r="P52" s="103">
        <f t="shared" si="27"/>
        <v>43159</v>
      </c>
    </row>
    <row r="53" spans="1:16" s="5" customFormat="1" ht="17.100000000000001" customHeight="1">
      <c r="A53" s="104">
        <f t="shared" si="30"/>
        <v>8</v>
      </c>
      <c r="B53" s="567" t="str">
        <f t="shared" si="28"/>
        <v>Tháng 03/2018</v>
      </c>
      <c r="C53" s="567"/>
      <c r="D53" s="568" t="str">
        <f t="shared" si="29"/>
        <v>Cấp phối đá dăm loại 1</v>
      </c>
      <c r="E53" s="568"/>
      <c r="F53" s="568"/>
      <c r="G53" s="568"/>
      <c r="H53" s="569">
        <f t="shared" si="25"/>
        <v>0</v>
      </c>
      <c r="I53" s="569"/>
      <c r="J53" s="567"/>
      <c r="K53" s="570"/>
      <c r="L53">
        <v>3</v>
      </c>
      <c r="M53" s="101">
        <v>2018</v>
      </c>
      <c r="N53"/>
      <c r="O53" s="103">
        <f t="shared" si="26"/>
        <v>43160</v>
      </c>
      <c r="P53" s="103">
        <f t="shared" si="27"/>
        <v>43190</v>
      </c>
    </row>
    <row r="54" spans="1:16" s="5" customFormat="1" ht="17.100000000000001" customHeight="1">
      <c r="A54" s="104">
        <f t="shared" si="30"/>
        <v>9</v>
      </c>
      <c r="B54" s="567" t="str">
        <f t="shared" si="28"/>
        <v>Tháng 04/2018</v>
      </c>
      <c r="C54" s="567"/>
      <c r="D54" s="568" t="str">
        <f t="shared" si="29"/>
        <v>Cấp phối đá dăm loại 1</v>
      </c>
      <c r="E54" s="568"/>
      <c r="F54" s="568"/>
      <c r="G54" s="568"/>
      <c r="H54" s="569">
        <f t="shared" si="25"/>
        <v>0</v>
      </c>
      <c r="I54" s="569"/>
      <c r="J54" s="567"/>
      <c r="K54" s="570"/>
      <c r="L54">
        <v>4</v>
      </c>
      <c r="M54" s="101">
        <v>2018</v>
      </c>
      <c r="N54"/>
      <c r="O54" s="103">
        <f t="shared" si="26"/>
        <v>43191</v>
      </c>
      <c r="P54" s="103">
        <f t="shared" si="27"/>
        <v>43220</v>
      </c>
    </row>
    <row r="55" spans="1:16" s="5" customFormat="1" ht="17.100000000000001" customHeight="1">
      <c r="A55" s="104">
        <f t="shared" si="30"/>
        <v>10</v>
      </c>
      <c r="B55" s="567" t="str">
        <f t="shared" si="28"/>
        <v>Tháng 05/2018</v>
      </c>
      <c r="C55" s="567"/>
      <c r="D55" s="568" t="str">
        <f t="shared" si="29"/>
        <v>Cấp phối đá dăm loại 1</v>
      </c>
      <c r="E55" s="568"/>
      <c r="F55" s="568"/>
      <c r="G55" s="568"/>
      <c r="H55" s="569">
        <f t="shared" si="25"/>
        <v>0</v>
      </c>
      <c r="I55" s="569"/>
      <c r="J55" s="567"/>
      <c r="K55" s="570"/>
      <c r="L55">
        <v>5</v>
      </c>
      <c r="M55" s="101">
        <v>2018</v>
      </c>
      <c r="N55"/>
      <c r="O55" s="103">
        <f t="shared" si="26"/>
        <v>43221</v>
      </c>
      <c r="P55" s="103">
        <f t="shared" si="27"/>
        <v>43251</v>
      </c>
    </row>
    <row r="56" spans="1:16" s="5" customFormat="1" ht="17.100000000000001" customHeight="1">
      <c r="A56" s="104">
        <f t="shared" si="30"/>
        <v>11</v>
      </c>
      <c r="B56" s="567" t="str">
        <f t="shared" si="28"/>
        <v>Tháng 06/2018</v>
      </c>
      <c r="C56" s="567"/>
      <c r="D56" s="568" t="str">
        <f t="shared" si="29"/>
        <v>Cấp phối đá dăm loại 1</v>
      </c>
      <c r="E56" s="568"/>
      <c r="F56" s="568"/>
      <c r="G56" s="568"/>
      <c r="H56" s="569">
        <f t="shared" si="25"/>
        <v>0</v>
      </c>
      <c r="I56" s="569"/>
      <c r="J56" s="567"/>
      <c r="K56" s="570"/>
      <c r="L56">
        <v>6</v>
      </c>
      <c r="M56" s="101">
        <v>2018</v>
      </c>
      <c r="N56"/>
      <c r="O56" s="103">
        <f t="shared" si="26"/>
        <v>43252</v>
      </c>
      <c r="P56" s="103">
        <f t="shared" si="27"/>
        <v>43281</v>
      </c>
    </row>
    <row r="57" spans="1:16" s="5" customFormat="1" ht="17.100000000000001" customHeight="1">
      <c r="A57" s="104">
        <f t="shared" si="30"/>
        <v>12</v>
      </c>
      <c r="B57" s="567" t="str">
        <f t="shared" si="28"/>
        <v>Tháng 07/2018</v>
      </c>
      <c r="C57" s="567"/>
      <c r="D57" s="568" t="str">
        <f t="shared" si="29"/>
        <v>Cấp phối đá dăm loại 1</v>
      </c>
      <c r="E57" s="568"/>
      <c r="F57" s="568"/>
      <c r="G57" s="568"/>
      <c r="H57" s="569">
        <f t="shared" si="25"/>
        <v>0</v>
      </c>
      <c r="I57" s="569"/>
      <c r="J57" s="567"/>
      <c r="K57" s="570"/>
      <c r="L57">
        <v>7</v>
      </c>
      <c r="M57" s="101">
        <v>2018</v>
      </c>
      <c r="N57"/>
      <c r="O57" s="103">
        <f t="shared" si="26"/>
        <v>43282</v>
      </c>
      <c r="P57" s="103">
        <f t="shared" si="27"/>
        <v>43312</v>
      </c>
    </row>
    <row r="58" spans="1:16" s="5" customFormat="1" ht="17.100000000000001" customHeight="1">
      <c r="A58" s="104">
        <f t="shared" si="30"/>
        <v>13</v>
      </c>
      <c r="B58" s="567" t="str">
        <f t="shared" si="28"/>
        <v>Tháng 08/2018</v>
      </c>
      <c r="C58" s="567"/>
      <c r="D58" s="568" t="str">
        <f t="shared" si="29"/>
        <v>Cấp phối đá dăm loại 1</v>
      </c>
      <c r="E58" s="568"/>
      <c r="F58" s="568"/>
      <c r="G58" s="568"/>
      <c r="H58" s="569">
        <f t="shared" si="25"/>
        <v>0</v>
      </c>
      <c r="I58" s="569"/>
      <c r="J58" s="567"/>
      <c r="K58" s="570"/>
      <c r="L58">
        <v>8</v>
      </c>
      <c r="M58" s="101">
        <v>2018</v>
      </c>
      <c r="N58"/>
      <c r="O58" s="103">
        <f t="shared" si="26"/>
        <v>43313</v>
      </c>
      <c r="P58" s="103">
        <f t="shared" si="27"/>
        <v>43343</v>
      </c>
    </row>
    <row r="59" spans="1:16" s="5" customFormat="1" ht="17.100000000000001" customHeight="1">
      <c r="A59" s="104">
        <f t="shared" si="30"/>
        <v>14</v>
      </c>
      <c r="B59" s="567" t="str">
        <f t="shared" si="28"/>
        <v>Tháng 09/2018</v>
      </c>
      <c r="C59" s="567"/>
      <c r="D59" s="568" t="str">
        <f t="shared" si="29"/>
        <v>Cấp phối đá dăm loại 1</v>
      </c>
      <c r="E59" s="568"/>
      <c r="F59" s="568"/>
      <c r="G59" s="568"/>
      <c r="H59" s="569">
        <f t="shared" si="25"/>
        <v>0</v>
      </c>
      <c r="I59" s="569"/>
      <c r="J59" s="567"/>
      <c r="K59" s="570"/>
      <c r="L59">
        <v>9</v>
      </c>
      <c r="M59" s="101">
        <v>2018</v>
      </c>
      <c r="N59"/>
      <c r="O59" s="103">
        <f t="shared" si="26"/>
        <v>43344</v>
      </c>
      <c r="P59" s="103">
        <f t="shared" si="27"/>
        <v>43373</v>
      </c>
    </row>
    <row r="60" spans="1:16" s="5" customFormat="1" ht="17.100000000000001" customHeight="1">
      <c r="A60" s="104">
        <f t="shared" si="30"/>
        <v>15</v>
      </c>
      <c r="B60" s="567" t="str">
        <f t="shared" si="28"/>
        <v>Tháng 10/2018</v>
      </c>
      <c r="C60" s="567"/>
      <c r="D60" s="568" t="str">
        <f t="shared" si="29"/>
        <v>Cấp phối đá dăm loại 1</v>
      </c>
      <c r="E60" s="568"/>
      <c r="F60" s="568"/>
      <c r="G60" s="568"/>
      <c r="H60" s="569">
        <f t="shared" si="25"/>
        <v>0</v>
      </c>
      <c r="I60" s="569"/>
      <c r="J60" s="567"/>
      <c r="K60" s="570"/>
      <c r="L60">
        <v>10</v>
      </c>
      <c r="M60" s="101">
        <v>2018</v>
      </c>
      <c r="N60"/>
      <c r="O60" s="103">
        <f t="shared" si="26"/>
        <v>43374</v>
      </c>
      <c r="P60" s="103">
        <f t="shared" si="27"/>
        <v>43404</v>
      </c>
    </row>
    <row r="61" spans="1:16" s="5" customFormat="1" ht="17.100000000000001" customHeight="1">
      <c r="A61" s="104">
        <f t="shared" si="30"/>
        <v>16</v>
      </c>
      <c r="B61" s="567" t="str">
        <f t="shared" si="28"/>
        <v>Tháng 11/2018</v>
      </c>
      <c r="C61" s="567"/>
      <c r="D61" s="568" t="str">
        <f t="shared" si="29"/>
        <v>Cấp phối đá dăm loại 1</v>
      </c>
      <c r="E61" s="568"/>
      <c r="F61" s="568"/>
      <c r="G61" s="568"/>
      <c r="H61" s="569">
        <f t="shared" si="25"/>
        <v>0</v>
      </c>
      <c r="I61" s="569"/>
      <c r="J61" s="567"/>
      <c r="K61" s="570"/>
      <c r="L61">
        <v>11</v>
      </c>
      <c r="M61" s="101">
        <v>2018</v>
      </c>
      <c r="N61"/>
      <c r="O61" s="103">
        <f t="shared" si="26"/>
        <v>43405</v>
      </c>
      <c r="P61" s="103">
        <f t="shared" si="27"/>
        <v>43434</v>
      </c>
    </row>
    <row r="62" spans="1:16" s="5" customFormat="1" ht="17.100000000000001" customHeight="1">
      <c r="A62" s="104">
        <f t="shared" si="30"/>
        <v>17</v>
      </c>
      <c r="B62" s="567" t="str">
        <f t="shared" si="28"/>
        <v>Tháng 12/2018</v>
      </c>
      <c r="C62" s="567"/>
      <c r="D62" s="568" t="str">
        <f t="shared" si="29"/>
        <v>Cấp phối đá dăm loại 1</v>
      </c>
      <c r="E62" s="568"/>
      <c r="F62" s="568"/>
      <c r="G62" s="568"/>
      <c r="H62" s="569">
        <f t="shared" si="25"/>
        <v>0</v>
      </c>
      <c r="I62" s="569"/>
      <c r="J62" s="567"/>
      <c r="K62" s="570"/>
      <c r="L62">
        <v>12</v>
      </c>
      <c r="M62" s="101">
        <v>2018</v>
      </c>
      <c r="N62"/>
      <c r="O62" s="103">
        <f t="shared" si="26"/>
        <v>43435</v>
      </c>
      <c r="P62" s="103">
        <f t="shared" si="27"/>
        <v>43465</v>
      </c>
    </row>
    <row r="63" spans="1:16" s="5" customFormat="1" ht="17.100000000000001" customHeight="1">
      <c r="A63" s="104">
        <f t="shared" si="30"/>
        <v>18</v>
      </c>
      <c r="B63" s="567" t="str">
        <f t="shared" si="28"/>
        <v>Tháng 01/2019</v>
      </c>
      <c r="C63" s="567"/>
      <c r="D63" s="568" t="str">
        <f t="shared" si="29"/>
        <v>Cấp phối đá dăm loại 1</v>
      </c>
      <c r="E63" s="568"/>
      <c r="F63" s="568"/>
      <c r="G63" s="568"/>
      <c r="H63" s="569">
        <f t="shared" si="25"/>
        <v>0</v>
      </c>
      <c r="I63" s="569"/>
      <c r="J63" s="567"/>
      <c r="K63" s="570"/>
      <c r="L63">
        <v>1</v>
      </c>
      <c r="M63" s="101">
        <v>2019</v>
      </c>
      <c r="N63"/>
      <c r="O63" s="103">
        <f t="shared" si="26"/>
        <v>43466</v>
      </c>
      <c r="P63" s="103">
        <f t="shared" si="27"/>
        <v>43496</v>
      </c>
    </row>
    <row r="64" spans="1:16" s="5" customFormat="1" ht="17.100000000000001" customHeight="1">
      <c r="A64" s="104">
        <f t="shared" si="30"/>
        <v>19</v>
      </c>
      <c r="B64" s="567" t="str">
        <f t="shared" si="28"/>
        <v>Tháng 02/2019</v>
      </c>
      <c r="C64" s="567"/>
      <c r="D64" s="568" t="str">
        <f t="shared" si="29"/>
        <v>Cấp phối đá dăm loại 1</v>
      </c>
      <c r="E64" s="568"/>
      <c r="F64" s="568"/>
      <c r="G64" s="568"/>
      <c r="H64" s="569">
        <f>H23</f>
        <v>639.30999999999995</v>
      </c>
      <c r="I64" s="569"/>
      <c r="J64" s="567"/>
      <c r="K64" s="570"/>
      <c r="L64">
        <v>2</v>
      </c>
      <c r="M64" s="101">
        <v>2019</v>
      </c>
      <c r="N64"/>
      <c r="O64" s="103">
        <f t="shared" si="26"/>
        <v>43497</v>
      </c>
      <c r="P64" s="103">
        <f t="shared" si="27"/>
        <v>43524</v>
      </c>
    </row>
    <row r="65" spans="1:16" s="5" customFormat="1" ht="17.100000000000001" customHeight="1">
      <c r="A65" s="104">
        <f t="shared" si="30"/>
        <v>20</v>
      </c>
      <c r="B65" s="567" t="str">
        <f t="shared" si="28"/>
        <v>Tháng 03/2019</v>
      </c>
      <c r="C65" s="567"/>
      <c r="D65" s="568" t="str">
        <f t="shared" si="29"/>
        <v>Cấp phối đá dăm loại 1</v>
      </c>
      <c r="E65" s="568"/>
      <c r="F65" s="568"/>
      <c r="G65" s="568"/>
      <c r="H65" s="569">
        <f t="shared" si="25"/>
        <v>0</v>
      </c>
      <c r="I65" s="569"/>
      <c r="J65" s="567"/>
      <c r="K65" s="570"/>
      <c r="L65">
        <v>3</v>
      </c>
      <c r="M65" s="101">
        <v>2019</v>
      </c>
      <c r="N65"/>
      <c r="O65" s="103">
        <f t="shared" si="26"/>
        <v>43525</v>
      </c>
      <c r="P65" s="103">
        <f t="shared" si="27"/>
        <v>43555</v>
      </c>
    </row>
    <row r="66" spans="1:16" s="5" customFormat="1" ht="17.100000000000001" customHeight="1">
      <c r="A66" s="104">
        <f t="shared" si="30"/>
        <v>21</v>
      </c>
      <c r="B66" s="567" t="str">
        <f t="shared" si="28"/>
        <v>Tháng 04/2019</v>
      </c>
      <c r="C66" s="567"/>
      <c r="D66" s="568" t="str">
        <f t="shared" si="29"/>
        <v>Cấp phối đá dăm loại 1</v>
      </c>
      <c r="E66" s="568"/>
      <c r="F66" s="568"/>
      <c r="G66" s="568"/>
      <c r="H66" s="569">
        <f t="shared" si="25"/>
        <v>0</v>
      </c>
      <c r="I66" s="569"/>
      <c r="J66" s="567"/>
      <c r="K66" s="570"/>
      <c r="L66">
        <v>4</v>
      </c>
      <c r="M66" s="101">
        <v>2019</v>
      </c>
      <c r="N66"/>
      <c r="O66" s="103">
        <f t="shared" si="26"/>
        <v>43556</v>
      </c>
      <c r="P66" s="103">
        <f t="shared" si="27"/>
        <v>43585</v>
      </c>
    </row>
    <row r="67" spans="1:16" s="5" customFormat="1" ht="17.100000000000001" customHeight="1">
      <c r="A67" s="104">
        <f t="shared" si="30"/>
        <v>22</v>
      </c>
      <c r="B67" s="567" t="str">
        <f t="shared" si="28"/>
        <v>Tháng 05/2019</v>
      </c>
      <c r="C67" s="567"/>
      <c r="D67" s="568" t="str">
        <f t="shared" si="29"/>
        <v>Cấp phối đá dăm loại 1</v>
      </c>
      <c r="E67" s="568"/>
      <c r="F67" s="568"/>
      <c r="G67" s="568"/>
      <c r="H67" s="569">
        <f t="shared" si="25"/>
        <v>0</v>
      </c>
      <c r="I67" s="569"/>
      <c r="J67" s="567"/>
      <c r="K67" s="570"/>
      <c r="L67">
        <v>5</v>
      </c>
      <c r="M67" s="101">
        <v>2019</v>
      </c>
      <c r="N67"/>
      <c r="O67" s="103">
        <f t="shared" si="26"/>
        <v>43586</v>
      </c>
      <c r="P67" s="103">
        <f t="shared" si="27"/>
        <v>43616</v>
      </c>
    </row>
    <row r="68" spans="1:16" s="5" customFormat="1" ht="17.100000000000001" customHeight="1">
      <c r="A68" s="104">
        <f t="shared" si="30"/>
        <v>23</v>
      </c>
      <c r="B68" s="567" t="str">
        <f t="shared" si="28"/>
        <v>Tháng 06/2019</v>
      </c>
      <c r="C68" s="567"/>
      <c r="D68" s="568" t="str">
        <f t="shared" si="29"/>
        <v>Cấp phối đá dăm loại 1</v>
      </c>
      <c r="E68" s="568"/>
      <c r="F68" s="568"/>
      <c r="G68" s="568"/>
      <c r="H68" s="569">
        <f t="shared" si="25"/>
        <v>0</v>
      </c>
      <c r="I68" s="569"/>
      <c r="J68" s="567"/>
      <c r="K68" s="570"/>
      <c r="L68">
        <v>6</v>
      </c>
      <c r="M68" s="101">
        <v>2019</v>
      </c>
      <c r="N68"/>
      <c r="O68" s="103">
        <f t="shared" si="26"/>
        <v>43617</v>
      </c>
      <c r="P68" s="103">
        <f t="shared" si="27"/>
        <v>43646</v>
      </c>
    </row>
    <row r="69" spans="1:16" s="5" customFormat="1" ht="17.100000000000001" customHeight="1">
      <c r="A69" s="104">
        <f t="shared" si="30"/>
        <v>24</v>
      </c>
      <c r="B69" s="567" t="str">
        <f t="shared" si="28"/>
        <v>Tháng 07/2019</v>
      </c>
      <c r="C69" s="567"/>
      <c r="D69" s="568" t="str">
        <f t="shared" si="29"/>
        <v>Cấp phối đá dăm loại 1</v>
      </c>
      <c r="E69" s="568"/>
      <c r="F69" s="568"/>
      <c r="G69" s="568"/>
      <c r="H69" s="569">
        <f t="shared" si="25"/>
        <v>0</v>
      </c>
      <c r="I69" s="569"/>
      <c r="J69" s="567"/>
      <c r="K69" s="570"/>
      <c r="L69">
        <v>7</v>
      </c>
      <c r="M69" s="101">
        <v>2019</v>
      </c>
      <c r="N69"/>
      <c r="O69" s="103">
        <f t="shared" si="26"/>
        <v>43647</v>
      </c>
      <c r="P69" s="103">
        <f t="shared" si="27"/>
        <v>43677</v>
      </c>
    </row>
    <row r="70" spans="1:16" s="5" customFormat="1" ht="17.100000000000001" customHeight="1">
      <c r="A70" s="104">
        <f t="shared" si="30"/>
        <v>25</v>
      </c>
      <c r="B70" s="567" t="str">
        <f t="shared" si="28"/>
        <v>Tháng 08/2019</v>
      </c>
      <c r="C70" s="567"/>
      <c r="D70" s="568" t="str">
        <f t="shared" si="29"/>
        <v>Cấp phối đá dăm loại 1</v>
      </c>
      <c r="E70" s="568"/>
      <c r="F70" s="568"/>
      <c r="G70" s="568"/>
      <c r="H70" s="569">
        <f t="shared" ref="H70:H71" si="31">+SUMIFS($I$12:$I$35,$B$12:$B$35,"&gt;="&amp;$O70,$B$12:$B$35,"&lt;="&amp;$P70)</f>
        <v>0</v>
      </c>
      <c r="I70" s="569"/>
      <c r="J70" s="567"/>
      <c r="K70" s="570"/>
      <c r="L70">
        <v>8</v>
      </c>
      <c r="M70" s="101">
        <v>2019</v>
      </c>
      <c r="N70"/>
      <c r="O70" s="103">
        <f t="shared" si="26"/>
        <v>43678</v>
      </c>
      <c r="P70" s="103">
        <f t="shared" si="27"/>
        <v>43708</v>
      </c>
    </row>
    <row r="71" spans="1:16" s="5" customFormat="1" ht="17.100000000000001" customHeight="1">
      <c r="A71" s="104">
        <f t="shared" si="30"/>
        <v>26</v>
      </c>
      <c r="B71" s="616" t="str">
        <f t="shared" si="28"/>
        <v>Tháng 09/2019</v>
      </c>
      <c r="C71" s="616"/>
      <c r="D71" s="652" t="str">
        <f>D69</f>
        <v>Cấp phối đá dăm loại 1</v>
      </c>
      <c r="E71" s="652"/>
      <c r="F71" s="652"/>
      <c r="G71" s="652"/>
      <c r="H71" s="615">
        <f t="shared" si="31"/>
        <v>0</v>
      </c>
      <c r="I71" s="615"/>
      <c r="J71" s="616"/>
      <c r="K71" s="617"/>
      <c r="L71">
        <v>9</v>
      </c>
      <c r="M71" s="101">
        <v>2019</v>
      </c>
      <c r="N71"/>
      <c r="O71" s="103">
        <f>DATE(M71,L71,1)</f>
        <v>43709</v>
      </c>
      <c r="P71" s="103">
        <f>DATE(M71,L71+1,0)</f>
        <v>43738</v>
      </c>
    </row>
    <row r="72" spans="1:16" s="5" customFormat="1" ht="21.6" customHeight="1" thickBot="1">
      <c r="A72" s="618" t="s">
        <v>86</v>
      </c>
      <c r="B72" s="619"/>
      <c r="C72" s="619"/>
      <c r="D72" s="619"/>
      <c r="E72" s="619"/>
      <c r="F72" s="619"/>
      <c r="G72" s="620"/>
      <c r="H72" s="621">
        <f t="shared" ref="H72" si="32">SUM(H46:I71)</f>
        <v>639.30999999999995</v>
      </c>
      <c r="I72" s="622"/>
      <c r="J72" s="621"/>
      <c r="K72" s="622"/>
      <c r="L72"/>
      <c r="M72"/>
      <c r="N72"/>
      <c r="O72"/>
      <c r="P72"/>
    </row>
    <row r="73" spans="1:16" s="5" customFormat="1" ht="18" customHeight="1" thickTop="1" thickBot="1">
      <c r="A73" s="105"/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4"/>
      <c r="M73" s="4"/>
      <c r="N73" s="4"/>
      <c r="O73" s="4"/>
      <c r="P73" s="20"/>
    </row>
    <row r="74" spans="1:16" s="5" customFormat="1" ht="13.9" customHeight="1" thickTop="1">
      <c r="A74" s="647" t="s">
        <v>68</v>
      </c>
      <c r="B74" s="648"/>
      <c r="C74" s="648"/>
      <c r="D74" s="648"/>
      <c r="E74" s="648"/>
      <c r="F74" s="649" t="s">
        <v>69</v>
      </c>
      <c r="G74" s="649"/>
      <c r="H74" s="649"/>
      <c r="I74" s="650"/>
      <c r="J74" s="650"/>
      <c r="K74" s="651"/>
      <c r="L74" s="4"/>
      <c r="M74" s="4"/>
      <c r="N74" s="4"/>
      <c r="O74" s="4"/>
      <c r="P74" s="4"/>
    </row>
    <row r="75" spans="1:16" s="5" customFormat="1" ht="13.9" customHeight="1">
      <c r="A75" s="583" t="s">
        <v>5</v>
      </c>
      <c r="B75" s="584"/>
      <c r="C75" s="584"/>
      <c r="D75" s="584"/>
      <c r="E75" s="584"/>
      <c r="F75" s="585" t="s">
        <v>6</v>
      </c>
      <c r="G75" s="585"/>
      <c r="H75" s="585"/>
      <c r="I75" s="586"/>
      <c r="J75" s="586"/>
      <c r="K75" s="587"/>
      <c r="L75" s="4"/>
      <c r="M75" s="4"/>
      <c r="N75" s="4"/>
      <c r="O75" s="4"/>
      <c r="P75" s="4"/>
    </row>
    <row r="76" spans="1:16" s="5" customFormat="1" ht="13.9" customHeight="1">
      <c r="A76" s="583" t="s">
        <v>836</v>
      </c>
      <c r="B76" s="584"/>
      <c r="C76" s="584"/>
      <c r="D76" s="584"/>
      <c r="E76" s="584"/>
      <c r="F76" s="590" t="s">
        <v>837</v>
      </c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16" s="5" customFormat="1" ht="13.9" customHeight="1">
      <c r="A77" s="583"/>
      <c r="B77" s="584"/>
      <c r="C77" s="584"/>
      <c r="D77" s="584"/>
      <c r="E77" s="584"/>
      <c r="F77" s="590"/>
      <c r="G77" s="590"/>
      <c r="H77" s="590"/>
      <c r="I77" s="591"/>
      <c r="J77" s="591"/>
      <c r="K77" s="592"/>
      <c r="L77" s="4"/>
      <c r="M77" s="4"/>
      <c r="N77" s="4"/>
      <c r="O77" s="4"/>
      <c r="P77" s="4"/>
    </row>
    <row r="78" spans="1:16" s="5" customFormat="1" ht="13.9" customHeight="1">
      <c r="A78" s="583"/>
      <c r="B78" s="584"/>
      <c r="C78" s="584"/>
      <c r="D78" s="584"/>
      <c r="E78" s="584"/>
      <c r="F78" s="590"/>
      <c r="G78" s="590"/>
      <c r="H78" s="590"/>
      <c r="I78" s="591"/>
      <c r="J78" s="591"/>
      <c r="K78" s="592"/>
      <c r="L78" s="4"/>
      <c r="M78" s="4"/>
      <c r="N78" s="4"/>
      <c r="O78" s="4"/>
      <c r="P78" s="4"/>
    </row>
    <row r="79" spans="1:16" s="5" customFormat="1" ht="13.9" customHeight="1">
      <c r="A79" s="583"/>
      <c r="B79" s="584"/>
      <c r="C79" s="584"/>
      <c r="D79" s="584"/>
      <c r="E79" s="584"/>
      <c r="F79" s="590"/>
      <c r="G79" s="590"/>
      <c r="H79" s="590"/>
      <c r="I79" s="591"/>
      <c r="J79" s="591"/>
      <c r="K79" s="592"/>
      <c r="L79" s="4"/>
      <c r="M79" s="4"/>
      <c r="N79" s="4"/>
      <c r="O79" s="4"/>
      <c r="P79" s="4"/>
    </row>
    <row r="80" spans="1:16" s="5" customFormat="1" ht="13.9" customHeight="1">
      <c r="A80" s="583"/>
      <c r="B80" s="584"/>
      <c r="C80" s="584"/>
      <c r="D80" s="584"/>
      <c r="E80" s="584"/>
      <c r="F80" s="590"/>
      <c r="G80" s="590"/>
      <c r="H80" s="590"/>
      <c r="I80" s="591"/>
      <c r="J80" s="591"/>
      <c r="K80" s="592"/>
      <c r="L80" s="4"/>
      <c r="M80" s="4"/>
      <c r="N80" s="4"/>
      <c r="O80" s="4"/>
      <c r="P80" s="4"/>
    </row>
    <row r="81" spans="1:20" s="5" customFormat="1" ht="13.9" customHeight="1">
      <c r="A81" s="583"/>
      <c r="B81" s="584"/>
      <c r="C81" s="584"/>
      <c r="D81" s="584"/>
      <c r="E81" s="584"/>
      <c r="F81" s="590"/>
      <c r="G81" s="590"/>
      <c r="H81" s="590"/>
      <c r="I81" s="591"/>
      <c r="J81" s="591"/>
      <c r="K81" s="592"/>
      <c r="L81" s="4"/>
      <c r="M81" s="4"/>
      <c r="N81" s="4"/>
      <c r="O81" s="4"/>
      <c r="P81" s="4"/>
    </row>
    <row r="82" spans="1:20" s="5" customFormat="1" ht="13.9" customHeight="1" thickBot="1">
      <c r="A82" s="588"/>
      <c r="B82" s="589"/>
      <c r="C82" s="589"/>
      <c r="D82" s="589"/>
      <c r="E82" s="589"/>
      <c r="F82" s="593"/>
      <c r="G82" s="593"/>
      <c r="H82" s="593"/>
      <c r="I82" s="594"/>
      <c r="J82" s="594"/>
      <c r="K82" s="595"/>
      <c r="L82" s="4"/>
      <c r="M82" s="4"/>
      <c r="N82" s="4"/>
      <c r="O82" s="4"/>
      <c r="P82" s="4"/>
    </row>
    <row r="83" spans="1:20" s="5" customFormat="1" ht="15.75" thickTop="1">
      <c r="A83" s="4"/>
      <c r="B83" s="12"/>
      <c r="C83" s="10"/>
      <c r="D83" s="10"/>
      <c r="E83" s="10"/>
      <c r="F83" s="13"/>
      <c r="G83" s="13"/>
      <c r="H83" s="13"/>
      <c r="I83" s="13"/>
      <c r="J83" s="13"/>
      <c r="K83" s="4"/>
      <c r="L83" s="4"/>
      <c r="M83" s="4"/>
      <c r="N83" s="4"/>
      <c r="O83" s="4"/>
      <c r="P83" s="4"/>
      <c r="R83" s="4"/>
      <c r="S83" s="4"/>
      <c r="T83" s="4"/>
    </row>
  </sheetData>
  <mergeCells count="156">
    <mergeCell ref="B68:C68"/>
    <mergeCell ref="D68:G68"/>
    <mergeCell ref="H68:I68"/>
    <mergeCell ref="J68:K68"/>
    <mergeCell ref="B69:C69"/>
    <mergeCell ref="D69:G69"/>
    <mergeCell ref="H69:I69"/>
    <mergeCell ref="J69:K69"/>
    <mergeCell ref="A74:E74"/>
    <mergeCell ref="F74:K74"/>
    <mergeCell ref="A75:E75"/>
    <mergeCell ref="F75:K75"/>
    <mergeCell ref="A76:E82"/>
    <mergeCell ref="F76:K82"/>
    <mergeCell ref="B70:C70"/>
    <mergeCell ref="D70:G70"/>
    <mergeCell ref="H70:I70"/>
    <mergeCell ref="J70:K70"/>
    <mergeCell ref="A72:G72"/>
    <mergeCell ref="H72:I72"/>
    <mergeCell ref="J72:K72"/>
    <mergeCell ref="B71:C71"/>
    <mergeCell ref="D71:G71"/>
    <mergeCell ref="H71:I71"/>
    <mergeCell ref="J71:K71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A39:K39"/>
    <mergeCell ref="A42:D42"/>
    <mergeCell ref="A44:A45"/>
    <mergeCell ref="B44:C45"/>
    <mergeCell ref="D44:G45"/>
    <mergeCell ref="H44:I45"/>
    <mergeCell ref="J44:K4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I9:I11"/>
    <mergeCell ref="J9:J11"/>
    <mergeCell ref="K9:K11"/>
    <mergeCell ref="C12:E12"/>
    <mergeCell ref="C13:E13"/>
    <mergeCell ref="C14:E14"/>
    <mergeCell ref="A27:E33"/>
    <mergeCell ref="F27:K33"/>
    <mergeCell ref="A35:K35"/>
    <mergeCell ref="A36:K36"/>
    <mergeCell ref="A37:K37"/>
    <mergeCell ref="A38:K38"/>
    <mergeCell ref="C15:E15"/>
    <mergeCell ref="C22:E22"/>
    <mergeCell ref="A23:E23"/>
    <mergeCell ref="A25:E25"/>
    <mergeCell ref="F25:K25"/>
    <mergeCell ref="A26:E26"/>
    <mergeCell ref="F26:K26"/>
    <mergeCell ref="C16:E16"/>
    <mergeCell ref="C17:E17"/>
    <mergeCell ref="C18:E18"/>
    <mergeCell ref="C19:E19"/>
    <mergeCell ref="C20:E20"/>
    <mergeCell ref="C21:E21"/>
    <mergeCell ref="K12:K2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34" max="10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80">
    <tabColor rgb="FF92D050"/>
  </sheetPr>
  <dimension ref="A1:T74"/>
  <sheetViews>
    <sheetView view="pageBreakPreview" topLeftCell="A7" zoomScaleSheetLayoutView="100" workbookViewId="0">
      <selection activeCell="F12" sqref="F1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C.II.2.1. SX thép đà giáo mố A1, A2 (Luân chuyển)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1</v>
      </c>
      <c r="N6" s="245" t="str">
        <f>THKLQT!C159</f>
        <v>SX thép đà giáo mố A1, A2 (Luân chuyển)</v>
      </c>
      <c r="Q6" s="17"/>
    </row>
    <row r="7" spans="1:20" s="178" customFormat="1" ht="18.75" customHeight="1">
      <c r="A7" s="634">
        <f>I14</f>
        <v>54.67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THKLQT!D159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405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43294</v>
      </c>
      <c r="C12" s="571" t="str">
        <f>T12</f>
        <v>SX thép đà giáo mố A1, A2 (Luân chuyển) .</v>
      </c>
      <c r="D12" s="572"/>
      <c r="E12" s="573"/>
      <c r="F12" s="2">
        <f>P12</f>
        <v>54.67</v>
      </c>
      <c r="G12" s="1">
        <f>P12</f>
        <v>54.67</v>
      </c>
      <c r="H12" s="297">
        <f>P12</f>
        <v>54.67</v>
      </c>
      <c r="I12" s="107">
        <f>P12</f>
        <v>54.67</v>
      </c>
      <c r="J12" s="107">
        <f>P12</f>
        <v>54.67</v>
      </c>
      <c r="K12" s="409" t="s">
        <v>677</v>
      </c>
      <c r="N12" s="118"/>
      <c r="O12" s="118" t="s">
        <v>773</v>
      </c>
      <c r="P12" s="88">
        <v>54.67</v>
      </c>
      <c r="Q12" s="89">
        <v>43294</v>
      </c>
      <c r="R12" s="88"/>
      <c r="S12" s="88" t="e">
        <f>VLOOKUP($S$11,hamchuigoi3,M12,0)</f>
        <v>#VALUE!</v>
      </c>
      <c r="T12" s="3" t="str">
        <f>$N$6&amp;" "&amp;O12</f>
        <v>SX thép đà giáo mố A1, A2 (Luân chuyển) .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54.67</v>
      </c>
      <c r="G14" s="79">
        <f>ROUND(SUM(G12:G13),2)</f>
        <v>54.67</v>
      </c>
      <c r="H14" s="79">
        <f>ROUND(SUM(H12:H13),2)</f>
        <v>54.67</v>
      </c>
      <c r="I14" s="79">
        <f>ROUND(SUM(I12:I13),2)</f>
        <v>54.67</v>
      </c>
      <c r="J14" s="79">
        <f>'[5]PKTT ĐỢT 7'!$AA$392</f>
        <v>98.8</v>
      </c>
      <c r="K14" s="80"/>
      <c r="N14" s="118"/>
      <c r="O14" s="118"/>
      <c r="P14" s="90">
        <f>SUM(P12:P12)</f>
        <v>54.67</v>
      </c>
    </row>
    <row r="15" spans="1:20" s="175" customFormat="1" ht="18" customHeight="1" thickTop="1" thickBot="1">
      <c r="A15" s="406"/>
      <c r="B15" s="406"/>
      <c r="C15" s="406"/>
      <c r="D15" s="406"/>
      <c r="E15" s="406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406"/>
      <c r="B25" s="406"/>
      <c r="C25" s="406"/>
      <c r="D25" s="406"/>
      <c r="E25" s="406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407" t="str">
        <f>A5</f>
        <v>Hạng mục C.II.2. PHỤ TRỢ THI CÔNG</v>
      </c>
      <c r="B31" s="408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407" t="str">
        <f>A6</f>
        <v>Mục C.II.2.1. SX thép đà giáo mố A1, A2 (Luân chuyển)</v>
      </c>
      <c r="B32" s="408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54.67</v>
      </c>
      <c r="B33" s="640"/>
      <c r="C33" s="640"/>
      <c r="D33" s="640"/>
      <c r="E33" s="131" t="str">
        <f>E7</f>
        <v>(T)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SX thép đà giáo mố A1, A2 (Luân chuyển)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SX thép đà giáo mố A1, A2 (Luân chuyển)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SX thép đà giáo mố A1, A2 (Luân chuyển)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SX thép đà giáo mố A1, A2 (Luân chuyển)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SX thép đà giáo mố A1, A2 (Luân chuyển)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SX thép đà giáo mố A1, A2 (Luân chuyển)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SX thép đà giáo mố A1, A2 (Luân chuyển)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SX thép đà giáo mố A1, A2 (Luân chuyển)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SX thép đà giáo mố A1, A2 (Luân chuyển)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SX thép đà giáo mố A1, A2 (Luân chuyển)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SX thép đà giáo mố A1, A2 (Luân chuyển)</v>
      </c>
      <c r="E47" s="568"/>
      <c r="F47" s="568"/>
      <c r="G47" s="568"/>
      <c r="H47" s="569">
        <f t="shared" si="0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SX thép đà giáo mố A1, A2 (Luân chuyển)</v>
      </c>
      <c r="E48" s="568"/>
      <c r="F48" s="568"/>
      <c r="G48" s="568"/>
      <c r="H48" s="569">
        <f t="shared" si="0"/>
        <v>54.67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SX thép đà giáo mố A1, A2 (Luân chuyển)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SX thép đà giáo mố A1, A2 (Luân chuyển)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SX thép đà giáo mố A1, A2 (Luân chuyển)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SX thép đà giáo mố A1, A2 (Luân chuyển)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SX thép đà giáo mố A1, A2 (Luân chuyển)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SX thép đà giáo mố A1, A2 (Luân chuyển)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SX thép đà giáo mố A1, A2 (Luân chuyển)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SX thép đà giáo mố A1, A2 (Luân chuyển)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SX thép đà giáo mố A1, A2 (Luân chuyển)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SX thép đà giáo mố A1, A2 (Luân chuyển)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SX thép đà giáo mố A1, A2 (Luân chuyển)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SX thép đà giáo mố A1, A2 (Luân chuyển)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SX thép đà giáo mố A1, A2 (Luân chuyển)</v>
      </c>
      <c r="E61" s="568"/>
      <c r="F61" s="568"/>
      <c r="G61" s="568"/>
      <c r="H61" s="569">
        <f>+SUMIFS($I$12:$I$32,$B$12:$B$32,"&gt;="&amp;$O61,$B$12:$B$32,"&lt;="&amp;$P61)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SX thép đà giáo mố A1, A2 (Luân chuyển)</v>
      </c>
      <c r="E62" s="652"/>
      <c r="F62" s="652"/>
      <c r="G62" s="652"/>
      <c r="H62" s="615">
        <f>+SUMIFS($I$12:$I$32,$B$12:$B$32,"&gt;="&amp;$O62,$B$12:$B$32,"&lt;="&amp;$P62)</f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6">SUM(H37:I62)</f>
        <v>54.67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9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8:E24"/>
    <mergeCell ref="F18:K24"/>
    <mergeCell ref="A26:K26"/>
    <mergeCell ref="A27:K27"/>
    <mergeCell ref="A28:K28"/>
    <mergeCell ref="A29:K29"/>
    <mergeCell ref="C13:E13"/>
    <mergeCell ref="A14:E14"/>
    <mergeCell ref="A16:E16"/>
    <mergeCell ref="F16:K16"/>
    <mergeCell ref="A17:E17"/>
    <mergeCell ref="F17:K17"/>
    <mergeCell ref="B37:C37"/>
    <mergeCell ref="D37:G37"/>
    <mergeCell ref="H37:I37"/>
    <mergeCell ref="J37:K37"/>
    <mergeCell ref="B38:C38"/>
    <mergeCell ref="D38:G38"/>
    <mergeCell ref="H38:I38"/>
    <mergeCell ref="J38:K38"/>
    <mergeCell ref="A30:K30"/>
    <mergeCell ref="A33:D33"/>
    <mergeCell ref="A35:A36"/>
    <mergeCell ref="B35:C36"/>
    <mergeCell ref="D35:G36"/>
    <mergeCell ref="H35:I36"/>
    <mergeCell ref="J35:K36"/>
    <mergeCell ref="B41:C41"/>
    <mergeCell ref="D41:G41"/>
    <mergeCell ref="H41:I41"/>
    <mergeCell ref="J41:K41"/>
    <mergeCell ref="B42:C42"/>
    <mergeCell ref="D42:G42"/>
    <mergeCell ref="H42:I42"/>
    <mergeCell ref="J42:K42"/>
    <mergeCell ref="B39:C39"/>
    <mergeCell ref="D39:G39"/>
    <mergeCell ref="H39:I39"/>
    <mergeCell ref="J39:K39"/>
    <mergeCell ref="B40:C40"/>
    <mergeCell ref="D40:G40"/>
    <mergeCell ref="H40:I40"/>
    <mergeCell ref="J40:K40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81">
    <tabColor rgb="FF92D050"/>
  </sheetPr>
  <dimension ref="A1:T75"/>
  <sheetViews>
    <sheetView view="pageBreakPreview" topLeftCell="A46" zoomScaleSheetLayoutView="100" workbookViewId="0">
      <selection activeCell="F14" sqref="F14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C.II.2.2. KH VLC thép đà giáo (2%*2 tháng+7%*2)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2</v>
      </c>
      <c r="N6" s="245" t="str">
        <f>THKLQT!C160</f>
        <v>KH VLC thép đà giáo (2%*2 tháng+7%*2)</v>
      </c>
      <c r="Q6" s="17"/>
    </row>
    <row r="7" spans="1:20" s="178" customFormat="1" ht="18.75" customHeight="1">
      <c r="A7" s="634">
        <f>I15</f>
        <v>54.67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THKLQT!D160</f>
        <v>T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405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41.25" customHeight="1" outlineLevel="2">
      <c r="A12" s="81">
        <f>SUBTOTAL(103,$B$12:B12)</f>
        <v>1</v>
      </c>
      <c r="B12" s="78">
        <f>Q12</f>
        <v>43351</v>
      </c>
      <c r="C12" s="571" t="str">
        <f>T12</f>
        <v>KH VLC thép đà giáo (2%*2 tháng+7%*2) từ lắp đà giáo bệ mố A2 ngày 21/7/2018 đến tháo đà giáo bệ mố A1 ngày 8/9/2018</v>
      </c>
      <c r="D12" s="572"/>
      <c r="E12" s="573"/>
      <c r="F12" s="2">
        <f>P12</f>
        <v>17.93</v>
      </c>
      <c r="G12" s="1">
        <f>P12</f>
        <v>17.93</v>
      </c>
      <c r="H12" s="381">
        <f>P12</f>
        <v>17.93</v>
      </c>
      <c r="I12" s="107">
        <f>P12</f>
        <v>17.93</v>
      </c>
      <c r="J12" s="107">
        <f>P12</f>
        <v>17.93</v>
      </c>
      <c r="K12" s="700" t="s">
        <v>677</v>
      </c>
      <c r="N12" s="118"/>
      <c r="O12" s="118" t="s">
        <v>781</v>
      </c>
      <c r="P12" s="88">
        <v>17.93</v>
      </c>
      <c r="Q12" s="89">
        <v>43351</v>
      </c>
      <c r="R12" s="88"/>
      <c r="S12" s="88" t="e">
        <f>VLOOKUP($S$11,hamchuigoi3,M12,0)</f>
        <v>#VALUE!</v>
      </c>
      <c r="T12" s="3" t="str">
        <f>$N$6&amp;" "&amp;O12</f>
        <v>KH VLC thép đà giáo (2%*2 tháng+7%*2) từ lắp đà giáo bệ mố A2 ngày 21/7/2018 đến tháo đà giáo bệ mố A1 ngày 8/9/2018</v>
      </c>
    </row>
    <row r="13" spans="1:20" ht="42" customHeight="1" outlineLevel="2">
      <c r="A13" s="81">
        <f>SUBTOTAL(103,$B$12:B13)</f>
        <v>2</v>
      </c>
      <c r="B13" s="78">
        <f t="shared" ref="B13" si="0">Q13</f>
        <v>43399</v>
      </c>
      <c r="C13" s="571" t="str">
        <f t="shared" ref="C13" si="1">T13</f>
        <v>KH VLC thép đà giáo (2%*2 tháng+7%*2) từ lắp đà giáo thân mố A2 ngày 29/07/2018 đến tháo đà giáo thân mố A1 ngày 26/10/2018</v>
      </c>
      <c r="D13" s="572"/>
      <c r="E13" s="573"/>
      <c r="F13" s="2">
        <f>P13-2.72</f>
        <v>36.74</v>
      </c>
      <c r="G13" s="1">
        <f t="shared" ref="G13" si="2">P13</f>
        <v>39.46</v>
      </c>
      <c r="H13" s="381">
        <f t="shared" ref="H13" si="3">P13</f>
        <v>39.46</v>
      </c>
      <c r="I13" s="107">
        <f>P13-2.72</f>
        <v>36.74</v>
      </c>
      <c r="J13" s="107">
        <f t="shared" ref="J13" si="4">P13</f>
        <v>39.46</v>
      </c>
      <c r="K13" s="701"/>
      <c r="N13" s="118"/>
      <c r="O13" s="118" t="s">
        <v>780</v>
      </c>
      <c r="P13" s="88">
        <v>39.46</v>
      </c>
      <c r="Q13" s="89">
        <v>43399</v>
      </c>
      <c r="R13" s="88"/>
      <c r="S13" s="88" t="e">
        <f>VLOOKUP($S$11,hamchuigoi3,M13,0)</f>
        <v>#VALUE!</v>
      </c>
      <c r="T13" s="3" t="str">
        <f t="shared" ref="T13" si="5">$N$6&amp;" "&amp;O13</f>
        <v>KH VLC thép đà giáo (2%*2 tháng+7%*2) từ lắp đà giáo thân mố A2 ngày 29/07/2018 đến tháo đà giáo thân mố A1 ngày 26/10/2018</v>
      </c>
    </row>
    <row r="14" spans="1:20" ht="14.25" outlineLevel="2">
      <c r="A14" s="81"/>
      <c r="B14" s="78"/>
      <c r="C14" s="571"/>
      <c r="D14" s="572"/>
      <c r="E14" s="573"/>
      <c r="F14" s="27"/>
      <c r="G14" s="33"/>
      <c r="H14" s="31"/>
      <c r="I14" s="107"/>
      <c r="J14" s="107"/>
      <c r="K14" s="82"/>
      <c r="N14" s="118"/>
      <c r="O14" s="118"/>
      <c r="P14" s="88"/>
      <c r="Q14" s="89"/>
      <c r="R14" s="88"/>
      <c r="S14" s="88"/>
      <c r="T14" s="3"/>
    </row>
    <row r="15" spans="1:20" thickBot="1">
      <c r="A15" s="574" t="s">
        <v>4</v>
      </c>
      <c r="B15" s="575"/>
      <c r="C15" s="575"/>
      <c r="D15" s="575"/>
      <c r="E15" s="575"/>
      <c r="F15" s="79">
        <v>54.67</v>
      </c>
      <c r="G15" s="79">
        <f>+F15</f>
        <v>54.67</v>
      </c>
      <c r="H15" s="79">
        <f>ROUND(SUM(H12:H14),2)</f>
        <v>57.39</v>
      </c>
      <c r="I15" s="79">
        <f>+G15</f>
        <v>54.67</v>
      </c>
      <c r="J15" s="79">
        <f>'[5]PKTT ĐỢT 7'!$AA$392</f>
        <v>98.8</v>
      </c>
      <c r="K15" s="80"/>
      <c r="N15" s="118">
        <f>+H15-I15</f>
        <v>2.7199999999999989</v>
      </c>
      <c r="O15" s="118"/>
      <c r="P15" s="90">
        <f>SUM(P12:P12)</f>
        <v>17.93</v>
      </c>
    </row>
    <row r="16" spans="1:20" s="175" customFormat="1" ht="18" customHeight="1" thickTop="1" thickBot="1">
      <c r="A16" s="406"/>
      <c r="B16" s="406"/>
      <c r="C16" s="406"/>
      <c r="D16" s="406"/>
      <c r="E16" s="406"/>
      <c r="F16" s="116"/>
      <c r="G16" s="116"/>
      <c r="H16" s="116"/>
      <c r="I16" s="116"/>
      <c r="J16" s="116"/>
      <c r="K16" s="117"/>
      <c r="L16" s="4"/>
      <c r="M16" s="4"/>
      <c r="N16" s="118"/>
      <c r="O16" s="118"/>
      <c r="P16" s="119"/>
      <c r="Q16" s="120"/>
      <c r="R16" s="120"/>
      <c r="S16" s="120"/>
      <c r="T16" s="121"/>
    </row>
    <row r="17" spans="1:20" s="5" customFormat="1" ht="13.9" customHeight="1" thickTop="1">
      <c r="A17" s="578" t="s">
        <v>68</v>
      </c>
      <c r="B17" s="579"/>
      <c r="C17" s="579"/>
      <c r="D17" s="579"/>
      <c r="E17" s="579"/>
      <c r="F17" s="580" t="s">
        <v>69</v>
      </c>
      <c r="G17" s="580"/>
      <c r="H17" s="580"/>
      <c r="I17" s="581"/>
      <c r="J17" s="581"/>
      <c r="K17" s="582"/>
      <c r="L17" s="4"/>
      <c r="M17" s="4"/>
      <c r="N17" s="4"/>
      <c r="O17" s="4"/>
      <c r="P17" s="4"/>
    </row>
    <row r="18" spans="1:20" s="5" customFormat="1" ht="13.9" customHeight="1">
      <c r="A18" s="583" t="s">
        <v>5</v>
      </c>
      <c r="B18" s="584"/>
      <c r="C18" s="584"/>
      <c r="D18" s="584"/>
      <c r="E18" s="584"/>
      <c r="F18" s="585" t="s">
        <v>6</v>
      </c>
      <c r="G18" s="585"/>
      <c r="H18" s="585"/>
      <c r="I18" s="586"/>
      <c r="J18" s="586"/>
      <c r="K18" s="587"/>
      <c r="L18" s="4"/>
      <c r="M18" s="4"/>
      <c r="N18" s="4"/>
      <c r="O18" s="4"/>
      <c r="P18" s="4"/>
    </row>
    <row r="19" spans="1:20" s="5" customFormat="1" ht="13.9" customHeight="1">
      <c r="A19" s="583" t="s">
        <v>836</v>
      </c>
      <c r="B19" s="584"/>
      <c r="C19" s="584"/>
      <c r="D19" s="584"/>
      <c r="E19" s="584"/>
      <c r="F19" s="590" t="s">
        <v>837</v>
      </c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 thickBot="1">
      <c r="A25" s="588"/>
      <c r="B25" s="589"/>
      <c r="C25" s="589"/>
      <c r="D25" s="589"/>
      <c r="E25" s="589"/>
      <c r="F25" s="593"/>
      <c r="G25" s="593"/>
      <c r="H25" s="593"/>
      <c r="I25" s="594"/>
      <c r="J25" s="594"/>
      <c r="K25" s="595"/>
      <c r="L25" s="4"/>
      <c r="M25" s="4"/>
      <c r="N25" s="4"/>
      <c r="O25" s="4"/>
      <c r="P25" s="4"/>
    </row>
    <row r="26" spans="1:20" s="175" customFormat="1" ht="18" customHeight="1" thickTop="1">
      <c r="A26" s="406"/>
      <c r="B26" s="406"/>
      <c r="C26" s="406"/>
      <c r="D26" s="406"/>
      <c r="E26" s="406"/>
      <c r="F26" s="116"/>
      <c r="G26" s="116"/>
      <c r="H26" s="116"/>
      <c r="I26" s="116"/>
      <c r="J26" s="116"/>
      <c r="K26" s="117"/>
      <c r="L26" s="118"/>
      <c r="M26" s="118"/>
      <c r="N26" s="118"/>
      <c r="O26" s="118"/>
      <c r="P26" s="119"/>
      <c r="Q26" s="120"/>
      <c r="R26" s="120"/>
      <c r="S26" s="120"/>
      <c r="T26" s="121"/>
    </row>
    <row r="27" spans="1:20" s="111" customFormat="1" ht="48" customHeight="1">
      <c r="A27" s="596" t="s">
        <v>87</v>
      </c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08"/>
      <c r="M27" s="109"/>
      <c r="N27" s="110"/>
    </row>
    <row r="28" spans="1:20" s="112" customFormat="1" ht="18" customHeight="1">
      <c r="A28" s="597" t="s">
        <v>599</v>
      </c>
      <c r="B28" s="597"/>
      <c r="C28" s="597"/>
      <c r="D28" s="597"/>
      <c r="E28" s="597"/>
      <c r="F28" s="597"/>
      <c r="G28" s="597"/>
      <c r="H28" s="597"/>
      <c r="I28" s="597"/>
      <c r="J28" s="597"/>
      <c r="K28" s="597"/>
    </row>
    <row r="29" spans="1:20" s="175" customFormat="1" ht="20.100000000000001" customHeight="1">
      <c r="A29" s="598" t="s">
        <v>90</v>
      </c>
      <c r="B29" s="598"/>
      <c r="C29" s="598"/>
      <c r="D29" s="598"/>
      <c r="E29" s="598"/>
      <c r="F29" s="598"/>
      <c r="G29" s="598"/>
      <c r="H29" s="598"/>
      <c r="I29" s="598"/>
      <c r="J29" s="598"/>
      <c r="K29" s="598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599" t="s">
        <v>91</v>
      </c>
      <c r="B30" s="599"/>
      <c r="C30" s="599"/>
      <c r="D30" s="599"/>
      <c r="E30" s="599"/>
      <c r="F30" s="599"/>
      <c r="G30" s="599"/>
      <c r="H30" s="599"/>
      <c r="I30" s="599"/>
      <c r="J30" s="599"/>
      <c r="K30" s="599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600" t="str">
        <f>A4</f>
        <v>PHẦN C.: CẦU VƯỢT</v>
      </c>
      <c r="B31" s="601"/>
      <c r="C31" s="601"/>
      <c r="D31" s="601"/>
      <c r="E31" s="601"/>
      <c r="F31" s="601"/>
      <c r="G31" s="601"/>
      <c r="H31" s="601"/>
      <c r="I31" s="601"/>
      <c r="J31" s="601"/>
      <c r="K31" s="602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407" t="str">
        <f>A5</f>
        <v>Hạng mục C.II.2. PHỤ TRỢ THI CÔNG</v>
      </c>
      <c r="B32" s="408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407" t="str">
        <f>A6</f>
        <v>Mục C.II.2.2. KH VLC thép đà giáo (2%*2 tháng+7%*2)</v>
      </c>
      <c r="B33" s="408"/>
      <c r="C33" s="127"/>
      <c r="D33" s="127"/>
      <c r="E33" s="128"/>
      <c r="F33" s="129"/>
      <c r="G33" s="129"/>
      <c r="H33" s="129"/>
      <c r="I33" s="129"/>
      <c r="J33" s="129"/>
      <c r="K33" s="130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639">
        <f>A7</f>
        <v>54.67</v>
      </c>
      <c r="B34" s="640"/>
      <c r="C34" s="640"/>
      <c r="D34" s="640"/>
      <c r="E34" s="131" t="str">
        <f>E7</f>
        <v>(T)</v>
      </c>
      <c r="F34" s="132"/>
      <c r="G34" s="132"/>
      <c r="H34" s="132"/>
      <c r="I34" s="132"/>
      <c r="J34" s="132"/>
      <c r="K34" s="133"/>
      <c r="L34" s="173"/>
      <c r="M34" s="135"/>
      <c r="N34" s="174"/>
      <c r="P34" s="174"/>
    </row>
    <row r="35" spans="1:20" s="5" customFormat="1" ht="13.5" customHeight="1" thickBot="1">
      <c r="A35" s="28"/>
      <c r="B35" s="28"/>
      <c r="C35" s="28"/>
      <c r="D35" s="28"/>
      <c r="E35" s="28"/>
      <c r="F35" s="30"/>
      <c r="G35" s="30"/>
      <c r="H35" s="30"/>
      <c r="I35" s="30"/>
      <c r="J35" s="30"/>
      <c r="K35" s="8"/>
      <c r="L35" s="23"/>
      <c r="M35" s="9"/>
      <c r="N35" s="4"/>
      <c r="O35" s="4"/>
      <c r="P35" s="4"/>
      <c r="R35" s="4"/>
      <c r="S35" s="4"/>
      <c r="T35" s="4"/>
    </row>
    <row r="36" spans="1:20" s="5" customFormat="1" ht="21.6" customHeight="1" thickTop="1">
      <c r="A36" s="576" t="s">
        <v>3</v>
      </c>
      <c r="B36" s="641" t="s">
        <v>84</v>
      </c>
      <c r="C36" s="641"/>
      <c r="D36" s="643" t="s">
        <v>96</v>
      </c>
      <c r="E36" s="643"/>
      <c r="F36" s="643"/>
      <c r="G36" s="643"/>
      <c r="H36" s="641" t="s">
        <v>89</v>
      </c>
      <c r="I36" s="641"/>
      <c r="J36" s="641" t="s">
        <v>85</v>
      </c>
      <c r="K36" s="645"/>
      <c r="L36"/>
      <c r="M36" s="94"/>
      <c r="N36" s="94"/>
      <c r="O36" s="95"/>
      <c r="P36" s="96"/>
    </row>
    <row r="37" spans="1:20" s="5" customFormat="1" ht="21.6" customHeight="1">
      <c r="A37" s="577"/>
      <c r="B37" s="642"/>
      <c r="C37" s="642"/>
      <c r="D37" s="644"/>
      <c r="E37" s="644"/>
      <c r="F37" s="644"/>
      <c r="G37" s="644"/>
      <c r="H37" s="642"/>
      <c r="I37" s="642"/>
      <c r="J37" s="642"/>
      <c r="K37" s="646"/>
      <c r="L37"/>
      <c r="M37" s="97"/>
      <c r="N37" s="97"/>
      <c r="O37" s="98"/>
      <c r="P37" s="99"/>
    </row>
    <row r="38" spans="1:20" s="5" customFormat="1" ht="17.100000000000001" customHeight="1">
      <c r="A38" s="100">
        <v>1</v>
      </c>
      <c r="B38" s="623" t="str">
        <f>"Tháng "&amp;IF(L38&lt;10,0&amp;L38&amp;"/"&amp;M38,L38&amp;"/"&amp;M38)</f>
        <v>Tháng 08/2017</v>
      </c>
      <c r="C38" s="623"/>
      <c r="D38" s="624" t="str">
        <f>N6</f>
        <v>KH VLC thép đà giáo (2%*2 tháng+7%*2)</v>
      </c>
      <c r="E38" s="624"/>
      <c r="F38" s="624"/>
      <c r="G38" s="624"/>
      <c r="H38" s="625">
        <f t="shared" ref="H38:H61" si="6">+SUMIFS($I$12:$I$14,$B$12:$B$14,"&gt;="&amp;$O38,$B$12:$B$14,"&lt;="&amp;$P38)</f>
        <v>0</v>
      </c>
      <c r="I38" s="625"/>
      <c r="J38" s="623"/>
      <c r="K38" s="626"/>
      <c r="L38">
        <v>8</v>
      </c>
      <c r="M38" s="101">
        <v>2017</v>
      </c>
      <c r="N38" s="97"/>
      <c r="O38" s="103">
        <f t="shared" ref="O38:O62" si="7">DATE(M38,L38,1)</f>
        <v>42948</v>
      </c>
      <c r="P38" s="103">
        <f t="shared" ref="P38:P62" si="8">DATE(M38,L38+1,0)</f>
        <v>42978</v>
      </c>
    </row>
    <row r="39" spans="1:20" s="5" customFormat="1" ht="17.100000000000001" customHeight="1">
      <c r="A39" s="104">
        <v>2</v>
      </c>
      <c r="B39" s="567" t="str">
        <f t="shared" ref="B39:B63" si="9">"Tháng "&amp;IF(L39&lt;10,0&amp;L39&amp;"/"&amp;M39,L39&amp;"/"&amp;M39)</f>
        <v>Tháng 09/2017</v>
      </c>
      <c r="C39" s="567"/>
      <c r="D39" s="568" t="str">
        <f>D38</f>
        <v>KH VLC thép đà giáo (2%*2 tháng+7%*2)</v>
      </c>
      <c r="E39" s="568"/>
      <c r="F39" s="568"/>
      <c r="G39" s="568"/>
      <c r="H39" s="569">
        <f t="shared" si="6"/>
        <v>0</v>
      </c>
      <c r="I39" s="569"/>
      <c r="J39" s="567"/>
      <c r="K39" s="570"/>
      <c r="L39">
        <v>9</v>
      </c>
      <c r="M39" s="101">
        <v>2017</v>
      </c>
      <c r="N39"/>
      <c r="O39" s="103">
        <f t="shared" si="7"/>
        <v>42979</v>
      </c>
      <c r="P39" s="103">
        <f t="shared" si="8"/>
        <v>43008</v>
      </c>
    </row>
    <row r="40" spans="1:20" s="5" customFormat="1" ht="17.100000000000001" customHeight="1">
      <c r="A40" s="104">
        <f>A39+1</f>
        <v>3</v>
      </c>
      <c r="B40" s="567" t="str">
        <f t="shared" si="9"/>
        <v>Tháng 10/2017</v>
      </c>
      <c r="C40" s="567"/>
      <c r="D40" s="568" t="str">
        <f t="shared" ref="D40:D62" si="10">D39</f>
        <v>KH VLC thép đà giáo (2%*2 tháng+7%*2)</v>
      </c>
      <c r="E40" s="568"/>
      <c r="F40" s="568"/>
      <c r="G40" s="568"/>
      <c r="H40" s="569">
        <f t="shared" si="6"/>
        <v>0</v>
      </c>
      <c r="I40" s="569"/>
      <c r="J40" s="567"/>
      <c r="K40" s="570"/>
      <c r="L40">
        <v>10</v>
      </c>
      <c r="M40" s="101">
        <v>2017</v>
      </c>
      <c r="N40"/>
      <c r="O40" s="103">
        <f t="shared" si="7"/>
        <v>43009</v>
      </c>
      <c r="P40" s="103">
        <f t="shared" si="8"/>
        <v>43039</v>
      </c>
    </row>
    <row r="41" spans="1:20" s="5" customFormat="1" ht="17.100000000000001" customHeight="1">
      <c r="A41" s="104">
        <f t="shared" ref="A41:A63" si="11">A40+1</f>
        <v>4</v>
      </c>
      <c r="B41" s="567" t="str">
        <f t="shared" si="9"/>
        <v>Tháng 11/2017</v>
      </c>
      <c r="C41" s="567"/>
      <c r="D41" s="568" t="str">
        <f t="shared" si="10"/>
        <v>KH VLC thép đà giáo (2%*2 tháng+7%*2)</v>
      </c>
      <c r="E41" s="568"/>
      <c r="F41" s="568"/>
      <c r="G41" s="568"/>
      <c r="H41" s="569">
        <f t="shared" si="6"/>
        <v>0</v>
      </c>
      <c r="I41" s="569"/>
      <c r="J41" s="567"/>
      <c r="K41" s="570"/>
      <c r="L41">
        <v>11</v>
      </c>
      <c r="M41" s="101">
        <v>2017</v>
      </c>
      <c r="N41"/>
      <c r="O41" s="103">
        <f t="shared" si="7"/>
        <v>43040</v>
      </c>
      <c r="P41" s="103">
        <f t="shared" si="8"/>
        <v>43069</v>
      </c>
    </row>
    <row r="42" spans="1:20" s="5" customFormat="1" ht="17.100000000000001" customHeight="1">
      <c r="A42" s="104">
        <f t="shared" si="11"/>
        <v>5</v>
      </c>
      <c r="B42" s="567" t="str">
        <f t="shared" si="9"/>
        <v>Tháng 12/2017</v>
      </c>
      <c r="C42" s="567"/>
      <c r="D42" s="568" t="str">
        <f t="shared" si="10"/>
        <v>KH VLC thép đà giáo (2%*2 tháng+7%*2)</v>
      </c>
      <c r="E42" s="568"/>
      <c r="F42" s="568"/>
      <c r="G42" s="568"/>
      <c r="H42" s="569">
        <f t="shared" si="6"/>
        <v>0</v>
      </c>
      <c r="I42" s="569"/>
      <c r="J42" s="567"/>
      <c r="K42" s="570"/>
      <c r="L42">
        <v>12</v>
      </c>
      <c r="M42" s="101">
        <v>2017</v>
      </c>
      <c r="N42"/>
      <c r="O42" s="103">
        <f t="shared" si="7"/>
        <v>43070</v>
      </c>
      <c r="P42" s="103">
        <f t="shared" si="8"/>
        <v>43100</v>
      </c>
    </row>
    <row r="43" spans="1:20" s="5" customFormat="1" ht="17.100000000000001" customHeight="1">
      <c r="A43" s="104">
        <f t="shared" si="11"/>
        <v>6</v>
      </c>
      <c r="B43" s="567" t="str">
        <f t="shared" si="9"/>
        <v>Tháng 01/2018</v>
      </c>
      <c r="C43" s="567"/>
      <c r="D43" s="568" t="str">
        <f t="shared" si="10"/>
        <v>KH VLC thép đà giáo (2%*2 tháng+7%*2)</v>
      </c>
      <c r="E43" s="568"/>
      <c r="F43" s="568"/>
      <c r="G43" s="568"/>
      <c r="H43" s="569">
        <f t="shared" si="6"/>
        <v>0</v>
      </c>
      <c r="I43" s="569"/>
      <c r="J43" s="567"/>
      <c r="K43" s="570"/>
      <c r="L43">
        <v>1</v>
      </c>
      <c r="M43" s="101">
        <v>2018</v>
      </c>
      <c r="N43"/>
      <c r="O43" s="103">
        <f t="shared" si="7"/>
        <v>43101</v>
      </c>
      <c r="P43" s="103">
        <f t="shared" si="8"/>
        <v>43131</v>
      </c>
    </row>
    <row r="44" spans="1:20" s="5" customFormat="1" ht="17.100000000000001" customHeight="1">
      <c r="A44" s="104">
        <f t="shared" si="11"/>
        <v>7</v>
      </c>
      <c r="B44" s="567" t="str">
        <f t="shared" si="9"/>
        <v>Tháng 02/2018</v>
      </c>
      <c r="C44" s="567"/>
      <c r="D44" s="568" t="str">
        <f t="shared" si="10"/>
        <v>KH VLC thép đà giáo (2%*2 tháng+7%*2)</v>
      </c>
      <c r="E44" s="568"/>
      <c r="F44" s="568"/>
      <c r="G44" s="568"/>
      <c r="H44" s="569">
        <f t="shared" si="6"/>
        <v>0</v>
      </c>
      <c r="I44" s="569"/>
      <c r="J44" s="567"/>
      <c r="K44" s="570"/>
      <c r="L44">
        <v>2</v>
      </c>
      <c r="M44" s="101">
        <v>2018</v>
      </c>
      <c r="N44"/>
      <c r="O44" s="103">
        <f t="shared" si="7"/>
        <v>43132</v>
      </c>
      <c r="P44" s="103">
        <f t="shared" si="8"/>
        <v>43159</v>
      </c>
    </row>
    <row r="45" spans="1:20" s="5" customFormat="1" ht="17.100000000000001" customHeight="1">
      <c r="A45" s="104">
        <f t="shared" si="11"/>
        <v>8</v>
      </c>
      <c r="B45" s="567" t="str">
        <f t="shared" si="9"/>
        <v>Tháng 03/2018</v>
      </c>
      <c r="C45" s="567"/>
      <c r="D45" s="568" t="str">
        <f t="shared" si="10"/>
        <v>KH VLC thép đà giáo (2%*2 tháng+7%*2)</v>
      </c>
      <c r="E45" s="568"/>
      <c r="F45" s="568"/>
      <c r="G45" s="568"/>
      <c r="H45" s="569">
        <f t="shared" si="6"/>
        <v>0</v>
      </c>
      <c r="I45" s="569"/>
      <c r="J45" s="567"/>
      <c r="K45" s="570"/>
      <c r="L45">
        <v>3</v>
      </c>
      <c r="M45" s="101">
        <v>2018</v>
      </c>
      <c r="N45"/>
      <c r="O45" s="103">
        <f t="shared" si="7"/>
        <v>43160</v>
      </c>
      <c r="P45" s="103">
        <f t="shared" si="8"/>
        <v>43190</v>
      </c>
    </row>
    <row r="46" spans="1:20" s="5" customFormat="1" ht="17.100000000000001" customHeight="1">
      <c r="A46" s="104">
        <f t="shared" si="11"/>
        <v>9</v>
      </c>
      <c r="B46" s="567" t="str">
        <f t="shared" si="9"/>
        <v>Tháng 04/2018</v>
      </c>
      <c r="C46" s="567"/>
      <c r="D46" s="568" t="str">
        <f t="shared" si="10"/>
        <v>KH VLC thép đà giáo (2%*2 tháng+7%*2)</v>
      </c>
      <c r="E46" s="568"/>
      <c r="F46" s="568"/>
      <c r="G46" s="568"/>
      <c r="H46" s="569">
        <f t="shared" si="6"/>
        <v>0</v>
      </c>
      <c r="I46" s="569"/>
      <c r="J46" s="567"/>
      <c r="K46" s="570"/>
      <c r="L46">
        <v>4</v>
      </c>
      <c r="M46" s="101">
        <v>2018</v>
      </c>
      <c r="N46"/>
      <c r="O46" s="103">
        <f t="shared" si="7"/>
        <v>43191</v>
      </c>
      <c r="P46" s="103">
        <f t="shared" si="8"/>
        <v>43220</v>
      </c>
    </row>
    <row r="47" spans="1:20" s="5" customFormat="1" ht="17.100000000000001" customHeight="1">
      <c r="A47" s="104">
        <f t="shared" si="11"/>
        <v>10</v>
      </c>
      <c r="B47" s="567" t="str">
        <f t="shared" si="9"/>
        <v>Tháng 05/2018</v>
      </c>
      <c r="C47" s="567"/>
      <c r="D47" s="568" t="str">
        <f t="shared" si="10"/>
        <v>KH VLC thép đà giáo (2%*2 tháng+7%*2)</v>
      </c>
      <c r="E47" s="568"/>
      <c r="F47" s="568"/>
      <c r="G47" s="568"/>
      <c r="H47" s="569">
        <f t="shared" si="6"/>
        <v>0</v>
      </c>
      <c r="I47" s="569"/>
      <c r="J47" s="567"/>
      <c r="K47" s="570"/>
      <c r="L47">
        <v>5</v>
      </c>
      <c r="M47" s="101">
        <v>2018</v>
      </c>
      <c r="N47"/>
      <c r="O47" s="103">
        <f t="shared" si="7"/>
        <v>43221</v>
      </c>
      <c r="P47" s="103">
        <f t="shared" si="8"/>
        <v>43251</v>
      </c>
    </row>
    <row r="48" spans="1:20" s="5" customFormat="1" ht="17.100000000000001" customHeight="1">
      <c r="A48" s="104">
        <f t="shared" si="11"/>
        <v>11</v>
      </c>
      <c r="B48" s="567" t="str">
        <f t="shared" si="9"/>
        <v>Tháng 06/2018</v>
      </c>
      <c r="C48" s="567"/>
      <c r="D48" s="568" t="str">
        <f t="shared" si="10"/>
        <v>KH VLC thép đà giáo (2%*2 tháng+7%*2)</v>
      </c>
      <c r="E48" s="568"/>
      <c r="F48" s="568"/>
      <c r="G48" s="568"/>
      <c r="H48" s="569">
        <f t="shared" si="6"/>
        <v>0</v>
      </c>
      <c r="I48" s="569"/>
      <c r="J48" s="567"/>
      <c r="K48" s="570"/>
      <c r="L48">
        <v>6</v>
      </c>
      <c r="M48" s="101">
        <v>2018</v>
      </c>
      <c r="N48"/>
      <c r="O48" s="103">
        <f t="shared" si="7"/>
        <v>43252</v>
      </c>
      <c r="P48" s="103">
        <f t="shared" si="8"/>
        <v>43281</v>
      </c>
    </row>
    <row r="49" spans="1:16" s="5" customFormat="1" ht="17.100000000000001" customHeight="1">
      <c r="A49" s="104">
        <f t="shared" si="11"/>
        <v>12</v>
      </c>
      <c r="B49" s="567" t="str">
        <f t="shared" si="9"/>
        <v>Tháng 07/2018</v>
      </c>
      <c r="C49" s="567"/>
      <c r="D49" s="568" t="str">
        <f t="shared" si="10"/>
        <v>KH VLC thép đà giáo (2%*2 tháng+7%*2)</v>
      </c>
      <c r="E49" s="568"/>
      <c r="F49" s="568"/>
      <c r="G49" s="568"/>
      <c r="H49" s="569">
        <f t="shared" si="6"/>
        <v>0</v>
      </c>
      <c r="I49" s="569"/>
      <c r="J49" s="567"/>
      <c r="K49" s="570"/>
      <c r="L49">
        <v>7</v>
      </c>
      <c r="M49" s="101">
        <v>2018</v>
      </c>
      <c r="N49"/>
      <c r="O49" s="103">
        <f t="shared" si="7"/>
        <v>43282</v>
      </c>
      <c r="P49" s="103">
        <f t="shared" si="8"/>
        <v>43312</v>
      </c>
    </row>
    <row r="50" spans="1:16" s="5" customFormat="1" ht="17.100000000000001" customHeight="1">
      <c r="A50" s="104">
        <f t="shared" si="11"/>
        <v>13</v>
      </c>
      <c r="B50" s="567" t="str">
        <f t="shared" si="9"/>
        <v>Tháng 08/2018</v>
      </c>
      <c r="C50" s="567"/>
      <c r="D50" s="568" t="str">
        <f t="shared" si="10"/>
        <v>KH VLC thép đà giáo (2%*2 tháng+7%*2)</v>
      </c>
      <c r="E50" s="568"/>
      <c r="F50" s="568"/>
      <c r="G50" s="568"/>
      <c r="H50" s="569">
        <f t="shared" si="6"/>
        <v>0</v>
      </c>
      <c r="I50" s="569"/>
      <c r="J50" s="567"/>
      <c r="K50" s="570"/>
      <c r="L50">
        <v>8</v>
      </c>
      <c r="M50" s="101">
        <v>2018</v>
      </c>
      <c r="N50"/>
      <c r="O50" s="103">
        <f t="shared" si="7"/>
        <v>43313</v>
      </c>
      <c r="P50" s="103">
        <f t="shared" si="8"/>
        <v>43343</v>
      </c>
    </row>
    <row r="51" spans="1:16" s="5" customFormat="1" ht="17.100000000000001" customHeight="1">
      <c r="A51" s="104">
        <f t="shared" si="11"/>
        <v>14</v>
      </c>
      <c r="B51" s="567" t="str">
        <f t="shared" si="9"/>
        <v>Tháng 09/2018</v>
      </c>
      <c r="C51" s="567"/>
      <c r="D51" s="568" t="str">
        <f t="shared" si="10"/>
        <v>KH VLC thép đà giáo (2%*2 tháng+7%*2)</v>
      </c>
      <c r="E51" s="568"/>
      <c r="F51" s="568"/>
      <c r="G51" s="568"/>
      <c r="H51" s="569">
        <f t="shared" si="6"/>
        <v>17.93</v>
      </c>
      <c r="I51" s="569"/>
      <c r="J51" s="567"/>
      <c r="K51" s="570"/>
      <c r="L51">
        <v>9</v>
      </c>
      <c r="M51" s="101">
        <v>2018</v>
      </c>
      <c r="N51"/>
      <c r="O51" s="103">
        <f t="shared" si="7"/>
        <v>43344</v>
      </c>
      <c r="P51" s="103">
        <f t="shared" si="8"/>
        <v>43373</v>
      </c>
    </row>
    <row r="52" spans="1:16" s="5" customFormat="1" ht="17.100000000000001" customHeight="1">
      <c r="A52" s="104">
        <f t="shared" si="11"/>
        <v>15</v>
      </c>
      <c r="B52" s="567" t="str">
        <f t="shared" si="9"/>
        <v>Tháng 10/2018</v>
      </c>
      <c r="C52" s="567"/>
      <c r="D52" s="568" t="str">
        <f t="shared" si="10"/>
        <v>KH VLC thép đà giáo (2%*2 tháng+7%*2)</v>
      </c>
      <c r="E52" s="568"/>
      <c r="F52" s="568"/>
      <c r="G52" s="568"/>
      <c r="H52" s="569">
        <f t="shared" si="6"/>
        <v>36.74</v>
      </c>
      <c r="I52" s="569"/>
      <c r="J52" s="567"/>
      <c r="K52" s="570"/>
      <c r="L52">
        <v>10</v>
      </c>
      <c r="M52" s="101">
        <v>2018</v>
      </c>
      <c r="N52"/>
      <c r="O52" s="103">
        <f t="shared" si="7"/>
        <v>43374</v>
      </c>
      <c r="P52" s="103">
        <f t="shared" si="8"/>
        <v>43404</v>
      </c>
    </row>
    <row r="53" spans="1:16" s="5" customFormat="1" ht="17.100000000000001" customHeight="1">
      <c r="A53" s="104">
        <f t="shared" si="11"/>
        <v>16</v>
      </c>
      <c r="B53" s="567" t="str">
        <f t="shared" si="9"/>
        <v>Tháng 11/2018</v>
      </c>
      <c r="C53" s="567"/>
      <c r="D53" s="568" t="str">
        <f t="shared" si="10"/>
        <v>KH VLC thép đà giáo (2%*2 tháng+7%*2)</v>
      </c>
      <c r="E53" s="568"/>
      <c r="F53" s="568"/>
      <c r="G53" s="568"/>
      <c r="H53" s="569">
        <f t="shared" si="6"/>
        <v>0</v>
      </c>
      <c r="I53" s="569"/>
      <c r="J53" s="567"/>
      <c r="K53" s="570"/>
      <c r="L53">
        <v>11</v>
      </c>
      <c r="M53" s="101">
        <v>2018</v>
      </c>
      <c r="N53"/>
      <c r="O53" s="103">
        <f t="shared" si="7"/>
        <v>43405</v>
      </c>
      <c r="P53" s="103">
        <f t="shared" si="8"/>
        <v>43434</v>
      </c>
    </row>
    <row r="54" spans="1:16" s="5" customFormat="1" ht="17.100000000000001" customHeight="1">
      <c r="A54" s="104">
        <f t="shared" si="11"/>
        <v>17</v>
      </c>
      <c r="B54" s="567" t="str">
        <f t="shared" si="9"/>
        <v>Tháng 12/2018</v>
      </c>
      <c r="C54" s="567"/>
      <c r="D54" s="568" t="str">
        <f t="shared" si="10"/>
        <v>KH VLC thép đà giáo (2%*2 tháng+7%*2)</v>
      </c>
      <c r="E54" s="568"/>
      <c r="F54" s="568"/>
      <c r="G54" s="568"/>
      <c r="H54" s="569">
        <f t="shared" si="6"/>
        <v>0</v>
      </c>
      <c r="I54" s="569"/>
      <c r="J54" s="567"/>
      <c r="K54" s="570"/>
      <c r="L54">
        <v>12</v>
      </c>
      <c r="M54" s="101">
        <v>2018</v>
      </c>
      <c r="N54"/>
      <c r="O54" s="103">
        <f t="shared" si="7"/>
        <v>43435</v>
      </c>
      <c r="P54" s="103">
        <f t="shared" si="8"/>
        <v>43465</v>
      </c>
    </row>
    <row r="55" spans="1:16" s="5" customFormat="1" ht="17.100000000000001" customHeight="1">
      <c r="A55" s="104">
        <f t="shared" si="11"/>
        <v>18</v>
      </c>
      <c r="B55" s="567" t="str">
        <f t="shared" si="9"/>
        <v>Tháng 01/2019</v>
      </c>
      <c r="C55" s="567"/>
      <c r="D55" s="568" t="str">
        <f t="shared" si="10"/>
        <v>KH VLC thép đà giáo (2%*2 tháng+7%*2)</v>
      </c>
      <c r="E55" s="568"/>
      <c r="F55" s="568"/>
      <c r="G55" s="568"/>
      <c r="H55" s="569">
        <f t="shared" si="6"/>
        <v>0</v>
      </c>
      <c r="I55" s="569"/>
      <c r="J55" s="567"/>
      <c r="K55" s="570"/>
      <c r="L55">
        <v>1</v>
      </c>
      <c r="M55" s="101">
        <v>2019</v>
      </c>
      <c r="N55"/>
      <c r="O55" s="103">
        <f t="shared" si="7"/>
        <v>43466</v>
      </c>
      <c r="P55" s="103">
        <f t="shared" si="8"/>
        <v>43496</v>
      </c>
    </row>
    <row r="56" spans="1:16" s="5" customFormat="1" ht="17.100000000000001" customHeight="1">
      <c r="A56" s="104">
        <f t="shared" si="11"/>
        <v>19</v>
      </c>
      <c r="B56" s="567" t="str">
        <f t="shared" si="9"/>
        <v>Tháng 02/2019</v>
      </c>
      <c r="C56" s="567"/>
      <c r="D56" s="568" t="str">
        <f t="shared" si="10"/>
        <v>KH VLC thép đà giáo (2%*2 tháng+7%*2)</v>
      </c>
      <c r="E56" s="568"/>
      <c r="F56" s="568"/>
      <c r="G56" s="568"/>
      <c r="H56" s="569">
        <f t="shared" si="6"/>
        <v>0</v>
      </c>
      <c r="I56" s="569"/>
      <c r="J56" s="567"/>
      <c r="K56" s="570"/>
      <c r="L56">
        <v>2</v>
      </c>
      <c r="M56" s="101">
        <v>2019</v>
      </c>
      <c r="N56"/>
      <c r="O56" s="103">
        <f t="shared" si="7"/>
        <v>43497</v>
      </c>
      <c r="P56" s="103">
        <f t="shared" si="8"/>
        <v>43524</v>
      </c>
    </row>
    <row r="57" spans="1:16" s="5" customFormat="1" ht="17.100000000000001" customHeight="1">
      <c r="A57" s="104">
        <f t="shared" si="11"/>
        <v>20</v>
      </c>
      <c r="B57" s="567" t="str">
        <f t="shared" si="9"/>
        <v>Tháng 03/2019</v>
      </c>
      <c r="C57" s="567"/>
      <c r="D57" s="568" t="str">
        <f t="shared" si="10"/>
        <v>KH VLC thép đà giáo (2%*2 tháng+7%*2)</v>
      </c>
      <c r="E57" s="568"/>
      <c r="F57" s="568"/>
      <c r="G57" s="568"/>
      <c r="H57" s="569">
        <f t="shared" si="6"/>
        <v>0</v>
      </c>
      <c r="I57" s="569"/>
      <c r="J57" s="567"/>
      <c r="K57" s="570"/>
      <c r="L57">
        <v>3</v>
      </c>
      <c r="M57" s="101">
        <v>2019</v>
      </c>
      <c r="N57"/>
      <c r="O57" s="103">
        <f t="shared" si="7"/>
        <v>43525</v>
      </c>
      <c r="P57" s="103">
        <f t="shared" si="8"/>
        <v>43555</v>
      </c>
    </row>
    <row r="58" spans="1:16" s="5" customFormat="1" ht="17.100000000000001" customHeight="1">
      <c r="A58" s="104">
        <f t="shared" si="11"/>
        <v>21</v>
      </c>
      <c r="B58" s="567" t="str">
        <f t="shared" si="9"/>
        <v>Tháng 04/2019</v>
      </c>
      <c r="C58" s="567"/>
      <c r="D58" s="568" t="str">
        <f t="shared" si="10"/>
        <v>KH VLC thép đà giáo (2%*2 tháng+7%*2)</v>
      </c>
      <c r="E58" s="568"/>
      <c r="F58" s="568"/>
      <c r="G58" s="568"/>
      <c r="H58" s="569">
        <f t="shared" si="6"/>
        <v>0</v>
      </c>
      <c r="I58" s="569"/>
      <c r="J58" s="567"/>
      <c r="K58" s="570"/>
      <c r="L58">
        <v>4</v>
      </c>
      <c r="M58" s="101">
        <v>2019</v>
      </c>
      <c r="N58"/>
      <c r="O58" s="103">
        <f t="shared" si="7"/>
        <v>43556</v>
      </c>
      <c r="P58" s="103">
        <f t="shared" si="8"/>
        <v>43585</v>
      </c>
    </row>
    <row r="59" spans="1:16" s="5" customFormat="1" ht="17.100000000000001" customHeight="1">
      <c r="A59" s="104">
        <f t="shared" si="11"/>
        <v>22</v>
      </c>
      <c r="B59" s="567" t="str">
        <f t="shared" si="9"/>
        <v>Tháng 05/2019</v>
      </c>
      <c r="C59" s="567"/>
      <c r="D59" s="568" t="str">
        <f t="shared" si="10"/>
        <v>KH VLC thép đà giáo (2%*2 tháng+7%*2)</v>
      </c>
      <c r="E59" s="568"/>
      <c r="F59" s="568"/>
      <c r="G59" s="568"/>
      <c r="H59" s="569">
        <f t="shared" si="6"/>
        <v>0</v>
      </c>
      <c r="I59" s="569"/>
      <c r="J59" s="567"/>
      <c r="K59" s="570"/>
      <c r="L59">
        <v>5</v>
      </c>
      <c r="M59" s="101">
        <v>2019</v>
      </c>
      <c r="N59"/>
      <c r="O59" s="103">
        <f t="shared" si="7"/>
        <v>43586</v>
      </c>
      <c r="P59" s="103">
        <f t="shared" si="8"/>
        <v>43616</v>
      </c>
    </row>
    <row r="60" spans="1:16" s="5" customFormat="1" ht="17.100000000000001" customHeight="1">
      <c r="A60" s="104">
        <f t="shared" si="11"/>
        <v>23</v>
      </c>
      <c r="B60" s="567" t="str">
        <f t="shared" si="9"/>
        <v>Tháng 06/2019</v>
      </c>
      <c r="C60" s="567"/>
      <c r="D60" s="568" t="str">
        <f t="shared" si="10"/>
        <v>KH VLC thép đà giáo (2%*2 tháng+7%*2)</v>
      </c>
      <c r="E60" s="568"/>
      <c r="F60" s="568"/>
      <c r="G60" s="568"/>
      <c r="H60" s="569">
        <f t="shared" si="6"/>
        <v>0</v>
      </c>
      <c r="I60" s="569"/>
      <c r="J60" s="567"/>
      <c r="K60" s="570"/>
      <c r="L60">
        <v>6</v>
      </c>
      <c r="M60" s="101">
        <v>2019</v>
      </c>
      <c r="N60"/>
      <c r="O60" s="103">
        <f t="shared" si="7"/>
        <v>43617</v>
      </c>
      <c r="P60" s="103">
        <f t="shared" si="8"/>
        <v>43646</v>
      </c>
    </row>
    <row r="61" spans="1:16" s="5" customFormat="1" ht="17.100000000000001" customHeight="1">
      <c r="A61" s="104">
        <f t="shared" si="11"/>
        <v>24</v>
      </c>
      <c r="B61" s="567" t="str">
        <f t="shared" si="9"/>
        <v>Tháng 07/2019</v>
      </c>
      <c r="C61" s="567"/>
      <c r="D61" s="568" t="str">
        <f t="shared" si="10"/>
        <v>KH VLC thép đà giáo (2%*2 tháng+7%*2)</v>
      </c>
      <c r="E61" s="568"/>
      <c r="F61" s="568"/>
      <c r="G61" s="568"/>
      <c r="H61" s="569">
        <f t="shared" si="6"/>
        <v>0</v>
      </c>
      <c r="I61" s="569"/>
      <c r="J61" s="567"/>
      <c r="K61" s="570"/>
      <c r="L61">
        <v>7</v>
      </c>
      <c r="M61" s="101">
        <v>2019</v>
      </c>
      <c r="N61"/>
      <c r="O61" s="103">
        <f t="shared" si="7"/>
        <v>43647</v>
      </c>
      <c r="P61" s="103">
        <f t="shared" si="8"/>
        <v>43677</v>
      </c>
    </row>
    <row r="62" spans="1:16" s="5" customFormat="1" ht="17.100000000000001" customHeight="1">
      <c r="A62" s="104">
        <f t="shared" si="11"/>
        <v>25</v>
      </c>
      <c r="B62" s="567" t="str">
        <f t="shared" si="9"/>
        <v>Tháng 08/2019</v>
      </c>
      <c r="C62" s="567"/>
      <c r="D62" s="568" t="str">
        <f t="shared" si="10"/>
        <v>KH VLC thép đà giáo (2%*2 tháng+7%*2)</v>
      </c>
      <c r="E62" s="568"/>
      <c r="F62" s="568"/>
      <c r="G62" s="568"/>
      <c r="H62" s="569">
        <f>+SUMIFS($I$12:$I$33,$B$12:$B$33,"&gt;="&amp;$O62,$B$12:$B$33,"&lt;="&amp;$P62)</f>
        <v>0</v>
      </c>
      <c r="I62" s="569"/>
      <c r="J62" s="567"/>
      <c r="K62" s="570"/>
      <c r="L62">
        <v>8</v>
      </c>
      <c r="M62" s="101">
        <v>2019</v>
      </c>
      <c r="N62"/>
      <c r="O62" s="103">
        <f t="shared" si="7"/>
        <v>43678</v>
      </c>
      <c r="P62" s="103">
        <f t="shared" si="8"/>
        <v>43708</v>
      </c>
    </row>
    <row r="63" spans="1:16" s="5" customFormat="1" ht="17.100000000000001" customHeight="1">
      <c r="A63" s="104">
        <f t="shared" si="11"/>
        <v>26</v>
      </c>
      <c r="B63" s="616" t="str">
        <f t="shared" si="9"/>
        <v>Tháng 09/2019</v>
      </c>
      <c r="C63" s="616"/>
      <c r="D63" s="652" t="str">
        <f>D61</f>
        <v>KH VLC thép đà giáo (2%*2 tháng+7%*2)</v>
      </c>
      <c r="E63" s="652"/>
      <c r="F63" s="652"/>
      <c r="G63" s="652"/>
      <c r="H63" s="615">
        <f>+SUMIFS($I$12:$I$33,$B$12:$B$33,"&gt;="&amp;$O63,$B$12:$B$33,"&lt;="&amp;$P63)</f>
        <v>0</v>
      </c>
      <c r="I63" s="615"/>
      <c r="J63" s="616"/>
      <c r="K63" s="617"/>
      <c r="L63">
        <v>9</v>
      </c>
      <c r="M63" s="101">
        <v>2019</v>
      </c>
      <c r="N63"/>
      <c r="O63" s="103">
        <f>DATE(M63,L63,1)</f>
        <v>43709</v>
      </c>
      <c r="P63" s="103">
        <f>DATE(M63,L63+1,0)</f>
        <v>43738</v>
      </c>
    </row>
    <row r="64" spans="1:16" s="5" customFormat="1" ht="21.6" customHeight="1" thickBot="1">
      <c r="A64" s="618" t="s">
        <v>86</v>
      </c>
      <c r="B64" s="619"/>
      <c r="C64" s="619"/>
      <c r="D64" s="619"/>
      <c r="E64" s="619"/>
      <c r="F64" s="619"/>
      <c r="G64" s="620"/>
      <c r="H64" s="621">
        <f t="shared" ref="H64" si="12">SUM(H38:I63)</f>
        <v>54.67</v>
      </c>
      <c r="I64" s="622"/>
      <c r="J64" s="621"/>
      <c r="K64" s="622"/>
      <c r="L64"/>
      <c r="M64"/>
      <c r="N64"/>
      <c r="O64"/>
      <c r="P64"/>
    </row>
    <row r="65" spans="1:20" s="5" customFormat="1" ht="18" customHeight="1" thickTop="1" thickBot="1">
      <c r="A65" s="105"/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4"/>
      <c r="M65" s="4"/>
      <c r="N65" s="4"/>
      <c r="O65" s="4"/>
      <c r="P65" s="90"/>
    </row>
    <row r="66" spans="1:20" s="5" customFormat="1" ht="13.9" customHeight="1" thickTop="1">
      <c r="A66" s="647" t="s">
        <v>68</v>
      </c>
      <c r="B66" s="648"/>
      <c r="C66" s="648"/>
      <c r="D66" s="648"/>
      <c r="E66" s="648"/>
      <c r="F66" s="649" t="s">
        <v>69</v>
      </c>
      <c r="G66" s="649"/>
      <c r="H66" s="649"/>
      <c r="I66" s="650"/>
      <c r="J66" s="650"/>
      <c r="K66" s="651"/>
      <c r="L66" s="4"/>
      <c r="M66" s="4"/>
      <c r="N66" s="4"/>
      <c r="O66" s="4"/>
      <c r="P66" s="4"/>
    </row>
    <row r="67" spans="1:20" s="5" customFormat="1" ht="13.9" customHeight="1">
      <c r="A67" s="583" t="s">
        <v>5</v>
      </c>
      <c r="B67" s="584"/>
      <c r="C67" s="584"/>
      <c r="D67" s="584"/>
      <c r="E67" s="584"/>
      <c r="F67" s="585" t="s">
        <v>6</v>
      </c>
      <c r="G67" s="585"/>
      <c r="H67" s="585"/>
      <c r="I67" s="586"/>
      <c r="J67" s="586"/>
      <c r="K67" s="587"/>
      <c r="L67" s="4"/>
      <c r="M67" s="4"/>
      <c r="N67" s="4"/>
      <c r="O67" s="4"/>
      <c r="P67" s="4"/>
    </row>
    <row r="68" spans="1:20" s="5" customFormat="1" ht="13.9" customHeight="1">
      <c r="A68" s="583" t="s">
        <v>836</v>
      </c>
      <c r="B68" s="584"/>
      <c r="C68" s="584"/>
      <c r="D68" s="584"/>
      <c r="E68" s="584"/>
      <c r="F68" s="590" t="s">
        <v>837</v>
      </c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 thickBot="1">
      <c r="A74" s="588"/>
      <c r="B74" s="589"/>
      <c r="C74" s="589"/>
      <c r="D74" s="589"/>
      <c r="E74" s="589"/>
      <c r="F74" s="593"/>
      <c r="G74" s="593"/>
      <c r="H74" s="593"/>
      <c r="I74" s="594"/>
      <c r="J74" s="594"/>
      <c r="K74" s="595"/>
      <c r="L74" s="4"/>
      <c r="M74" s="4"/>
      <c r="N74" s="4"/>
      <c r="O74" s="4"/>
      <c r="P74" s="4"/>
    </row>
    <row r="75" spans="1:20" s="5" customFormat="1" ht="15.75" thickTop="1">
      <c r="A75" s="4"/>
      <c r="B75" s="12"/>
      <c r="C75" s="10"/>
      <c r="D75" s="10"/>
      <c r="E75" s="10"/>
      <c r="F75" s="13"/>
      <c r="G75" s="13"/>
      <c r="H75" s="13"/>
      <c r="I75" s="13"/>
      <c r="J75" s="13"/>
      <c r="K75" s="4"/>
      <c r="L75" s="4"/>
      <c r="M75" s="4"/>
      <c r="N75" s="4"/>
      <c r="O75" s="4"/>
      <c r="P75" s="4"/>
      <c r="R75" s="4"/>
      <c r="S75" s="4"/>
      <c r="T75" s="4"/>
    </row>
  </sheetData>
  <mergeCells count="148">
    <mergeCell ref="I9:I11"/>
    <mergeCell ref="J9:J11"/>
    <mergeCell ref="K9:K11"/>
    <mergeCell ref="C12:E12"/>
    <mergeCell ref="K12:K13"/>
    <mergeCell ref="C13:E13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19:E25"/>
    <mergeCell ref="F19:K25"/>
    <mergeCell ref="A27:K27"/>
    <mergeCell ref="A28:K28"/>
    <mergeCell ref="A29:K29"/>
    <mergeCell ref="A30:K30"/>
    <mergeCell ref="C14:E14"/>
    <mergeCell ref="A15:E15"/>
    <mergeCell ref="A17:E17"/>
    <mergeCell ref="F17:K17"/>
    <mergeCell ref="A18:E18"/>
    <mergeCell ref="F18:K18"/>
    <mergeCell ref="B38:C38"/>
    <mergeCell ref="D38:G38"/>
    <mergeCell ref="H38:I38"/>
    <mergeCell ref="J38:K38"/>
    <mergeCell ref="B39:C39"/>
    <mergeCell ref="D39:G39"/>
    <mergeCell ref="H39:I39"/>
    <mergeCell ref="J39:K39"/>
    <mergeCell ref="A31:K31"/>
    <mergeCell ref="A34:D34"/>
    <mergeCell ref="A36:A37"/>
    <mergeCell ref="B36:C37"/>
    <mergeCell ref="D36:G37"/>
    <mergeCell ref="H36:I37"/>
    <mergeCell ref="J36:K37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A68:E74"/>
    <mergeCell ref="F68:K74"/>
    <mergeCell ref="A64:G64"/>
    <mergeCell ref="H64:I64"/>
    <mergeCell ref="J64:K64"/>
    <mergeCell ref="A66:E66"/>
    <mergeCell ref="F66:K66"/>
    <mergeCell ref="A67:E67"/>
    <mergeCell ref="F67:K67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6" max="10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6">
    <tabColor rgb="FF92D050"/>
  </sheetPr>
  <dimension ref="A1:T81"/>
  <sheetViews>
    <sheetView view="pageBreakPreview" topLeftCell="A64" zoomScaleSheetLayoutView="100" workbookViewId="0">
      <selection activeCell="A74" sqref="A74:K80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9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C.II.2.3. Lắp dựng + tháo dỡ thép đà giáo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3</v>
      </c>
      <c r="N6" s="245" t="str">
        <f>THKLQT!C161</f>
        <v>Lắp dựng + tháo dỡ thép đà giáo</v>
      </c>
      <c r="Q6" s="17"/>
    </row>
    <row r="7" spans="1:20" s="178" customFormat="1" ht="18.75" customHeight="1">
      <c r="A7" s="634">
        <f>I21</f>
        <v>114.78</v>
      </c>
      <c r="B7" s="635"/>
      <c r="C7" s="635"/>
      <c r="D7" s="635"/>
      <c r="E7" s="106" t="str">
        <f>"("&amp;L7&amp;")"</f>
        <v>(T)</v>
      </c>
      <c r="F7" s="113"/>
      <c r="G7" s="113"/>
      <c r="H7" s="113"/>
      <c r="I7" s="113"/>
      <c r="J7" s="113"/>
      <c r="K7" s="114"/>
      <c r="L7" s="26" t="str">
        <f>THKLQT!D161</f>
        <v>T</v>
      </c>
      <c r="N7" s="178" t="s">
        <v>774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 t="s">
        <v>779</v>
      </c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43330</v>
      </c>
      <c r="C12" s="571" t="str">
        <f>T12</f>
        <v>Lắp dựng đà giáo bệ mố A1</v>
      </c>
      <c r="D12" s="572"/>
      <c r="E12" s="573"/>
      <c r="F12" s="2"/>
      <c r="G12" s="1"/>
      <c r="H12" s="381"/>
      <c r="I12" s="107"/>
      <c r="J12" s="107">
        <f>P12</f>
        <v>17.93</v>
      </c>
      <c r="K12" s="700" t="s">
        <v>677</v>
      </c>
      <c r="N12" s="118"/>
      <c r="O12" s="118" t="s">
        <v>775</v>
      </c>
      <c r="P12" s="88">
        <v>17.93</v>
      </c>
      <c r="Q12" s="89">
        <v>43330</v>
      </c>
      <c r="R12" s="88"/>
      <c r="S12" s="88" t="e">
        <f t="shared" ref="S12:S19" si="0">VLOOKUP($S$11,hamchuigoi3,M12,0)</f>
        <v>#VALUE!</v>
      </c>
      <c r="T12" s="3" t="str">
        <f>$N$7&amp;" "&amp;O12</f>
        <v>Lắp dựng đà giáo bệ mố A1</v>
      </c>
    </row>
    <row r="13" spans="1:20" ht="14.25" outlineLevel="2">
      <c r="A13" s="81">
        <f>SUBTOTAL(103,$B$12:B13)</f>
        <v>2</v>
      </c>
      <c r="B13" s="78">
        <f t="shared" ref="B13:B15" si="1">Q13</f>
        <v>43302</v>
      </c>
      <c r="C13" s="571" t="str">
        <f t="shared" ref="C13:C15" si="2">T13</f>
        <v>Lắp dựng đà giáo bệ mố A2</v>
      </c>
      <c r="D13" s="572"/>
      <c r="E13" s="573"/>
      <c r="F13" s="2"/>
      <c r="G13" s="1"/>
      <c r="H13" s="381"/>
      <c r="I13" s="107"/>
      <c r="J13" s="107">
        <f t="shared" ref="J13:J15" si="3">P13</f>
        <v>17.93</v>
      </c>
      <c r="K13" s="701"/>
      <c r="N13" s="118"/>
      <c r="O13" s="118" t="s">
        <v>776</v>
      </c>
      <c r="P13" s="88">
        <v>17.93</v>
      </c>
      <c r="Q13" s="89">
        <v>43302</v>
      </c>
      <c r="R13" s="88"/>
      <c r="S13" s="88" t="e">
        <f t="shared" si="0"/>
        <v>#VALUE!</v>
      </c>
      <c r="T13" s="3" t="str">
        <f t="shared" ref="T13:T15" si="4">$N$7&amp;" "&amp;O13</f>
        <v>Lắp dựng đà giáo bệ mố A2</v>
      </c>
    </row>
    <row r="14" spans="1:20" ht="14.25" outlineLevel="2">
      <c r="A14" s="81">
        <f>SUBTOTAL(103,$B$12:B14)</f>
        <v>3</v>
      </c>
      <c r="B14" s="78">
        <f t="shared" si="1"/>
        <v>43338</v>
      </c>
      <c r="C14" s="571" t="str">
        <f t="shared" si="2"/>
        <v>Lắp dựng đà giáo thân mố A1</v>
      </c>
      <c r="D14" s="572"/>
      <c r="E14" s="573"/>
      <c r="F14" s="2"/>
      <c r="G14" s="1"/>
      <c r="H14" s="381"/>
      <c r="I14" s="107"/>
      <c r="J14" s="107">
        <f t="shared" si="3"/>
        <v>39.46</v>
      </c>
      <c r="K14" s="701"/>
      <c r="N14" s="118"/>
      <c r="O14" s="118" t="s">
        <v>777</v>
      </c>
      <c r="P14" s="88">
        <v>39.46</v>
      </c>
      <c r="Q14" s="89">
        <v>43338</v>
      </c>
      <c r="R14" s="88"/>
      <c r="S14" s="88" t="e">
        <f t="shared" si="0"/>
        <v>#VALUE!</v>
      </c>
      <c r="T14" s="3" t="str">
        <f t="shared" si="4"/>
        <v>Lắp dựng đà giáo thân mố A1</v>
      </c>
    </row>
    <row r="15" spans="1:20" ht="14.25" outlineLevel="2">
      <c r="A15" s="81">
        <f>SUBTOTAL(103,$B$12:B15)</f>
        <v>4</v>
      </c>
      <c r="B15" s="78">
        <f t="shared" si="1"/>
        <v>43310</v>
      </c>
      <c r="C15" s="571" t="str">
        <f t="shared" si="2"/>
        <v>Lắp dựng đà giáo thân mố A2</v>
      </c>
      <c r="D15" s="572"/>
      <c r="E15" s="573"/>
      <c r="F15" s="2"/>
      <c r="G15" s="1"/>
      <c r="H15" s="381"/>
      <c r="I15" s="107"/>
      <c r="J15" s="107">
        <f t="shared" si="3"/>
        <v>39.46</v>
      </c>
      <c r="K15" s="702"/>
      <c r="N15" s="118"/>
      <c r="O15" s="118" t="s">
        <v>778</v>
      </c>
      <c r="P15" s="88">
        <v>39.46</v>
      </c>
      <c r="Q15" s="89">
        <v>43310</v>
      </c>
      <c r="R15" s="88"/>
      <c r="S15" s="88" t="e">
        <f t="shared" si="0"/>
        <v>#VALUE!</v>
      </c>
      <c r="T15" s="3" t="str">
        <f t="shared" si="4"/>
        <v>Lắp dựng đà giáo thân mố A2</v>
      </c>
    </row>
    <row r="16" spans="1:20" ht="25.5" customHeight="1" outlineLevel="2">
      <c r="A16" s="81">
        <f>SUBTOTAL(103,$B$12:B16)</f>
        <v>5</v>
      </c>
      <c r="B16" s="78">
        <f>Q16</f>
        <v>43351</v>
      </c>
      <c r="C16" s="571" t="str">
        <f>T16</f>
        <v>Tháo dỡ đà giáo bệ mố A1</v>
      </c>
      <c r="D16" s="572"/>
      <c r="E16" s="573"/>
      <c r="F16" s="2">
        <f>P16</f>
        <v>17.93</v>
      </c>
      <c r="G16" s="1">
        <f>P16</f>
        <v>17.93</v>
      </c>
      <c r="H16" s="381">
        <f>P16</f>
        <v>17.93</v>
      </c>
      <c r="I16" s="107">
        <f>P16</f>
        <v>17.93</v>
      </c>
      <c r="J16" s="107">
        <f>P16</f>
        <v>17.93</v>
      </c>
      <c r="K16" s="700" t="s">
        <v>677</v>
      </c>
      <c r="N16" s="118"/>
      <c r="O16" s="118" t="s">
        <v>775</v>
      </c>
      <c r="P16" s="88">
        <v>17.93</v>
      </c>
      <c r="Q16" s="89">
        <v>43351</v>
      </c>
      <c r="R16" s="88"/>
      <c r="S16" s="88" t="e">
        <f t="shared" si="0"/>
        <v>#VALUE!</v>
      </c>
      <c r="T16" s="3" t="str">
        <f>$N$8&amp;" "&amp;O16</f>
        <v>Tháo dỡ đà giáo bệ mố A1</v>
      </c>
    </row>
    <row r="17" spans="1:20" ht="14.25" outlineLevel="2">
      <c r="A17" s="81">
        <f>SUBTOTAL(103,$B$12:B17)</f>
        <v>6</v>
      </c>
      <c r="B17" s="78">
        <f t="shared" ref="B17:B19" si="5">Q17</f>
        <v>43311</v>
      </c>
      <c r="C17" s="571" t="str">
        <f t="shared" ref="C17:C19" si="6">T17</f>
        <v>Tháo dỡ đà giáo bệ mố A2</v>
      </c>
      <c r="D17" s="572"/>
      <c r="E17" s="573"/>
      <c r="F17" s="2">
        <f t="shared" ref="F17:F19" si="7">P17</f>
        <v>17.93</v>
      </c>
      <c r="G17" s="1">
        <f t="shared" ref="G17:G19" si="8">P17</f>
        <v>17.93</v>
      </c>
      <c r="H17" s="381">
        <f t="shared" ref="H17:H19" si="9">P17</f>
        <v>17.93</v>
      </c>
      <c r="I17" s="107">
        <f t="shared" ref="I17:I19" si="10">P17</f>
        <v>17.93</v>
      </c>
      <c r="J17" s="107">
        <f t="shared" ref="J17:J19" si="11">P17</f>
        <v>17.93</v>
      </c>
      <c r="K17" s="701"/>
      <c r="N17" s="118"/>
      <c r="O17" s="118" t="s">
        <v>776</v>
      </c>
      <c r="P17" s="88">
        <v>17.93</v>
      </c>
      <c r="Q17" s="89">
        <v>43311</v>
      </c>
      <c r="R17" s="88"/>
      <c r="S17" s="88" t="e">
        <f t="shared" si="0"/>
        <v>#VALUE!</v>
      </c>
      <c r="T17" s="3" t="str">
        <f t="shared" ref="T17:T19" si="12">$N$8&amp;" "&amp;O17</f>
        <v>Tháo dỡ đà giáo bệ mố A2</v>
      </c>
    </row>
    <row r="18" spans="1:20" ht="14.25" outlineLevel="2">
      <c r="A18" s="81">
        <f>SUBTOTAL(103,$B$12:B18)</f>
        <v>7</v>
      </c>
      <c r="B18" s="78">
        <f t="shared" si="5"/>
        <v>43399</v>
      </c>
      <c r="C18" s="571" t="str">
        <f t="shared" si="6"/>
        <v>Tháo dỡ đà giáo thân mố A1</v>
      </c>
      <c r="D18" s="572"/>
      <c r="E18" s="573"/>
      <c r="F18" s="2">
        <f t="shared" si="7"/>
        <v>39.46</v>
      </c>
      <c r="G18" s="1">
        <f t="shared" si="8"/>
        <v>39.46</v>
      </c>
      <c r="H18" s="381">
        <f t="shared" si="9"/>
        <v>39.46</v>
      </c>
      <c r="I18" s="107">
        <f t="shared" si="10"/>
        <v>39.46</v>
      </c>
      <c r="J18" s="107">
        <f t="shared" si="11"/>
        <v>39.46</v>
      </c>
      <c r="K18" s="701"/>
      <c r="N18" s="118"/>
      <c r="O18" s="118" t="s">
        <v>777</v>
      </c>
      <c r="P18" s="88">
        <v>39.46</v>
      </c>
      <c r="Q18" s="89">
        <v>43399</v>
      </c>
      <c r="R18" s="88"/>
      <c r="S18" s="88" t="e">
        <f t="shared" si="0"/>
        <v>#VALUE!</v>
      </c>
      <c r="T18" s="3" t="str">
        <f t="shared" si="12"/>
        <v>Tháo dỡ đà giáo thân mố A1</v>
      </c>
    </row>
    <row r="19" spans="1:20" ht="14.25" outlineLevel="2">
      <c r="A19" s="81">
        <f>SUBTOTAL(103,$B$12:B19)</f>
        <v>8</v>
      </c>
      <c r="B19" s="78">
        <f t="shared" si="5"/>
        <v>43359</v>
      </c>
      <c r="C19" s="571" t="str">
        <f t="shared" si="6"/>
        <v>Tháo dỡ đà giáo thân mố A2</v>
      </c>
      <c r="D19" s="572"/>
      <c r="E19" s="573"/>
      <c r="F19" s="2">
        <f t="shared" si="7"/>
        <v>39.46</v>
      </c>
      <c r="G19" s="1">
        <f t="shared" si="8"/>
        <v>39.46</v>
      </c>
      <c r="H19" s="381">
        <f t="shared" si="9"/>
        <v>39.46</v>
      </c>
      <c r="I19" s="107">
        <f t="shared" si="10"/>
        <v>39.46</v>
      </c>
      <c r="J19" s="107">
        <f t="shared" si="11"/>
        <v>39.46</v>
      </c>
      <c r="K19" s="702"/>
      <c r="N19" s="118"/>
      <c r="O19" s="118" t="s">
        <v>778</v>
      </c>
      <c r="P19" s="88">
        <v>39.46</v>
      </c>
      <c r="Q19" s="89">
        <v>43359</v>
      </c>
      <c r="R19" s="88"/>
      <c r="S19" s="88" t="e">
        <f t="shared" si="0"/>
        <v>#VALUE!</v>
      </c>
      <c r="T19" s="3" t="str">
        <f t="shared" si="12"/>
        <v>Tháo dỡ đà giáo thân mố A2</v>
      </c>
    </row>
    <row r="20" spans="1:20" ht="14.25" outlineLevel="2">
      <c r="A20" s="81"/>
      <c r="B20" s="78"/>
      <c r="C20" s="571"/>
      <c r="D20" s="572"/>
      <c r="E20" s="573"/>
      <c r="F20" s="27"/>
      <c r="G20" s="33"/>
      <c r="H20" s="31"/>
      <c r="I20" s="107"/>
      <c r="J20" s="107"/>
      <c r="K20" s="82"/>
      <c r="N20" s="118"/>
      <c r="O20" s="118"/>
      <c r="P20" s="88"/>
      <c r="Q20" s="89"/>
      <c r="R20" s="88"/>
      <c r="S20" s="88"/>
      <c r="T20" s="3"/>
    </row>
    <row r="21" spans="1:20" thickBot="1">
      <c r="A21" s="574" t="s">
        <v>4</v>
      </c>
      <c r="B21" s="575"/>
      <c r="C21" s="575"/>
      <c r="D21" s="575"/>
      <c r="E21" s="575"/>
      <c r="F21" s="79">
        <f>ROUND(SUM(F12:F20),2)</f>
        <v>114.78</v>
      </c>
      <c r="G21" s="79">
        <f t="shared" ref="G21:I21" si="13">ROUND(SUM(G12:G20),2)</f>
        <v>114.78</v>
      </c>
      <c r="H21" s="79">
        <f t="shared" si="13"/>
        <v>114.78</v>
      </c>
      <c r="I21" s="79">
        <f t="shared" si="13"/>
        <v>114.78</v>
      </c>
      <c r="J21" s="79">
        <f>'[5]PKTT ĐỢT 7'!$AA$392</f>
        <v>98.8</v>
      </c>
      <c r="K21" s="80"/>
      <c r="N21" s="118"/>
      <c r="O21" s="118"/>
      <c r="P21" s="90">
        <f>SUM(P12:P12)</f>
        <v>17.93</v>
      </c>
    </row>
    <row r="22" spans="1:20" s="175" customFormat="1" ht="18" customHeight="1" thickTop="1" thickBot="1">
      <c r="A22" s="249"/>
      <c r="B22" s="249"/>
      <c r="C22" s="249"/>
      <c r="D22" s="249"/>
      <c r="E22" s="249"/>
      <c r="F22" s="116"/>
      <c r="G22" s="116"/>
      <c r="H22" s="116"/>
      <c r="I22" s="116"/>
      <c r="J22" s="116"/>
      <c r="K22" s="117"/>
      <c r="L22" s="4"/>
      <c r="M22" s="4"/>
      <c r="N22" s="118"/>
      <c r="O22" s="118"/>
      <c r="P22" s="119"/>
      <c r="Q22" s="120"/>
      <c r="R22" s="120"/>
      <c r="S22" s="120"/>
      <c r="T22" s="121"/>
    </row>
    <row r="23" spans="1:20" s="5" customFormat="1" ht="13.9" customHeight="1" thickTop="1">
      <c r="A23" s="578" t="s">
        <v>68</v>
      </c>
      <c r="B23" s="579"/>
      <c r="C23" s="579"/>
      <c r="D23" s="579"/>
      <c r="E23" s="579"/>
      <c r="F23" s="580" t="s">
        <v>69</v>
      </c>
      <c r="G23" s="580"/>
      <c r="H23" s="580"/>
      <c r="I23" s="581"/>
      <c r="J23" s="581"/>
      <c r="K23" s="582"/>
      <c r="L23" s="4"/>
      <c r="M23" s="4"/>
      <c r="N23" s="4"/>
      <c r="O23" s="4"/>
      <c r="P23" s="4"/>
    </row>
    <row r="24" spans="1:20" s="5" customFormat="1" ht="13.9" customHeight="1">
      <c r="A24" s="583" t="s">
        <v>5</v>
      </c>
      <c r="B24" s="584"/>
      <c r="C24" s="584"/>
      <c r="D24" s="584"/>
      <c r="E24" s="584"/>
      <c r="F24" s="585" t="s">
        <v>6</v>
      </c>
      <c r="G24" s="585"/>
      <c r="H24" s="585"/>
      <c r="I24" s="586"/>
      <c r="J24" s="586"/>
      <c r="K24" s="587"/>
      <c r="L24" s="4"/>
      <c r="M24" s="4"/>
      <c r="N24" s="4"/>
      <c r="O24" s="4"/>
      <c r="P24" s="4"/>
    </row>
    <row r="25" spans="1:20" s="5" customFormat="1" ht="13.9" customHeight="1">
      <c r="A25" s="583" t="s">
        <v>836</v>
      </c>
      <c r="B25" s="584"/>
      <c r="C25" s="584"/>
      <c r="D25" s="584"/>
      <c r="E25" s="584"/>
      <c r="F25" s="590" t="s">
        <v>837</v>
      </c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>
      <c r="A27" s="583"/>
      <c r="B27" s="584"/>
      <c r="C27" s="584"/>
      <c r="D27" s="584"/>
      <c r="E27" s="584"/>
      <c r="F27" s="590"/>
      <c r="G27" s="590"/>
      <c r="H27" s="590"/>
      <c r="I27" s="591"/>
      <c r="J27" s="591"/>
      <c r="K27" s="592"/>
      <c r="L27" s="4"/>
      <c r="M27" s="4"/>
      <c r="N27" s="4"/>
      <c r="O27" s="4"/>
      <c r="P27" s="4"/>
    </row>
    <row r="28" spans="1:20" s="5" customFormat="1" ht="13.9" customHeight="1">
      <c r="A28" s="583"/>
      <c r="B28" s="584"/>
      <c r="C28" s="584"/>
      <c r="D28" s="584"/>
      <c r="E28" s="584"/>
      <c r="F28" s="590"/>
      <c r="G28" s="590"/>
      <c r="H28" s="590"/>
      <c r="I28" s="591"/>
      <c r="J28" s="591"/>
      <c r="K28" s="592"/>
      <c r="L28" s="4"/>
      <c r="M28" s="4"/>
      <c r="N28" s="4"/>
      <c r="O28" s="4"/>
      <c r="P28" s="4"/>
    </row>
    <row r="29" spans="1:20" s="5" customFormat="1" ht="13.9" customHeight="1">
      <c r="A29" s="583"/>
      <c r="B29" s="584"/>
      <c r="C29" s="584"/>
      <c r="D29" s="584"/>
      <c r="E29" s="584"/>
      <c r="F29" s="590"/>
      <c r="G29" s="590"/>
      <c r="H29" s="590"/>
      <c r="I29" s="591"/>
      <c r="J29" s="591"/>
      <c r="K29" s="592"/>
      <c r="L29" s="4"/>
      <c r="M29" s="4"/>
      <c r="N29" s="4"/>
      <c r="O29" s="4"/>
      <c r="P29" s="4"/>
    </row>
    <row r="30" spans="1:20" s="5" customFormat="1" ht="13.9" customHeight="1">
      <c r="A30" s="583"/>
      <c r="B30" s="584"/>
      <c r="C30" s="584"/>
      <c r="D30" s="584"/>
      <c r="E30" s="584"/>
      <c r="F30" s="590"/>
      <c r="G30" s="590"/>
      <c r="H30" s="590"/>
      <c r="I30" s="591"/>
      <c r="J30" s="591"/>
      <c r="K30" s="592"/>
      <c r="L30" s="4"/>
      <c r="M30" s="4"/>
      <c r="N30" s="4"/>
      <c r="O30" s="4"/>
      <c r="P30" s="4"/>
    </row>
    <row r="31" spans="1:20" s="5" customFormat="1" ht="13.9" customHeight="1" thickBot="1">
      <c r="A31" s="588"/>
      <c r="B31" s="589"/>
      <c r="C31" s="589"/>
      <c r="D31" s="589"/>
      <c r="E31" s="589"/>
      <c r="F31" s="593"/>
      <c r="G31" s="593"/>
      <c r="H31" s="593"/>
      <c r="I31" s="594"/>
      <c r="J31" s="594"/>
      <c r="K31" s="595"/>
      <c r="L31" s="4"/>
      <c r="M31" s="4"/>
      <c r="N31" s="4"/>
      <c r="O31" s="4"/>
      <c r="P31" s="4"/>
    </row>
    <row r="32" spans="1:20" s="175" customFormat="1" ht="18" customHeight="1" thickTop="1">
      <c r="A32" s="249"/>
      <c r="B32" s="249"/>
      <c r="C32" s="249"/>
      <c r="D32" s="249"/>
      <c r="E32" s="249"/>
      <c r="F32" s="116"/>
      <c r="G32" s="116"/>
      <c r="H32" s="116"/>
      <c r="I32" s="116"/>
      <c r="J32" s="116"/>
      <c r="K32" s="117"/>
      <c r="L32" s="118"/>
      <c r="M32" s="118"/>
      <c r="N32" s="118"/>
      <c r="O32" s="118"/>
      <c r="P32" s="119"/>
      <c r="Q32" s="120"/>
      <c r="R32" s="120"/>
      <c r="S32" s="120"/>
      <c r="T32" s="121"/>
    </row>
    <row r="33" spans="1:20" s="111" customFormat="1" ht="48" customHeight="1">
      <c r="A33" s="596" t="s">
        <v>87</v>
      </c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108"/>
      <c r="M33" s="109"/>
      <c r="N33" s="110"/>
    </row>
    <row r="34" spans="1:20" s="112" customFormat="1" ht="18" customHeight="1">
      <c r="A34" s="597" t="s">
        <v>599</v>
      </c>
      <c r="B34" s="597"/>
      <c r="C34" s="597"/>
      <c r="D34" s="597"/>
      <c r="E34" s="597"/>
      <c r="F34" s="597"/>
      <c r="G34" s="597"/>
      <c r="H34" s="597"/>
      <c r="I34" s="597"/>
      <c r="J34" s="597"/>
      <c r="K34" s="597"/>
    </row>
    <row r="35" spans="1:20" s="175" customFormat="1" ht="20.100000000000001" customHeight="1">
      <c r="A35" s="598" t="s">
        <v>90</v>
      </c>
      <c r="B35" s="598"/>
      <c r="C35" s="598"/>
      <c r="D35" s="598"/>
      <c r="E35" s="598"/>
      <c r="F35" s="598"/>
      <c r="G35" s="598"/>
      <c r="H35" s="598"/>
      <c r="I35" s="598"/>
      <c r="J35" s="598"/>
      <c r="K35" s="598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599" t="s">
        <v>91</v>
      </c>
      <c r="B36" s="599"/>
      <c r="C36" s="599"/>
      <c r="D36" s="599"/>
      <c r="E36" s="599"/>
      <c r="F36" s="599"/>
      <c r="G36" s="599"/>
      <c r="H36" s="599"/>
      <c r="I36" s="599"/>
      <c r="J36" s="599"/>
      <c r="K36" s="599"/>
      <c r="L36" s="123"/>
      <c r="M36" s="124"/>
      <c r="N36" s="123"/>
      <c r="O36" s="123"/>
      <c r="P36" s="123"/>
      <c r="Q36" s="123"/>
      <c r="R36" s="123"/>
      <c r="S36" s="123"/>
      <c r="T36" s="123"/>
    </row>
    <row r="37" spans="1:20" s="175" customFormat="1" ht="15.95" customHeight="1">
      <c r="A37" s="600" t="str">
        <f>A4</f>
        <v>PHẦN C.: CẦU VƯỢT</v>
      </c>
      <c r="B37" s="601"/>
      <c r="C37" s="601"/>
      <c r="D37" s="601"/>
      <c r="E37" s="601"/>
      <c r="F37" s="601"/>
      <c r="G37" s="601"/>
      <c r="H37" s="601"/>
      <c r="I37" s="601"/>
      <c r="J37" s="601"/>
      <c r="K37" s="602"/>
      <c r="L37" s="123"/>
      <c r="M37" s="124"/>
      <c r="N37" s="123"/>
      <c r="O37" s="123"/>
      <c r="P37" s="123"/>
      <c r="Q37" s="123"/>
      <c r="R37" s="123"/>
      <c r="S37" s="123"/>
      <c r="T37" s="123"/>
    </row>
    <row r="38" spans="1:20" s="175" customFormat="1" ht="15.95" customHeight="1">
      <c r="A38" s="250" t="str">
        <f>A5</f>
        <v>Hạng mục C.II.2. PHỤ TRỢ THI CÔNG</v>
      </c>
      <c r="B38" s="251"/>
      <c r="C38" s="127"/>
      <c r="D38" s="127"/>
      <c r="E38" s="128"/>
      <c r="F38" s="129"/>
      <c r="G38" s="129"/>
      <c r="H38" s="129"/>
      <c r="I38" s="129"/>
      <c r="J38" s="129"/>
      <c r="K38" s="130"/>
      <c r="L38" s="123"/>
      <c r="M38" s="124"/>
      <c r="N38" s="123"/>
      <c r="O38" s="123"/>
      <c r="P38" s="123"/>
      <c r="Q38" s="123"/>
      <c r="R38" s="123"/>
      <c r="S38" s="123"/>
      <c r="T38" s="123"/>
    </row>
    <row r="39" spans="1:20" s="175" customFormat="1" ht="15.95" customHeight="1">
      <c r="A39" s="250" t="str">
        <f>A6</f>
        <v>Mục C.II.2.3. Lắp dựng + tháo dỡ thép đà giáo</v>
      </c>
      <c r="B39" s="251"/>
      <c r="C39" s="127"/>
      <c r="D39" s="127"/>
      <c r="E39" s="128"/>
      <c r="F39" s="129"/>
      <c r="G39" s="129"/>
      <c r="H39" s="129"/>
      <c r="I39" s="129"/>
      <c r="J39" s="129"/>
      <c r="K39" s="130"/>
      <c r="L39" s="123"/>
      <c r="M39" s="124"/>
      <c r="N39" s="123"/>
      <c r="O39" s="123"/>
      <c r="P39" s="123"/>
      <c r="Q39" s="123"/>
      <c r="R39" s="123"/>
      <c r="S39" s="123"/>
      <c r="T39" s="123"/>
    </row>
    <row r="40" spans="1:20" s="175" customFormat="1" ht="15.95" customHeight="1">
      <c r="A40" s="639">
        <f>A7</f>
        <v>114.78</v>
      </c>
      <c r="B40" s="640"/>
      <c r="C40" s="640"/>
      <c r="D40" s="640"/>
      <c r="E40" s="131" t="str">
        <f>E7</f>
        <v>(T)</v>
      </c>
      <c r="F40" s="132"/>
      <c r="G40" s="132"/>
      <c r="H40" s="132"/>
      <c r="I40" s="132"/>
      <c r="J40" s="132"/>
      <c r="K40" s="133"/>
      <c r="L40" s="173"/>
      <c r="M40" s="135"/>
      <c r="N40" s="174"/>
      <c r="P40" s="174"/>
    </row>
    <row r="41" spans="1:20" s="5" customFormat="1" ht="13.5" customHeight="1" thickBot="1">
      <c r="A41" s="28"/>
      <c r="B41" s="28"/>
      <c r="C41" s="28"/>
      <c r="D41" s="28"/>
      <c r="E41" s="28"/>
      <c r="F41" s="30"/>
      <c r="G41" s="30"/>
      <c r="H41" s="30"/>
      <c r="I41" s="30"/>
      <c r="J41" s="30"/>
      <c r="K41" s="8"/>
      <c r="L41" s="23"/>
      <c r="M41" s="9"/>
      <c r="N41" s="4"/>
      <c r="O41" s="4"/>
      <c r="P41" s="4"/>
      <c r="R41" s="4"/>
      <c r="S41" s="4"/>
      <c r="T41" s="4"/>
    </row>
    <row r="42" spans="1:20" s="5" customFormat="1" ht="21.6" customHeight="1" thickTop="1">
      <c r="A42" s="576" t="s">
        <v>3</v>
      </c>
      <c r="B42" s="641" t="s">
        <v>84</v>
      </c>
      <c r="C42" s="641"/>
      <c r="D42" s="643" t="s">
        <v>96</v>
      </c>
      <c r="E42" s="643"/>
      <c r="F42" s="643"/>
      <c r="G42" s="643"/>
      <c r="H42" s="641" t="s">
        <v>89</v>
      </c>
      <c r="I42" s="641"/>
      <c r="J42" s="641" t="s">
        <v>85</v>
      </c>
      <c r="K42" s="645"/>
      <c r="L42"/>
      <c r="M42" s="94"/>
      <c r="N42" s="94"/>
      <c r="O42" s="95"/>
      <c r="P42" s="96"/>
    </row>
    <row r="43" spans="1:20" s="5" customFormat="1" ht="21.6" customHeight="1">
      <c r="A43" s="577"/>
      <c r="B43" s="642"/>
      <c r="C43" s="642"/>
      <c r="D43" s="644"/>
      <c r="E43" s="644"/>
      <c r="F43" s="644"/>
      <c r="G43" s="644"/>
      <c r="H43" s="642"/>
      <c r="I43" s="642"/>
      <c r="J43" s="642"/>
      <c r="K43" s="646"/>
      <c r="L43"/>
      <c r="M43" s="97"/>
      <c r="N43" s="97"/>
      <c r="O43" s="98"/>
      <c r="P43" s="99"/>
    </row>
    <row r="44" spans="1:20" s="5" customFormat="1" ht="17.100000000000001" customHeight="1">
      <c r="A44" s="100">
        <v>1</v>
      </c>
      <c r="B44" s="623" t="str">
        <f>"Tháng "&amp;IF(L44&lt;10,0&amp;L44&amp;"/"&amp;M44,L44&amp;"/"&amp;M44)</f>
        <v>Tháng 08/2017</v>
      </c>
      <c r="C44" s="623"/>
      <c r="D44" s="624" t="str">
        <f>N6</f>
        <v>Lắp dựng + tháo dỡ thép đà giáo</v>
      </c>
      <c r="E44" s="624"/>
      <c r="F44" s="624"/>
      <c r="G44" s="624"/>
      <c r="H44" s="625">
        <f t="shared" ref="H44:H67" si="14">+SUMIFS($I$12:$I$20,$B$12:$B$20,"&gt;="&amp;$O44,$B$12:$B$20,"&lt;="&amp;$P44)</f>
        <v>0</v>
      </c>
      <c r="I44" s="625"/>
      <c r="J44" s="623"/>
      <c r="K44" s="626"/>
      <c r="L44">
        <v>8</v>
      </c>
      <c r="M44" s="101">
        <v>2017</v>
      </c>
      <c r="N44" s="97"/>
      <c r="O44" s="103">
        <f t="shared" ref="O44:O68" si="15">DATE(M44,L44,1)</f>
        <v>42948</v>
      </c>
      <c r="P44" s="103">
        <f t="shared" ref="P44:P68" si="16">DATE(M44,L44+1,0)</f>
        <v>42978</v>
      </c>
    </row>
    <row r="45" spans="1:20" s="5" customFormat="1" ht="17.100000000000001" customHeight="1">
      <c r="A45" s="104">
        <v>2</v>
      </c>
      <c r="B45" s="567" t="str">
        <f t="shared" ref="B45:B69" si="17">"Tháng "&amp;IF(L45&lt;10,0&amp;L45&amp;"/"&amp;M45,L45&amp;"/"&amp;M45)</f>
        <v>Tháng 09/2017</v>
      </c>
      <c r="C45" s="567"/>
      <c r="D45" s="568" t="str">
        <f>D44</f>
        <v>Lắp dựng + tháo dỡ thép đà giáo</v>
      </c>
      <c r="E45" s="568"/>
      <c r="F45" s="568"/>
      <c r="G45" s="568"/>
      <c r="H45" s="569">
        <f t="shared" si="14"/>
        <v>0</v>
      </c>
      <c r="I45" s="569"/>
      <c r="J45" s="567"/>
      <c r="K45" s="570"/>
      <c r="L45">
        <v>9</v>
      </c>
      <c r="M45" s="101">
        <v>2017</v>
      </c>
      <c r="N45"/>
      <c r="O45" s="103">
        <f t="shared" si="15"/>
        <v>42979</v>
      </c>
      <c r="P45" s="103">
        <f t="shared" si="16"/>
        <v>43008</v>
      </c>
    </row>
    <row r="46" spans="1:20" s="5" customFormat="1" ht="17.100000000000001" customHeight="1">
      <c r="A46" s="104">
        <f>A45+1</f>
        <v>3</v>
      </c>
      <c r="B46" s="567" t="str">
        <f t="shared" si="17"/>
        <v>Tháng 10/2017</v>
      </c>
      <c r="C46" s="567"/>
      <c r="D46" s="568" t="str">
        <f t="shared" ref="D46:D68" si="18">D45</f>
        <v>Lắp dựng + tháo dỡ thép đà giáo</v>
      </c>
      <c r="E46" s="568"/>
      <c r="F46" s="568"/>
      <c r="G46" s="568"/>
      <c r="H46" s="569">
        <f t="shared" si="14"/>
        <v>0</v>
      </c>
      <c r="I46" s="569"/>
      <c r="J46" s="567"/>
      <c r="K46" s="570"/>
      <c r="L46">
        <v>10</v>
      </c>
      <c r="M46" s="101">
        <v>2017</v>
      </c>
      <c r="N46"/>
      <c r="O46" s="103">
        <f t="shared" si="15"/>
        <v>43009</v>
      </c>
      <c r="P46" s="103">
        <f t="shared" si="16"/>
        <v>43039</v>
      </c>
    </row>
    <row r="47" spans="1:20" s="5" customFormat="1" ht="17.100000000000001" customHeight="1">
      <c r="A47" s="104">
        <f t="shared" ref="A47:A69" si="19">A46+1</f>
        <v>4</v>
      </c>
      <c r="B47" s="567" t="str">
        <f t="shared" si="17"/>
        <v>Tháng 11/2017</v>
      </c>
      <c r="C47" s="567"/>
      <c r="D47" s="568" t="str">
        <f t="shared" si="18"/>
        <v>Lắp dựng + tháo dỡ thép đà giáo</v>
      </c>
      <c r="E47" s="568"/>
      <c r="F47" s="568"/>
      <c r="G47" s="568"/>
      <c r="H47" s="569">
        <f t="shared" si="14"/>
        <v>0</v>
      </c>
      <c r="I47" s="569"/>
      <c r="J47" s="567"/>
      <c r="K47" s="570"/>
      <c r="L47">
        <v>11</v>
      </c>
      <c r="M47" s="101">
        <v>2017</v>
      </c>
      <c r="N47"/>
      <c r="O47" s="103">
        <f t="shared" si="15"/>
        <v>43040</v>
      </c>
      <c r="P47" s="103">
        <f t="shared" si="16"/>
        <v>43069</v>
      </c>
    </row>
    <row r="48" spans="1:20" s="5" customFormat="1" ht="17.100000000000001" customHeight="1">
      <c r="A48" s="104">
        <f t="shared" si="19"/>
        <v>5</v>
      </c>
      <c r="B48" s="567" t="str">
        <f t="shared" si="17"/>
        <v>Tháng 12/2017</v>
      </c>
      <c r="C48" s="567"/>
      <c r="D48" s="568" t="str">
        <f t="shared" si="18"/>
        <v>Lắp dựng + tháo dỡ thép đà giáo</v>
      </c>
      <c r="E48" s="568"/>
      <c r="F48" s="568"/>
      <c r="G48" s="568"/>
      <c r="H48" s="569">
        <f t="shared" si="14"/>
        <v>0</v>
      </c>
      <c r="I48" s="569"/>
      <c r="J48" s="567"/>
      <c r="K48" s="570"/>
      <c r="L48">
        <v>12</v>
      </c>
      <c r="M48" s="101">
        <v>2017</v>
      </c>
      <c r="N48"/>
      <c r="O48" s="103">
        <f t="shared" si="15"/>
        <v>43070</v>
      </c>
      <c r="P48" s="103">
        <f t="shared" si="16"/>
        <v>43100</v>
      </c>
    </row>
    <row r="49" spans="1:16" s="5" customFormat="1" ht="17.100000000000001" customHeight="1">
      <c r="A49" s="104">
        <f t="shared" si="19"/>
        <v>6</v>
      </c>
      <c r="B49" s="567" t="str">
        <f t="shared" si="17"/>
        <v>Tháng 01/2018</v>
      </c>
      <c r="C49" s="567"/>
      <c r="D49" s="568" t="str">
        <f t="shared" si="18"/>
        <v>Lắp dựng + tháo dỡ thép đà giáo</v>
      </c>
      <c r="E49" s="568"/>
      <c r="F49" s="568"/>
      <c r="G49" s="568"/>
      <c r="H49" s="569">
        <f t="shared" si="14"/>
        <v>0</v>
      </c>
      <c r="I49" s="569"/>
      <c r="J49" s="567"/>
      <c r="K49" s="570"/>
      <c r="L49">
        <v>1</v>
      </c>
      <c r="M49" s="101">
        <v>2018</v>
      </c>
      <c r="N49"/>
      <c r="O49" s="103">
        <f t="shared" si="15"/>
        <v>43101</v>
      </c>
      <c r="P49" s="103">
        <f t="shared" si="16"/>
        <v>43131</v>
      </c>
    </row>
    <row r="50" spans="1:16" s="5" customFormat="1" ht="17.100000000000001" customHeight="1">
      <c r="A50" s="104">
        <f t="shared" si="19"/>
        <v>7</v>
      </c>
      <c r="B50" s="567" t="str">
        <f t="shared" si="17"/>
        <v>Tháng 02/2018</v>
      </c>
      <c r="C50" s="567"/>
      <c r="D50" s="568" t="str">
        <f t="shared" si="18"/>
        <v>Lắp dựng + tháo dỡ thép đà giáo</v>
      </c>
      <c r="E50" s="568"/>
      <c r="F50" s="568"/>
      <c r="G50" s="568"/>
      <c r="H50" s="569">
        <f t="shared" si="14"/>
        <v>0</v>
      </c>
      <c r="I50" s="569"/>
      <c r="J50" s="567"/>
      <c r="K50" s="570"/>
      <c r="L50">
        <v>2</v>
      </c>
      <c r="M50" s="101">
        <v>2018</v>
      </c>
      <c r="N50"/>
      <c r="O50" s="103">
        <f t="shared" si="15"/>
        <v>43132</v>
      </c>
      <c r="P50" s="103">
        <f t="shared" si="16"/>
        <v>43159</v>
      </c>
    </row>
    <row r="51" spans="1:16" s="5" customFormat="1" ht="17.100000000000001" customHeight="1">
      <c r="A51" s="104">
        <f t="shared" si="19"/>
        <v>8</v>
      </c>
      <c r="B51" s="567" t="str">
        <f t="shared" si="17"/>
        <v>Tháng 03/2018</v>
      </c>
      <c r="C51" s="567"/>
      <c r="D51" s="568" t="str">
        <f t="shared" si="18"/>
        <v>Lắp dựng + tháo dỡ thép đà giáo</v>
      </c>
      <c r="E51" s="568"/>
      <c r="F51" s="568"/>
      <c r="G51" s="568"/>
      <c r="H51" s="569">
        <f t="shared" si="14"/>
        <v>0</v>
      </c>
      <c r="I51" s="569"/>
      <c r="J51" s="567"/>
      <c r="K51" s="570"/>
      <c r="L51">
        <v>3</v>
      </c>
      <c r="M51" s="101">
        <v>2018</v>
      </c>
      <c r="N51"/>
      <c r="O51" s="103">
        <f t="shared" si="15"/>
        <v>43160</v>
      </c>
      <c r="P51" s="103">
        <f t="shared" si="16"/>
        <v>43190</v>
      </c>
    </row>
    <row r="52" spans="1:16" s="5" customFormat="1" ht="17.100000000000001" customHeight="1">
      <c r="A52" s="104">
        <f t="shared" si="19"/>
        <v>9</v>
      </c>
      <c r="B52" s="567" t="str">
        <f t="shared" si="17"/>
        <v>Tháng 04/2018</v>
      </c>
      <c r="C52" s="567"/>
      <c r="D52" s="568" t="str">
        <f t="shared" si="18"/>
        <v>Lắp dựng + tháo dỡ thép đà giáo</v>
      </c>
      <c r="E52" s="568"/>
      <c r="F52" s="568"/>
      <c r="G52" s="568"/>
      <c r="H52" s="569">
        <f t="shared" si="14"/>
        <v>0</v>
      </c>
      <c r="I52" s="569"/>
      <c r="J52" s="567"/>
      <c r="K52" s="570"/>
      <c r="L52">
        <v>4</v>
      </c>
      <c r="M52" s="101">
        <v>2018</v>
      </c>
      <c r="N52"/>
      <c r="O52" s="103">
        <f t="shared" si="15"/>
        <v>43191</v>
      </c>
      <c r="P52" s="103">
        <f t="shared" si="16"/>
        <v>43220</v>
      </c>
    </row>
    <row r="53" spans="1:16" s="5" customFormat="1" ht="17.100000000000001" customHeight="1">
      <c r="A53" s="104">
        <f t="shared" si="19"/>
        <v>10</v>
      </c>
      <c r="B53" s="567" t="str">
        <f t="shared" si="17"/>
        <v>Tháng 05/2018</v>
      </c>
      <c r="C53" s="567"/>
      <c r="D53" s="568" t="str">
        <f t="shared" si="18"/>
        <v>Lắp dựng + tháo dỡ thép đà giáo</v>
      </c>
      <c r="E53" s="568"/>
      <c r="F53" s="568"/>
      <c r="G53" s="568"/>
      <c r="H53" s="569">
        <f t="shared" si="14"/>
        <v>0</v>
      </c>
      <c r="I53" s="569"/>
      <c r="J53" s="567"/>
      <c r="K53" s="570"/>
      <c r="L53">
        <v>5</v>
      </c>
      <c r="M53" s="101">
        <v>2018</v>
      </c>
      <c r="N53"/>
      <c r="O53" s="103">
        <f t="shared" si="15"/>
        <v>43221</v>
      </c>
      <c r="P53" s="103">
        <f t="shared" si="16"/>
        <v>43251</v>
      </c>
    </row>
    <row r="54" spans="1:16" s="5" customFormat="1" ht="17.100000000000001" customHeight="1">
      <c r="A54" s="104">
        <f t="shared" si="19"/>
        <v>11</v>
      </c>
      <c r="B54" s="567" t="str">
        <f t="shared" si="17"/>
        <v>Tháng 06/2018</v>
      </c>
      <c r="C54" s="567"/>
      <c r="D54" s="568" t="str">
        <f t="shared" si="18"/>
        <v>Lắp dựng + tháo dỡ thép đà giáo</v>
      </c>
      <c r="E54" s="568"/>
      <c r="F54" s="568"/>
      <c r="G54" s="568"/>
      <c r="H54" s="569">
        <f t="shared" si="14"/>
        <v>0</v>
      </c>
      <c r="I54" s="569"/>
      <c r="J54" s="567"/>
      <c r="K54" s="570"/>
      <c r="L54">
        <v>6</v>
      </c>
      <c r="M54" s="101">
        <v>2018</v>
      </c>
      <c r="N54"/>
      <c r="O54" s="103">
        <f t="shared" si="15"/>
        <v>43252</v>
      </c>
      <c r="P54" s="103">
        <f t="shared" si="16"/>
        <v>43281</v>
      </c>
    </row>
    <row r="55" spans="1:16" s="5" customFormat="1" ht="17.100000000000001" customHeight="1">
      <c r="A55" s="104">
        <f t="shared" si="19"/>
        <v>12</v>
      </c>
      <c r="B55" s="567" t="str">
        <f t="shared" si="17"/>
        <v>Tháng 07/2018</v>
      </c>
      <c r="C55" s="567"/>
      <c r="D55" s="568" t="str">
        <f t="shared" si="18"/>
        <v>Lắp dựng + tháo dỡ thép đà giáo</v>
      </c>
      <c r="E55" s="568"/>
      <c r="F55" s="568"/>
      <c r="G55" s="568"/>
      <c r="H55" s="569">
        <f t="shared" si="14"/>
        <v>17.93</v>
      </c>
      <c r="I55" s="569"/>
      <c r="J55" s="567"/>
      <c r="K55" s="570"/>
      <c r="L55">
        <v>7</v>
      </c>
      <c r="M55" s="101">
        <v>2018</v>
      </c>
      <c r="N55"/>
      <c r="O55" s="103">
        <f t="shared" si="15"/>
        <v>43282</v>
      </c>
      <c r="P55" s="103">
        <f t="shared" si="16"/>
        <v>43312</v>
      </c>
    </row>
    <row r="56" spans="1:16" s="5" customFormat="1" ht="17.100000000000001" customHeight="1">
      <c r="A56" s="104">
        <f t="shared" si="19"/>
        <v>13</v>
      </c>
      <c r="B56" s="567" t="str">
        <f t="shared" si="17"/>
        <v>Tháng 08/2018</v>
      </c>
      <c r="C56" s="567"/>
      <c r="D56" s="568" t="str">
        <f t="shared" si="18"/>
        <v>Lắp dựng + tháo dỡ thép đà giáo</v>
      </c>
      <c r="E56" s="568"/>
      <c r="F56" s="568"/>
      <c r="G56" s="568"/>
      <c r="H56" s="569">
        <f t="shared" si="14"/>
        <v>0</v>
      </c>
      <c r="I56" s="569"/>
      <c r="J56" s="567"/>
      <c r="K56" s="570"/>
      <c r="L56">
        <v>8</v>
      </c>
      <c r="M56" s="101">
        <v>2018</v>
      </c>
      <c r="N56"/>
      <c r="O56" s="103">
        <f t="shared" si="15"/>
        <v>43313</v>
      </c>
      <c r="P56" s="103">
        <f t="shared" si="16"/>
        <v>43343</v>
      </c>
    </row>
    <row r="57" spans="1:16" s="5" customFormat="1" ht="17.100000000000001" customHeight="1">
      <c r="A57" s="104">
        <f t="shared" si="19"/>
        <v>14</v>
      </c>
      <c r="B57" s="567" t="str">
        <f t="shared" si="17"/>
        <v>Tháng 09/2018</v>
      </c>
      <c r="C57" s="567"/>
      <c r="D57" s="568" t="str">
        <f t="shared" si="18"/>
        <v>Lắp dựng + tháo dỡ thép đà giáo</v>
      </c>
      <c r="E57" s="568"/>
      <c r="F57" s="568"/>
      <c r="G57" s="568"/>
      <c r="H57" s="569">
        <f t="shared" si="14"/>
        <v>57.39</v>
      </c>
      <c r="I57" s="569"/>
      <c r="J57" s="567"/>
      <c r="K57" s="570"/>
      <c r="L57">
        <v>9</v>
      </c>
      <c r="M57" s="101">
        <v>2018</v>
      </c>
      <c r="N57"/>
      <c r="O57" s="103">
        <f t="shared" si="15"/>
        <v>43344</v>
      </c>
      <c r="P57" s="103">
        <f t="shared" si="16"/>
        <v>43373</v>
      </c>
    </row>
    <row r="58" spans="1:16" s="5" customFormat="1" ht="17.100000000000001" customHeight="1">
      <c r="A58" s="104">
        <f t="shared" si="19"/>
        <v>15</v>
      </c>
      <c r="B58" s="567" t="str">
        <f t="shared" si="17"/>
        <v>Tháng 10/2018</v>
      </c>
      <c r="C58" s="567"/>
      <c r="D58" s="568" t="str">
        <f t="shared" si="18"/>
        <v>Lắp dựng + tháo dỡ thép đà giáo</v>
      </c>
      <c r="E58" s="568"/>
      <c r="F58" s="568"/>
      <c r="G58" s="568"/>
      <c r="H58" s="569">
        <f t="shared" si="14"/>
        <v>39.46</v>
      </c>
      <c r="I58" s="569"/>
      <c r="J58" s="567"/>
      <c r="K58" s="570"/>
      <c r="L58">
        <v>10</v>
      </c>
      <c r="M58" s="101">
        <v>2018</v>
      </c>
      <c r="N58"/>
      <c r="O58" s="103">
        <f t="shared" si="15"/>
        <v>43374</v>
      </c>
      <c r="P58" s="103">
        <f t="shared" si="16"/>
        <v>43404</v>
      </c>
    </row>
    <row r="59" spans="1:16" s="5" customFormat="1" ht="17.100000000000001" customHeight="1">
      <c r="A59" s="104">
        <f t="shared" si="19"/>
        <v>16</v>
      </c>
      <c r="B59" s="567" t="str">
        <f t="shared" si="17"/>
        <v>Tháng 11/2018</v>
      </c>
      <c r="C59" s="567"/>
      <c r="D59" s="568" t="str">
        <f t="shared" si="18"/>
        <v>Lắp dựng + tháo dỡ thép đà giáo</v>
      </c>
      <c r="E59" s="568"/>
      <c r="F59" s="568"/>
      <c r="G59" s="568"/>
      <c r="H59" s="569">
        <f t="shared" si="14"/>
        <v>0</v>
      </c>
      <c r="I59" s="569"/>
      <c r="J59" s="567"/>
      <c r="K59" s="570"/>
      <c r="L59">
        <v>11</v>
      </c>
      <c r="M59" s="101">
        <v>2018</v>
      </c>
      <c r="N59"/>
      <c r="O59" s="103">
        <f t="shared" si="15"/>
        <v>43405</v>
      </c>
      <c r="P59" s="103">
        <f t="shared" si="16"/>
        <v>43434</v>
      </c>
    </row>
    <row r="60" spans="1:16" s="5" customFormat="1" ht="17.100000000000001" customHeight="1">
      <c r="A60" s="104">
        <f t="shared" si="19"/>
        <v>17</v>
      </c>
      <c r="B60" s="567" t="str">
        <f t="shared" si="17"/>
        <v>Tháng 12/2018</v>
      </c>
      <c r="C60" s="567"/>
      <c r="D60" s="568" t="str">
        <f t="shared" si="18"/>
        <v>Lắp dựng + tháo dỡ thép đà giáo</v>
      </c>
      <c r="E60" s="568"/>
      <c r="F60" s="568"/>
      <c r="G60" s="568"/>
      <c r="H60" s="569">
        <f t="shared" si="14"/>
        <v>0</v>
      </c>
      <c r="I60" s="569"/>
      <c r="J60" s="567"/>
      <c r="K60" s="570"/>
      <c r="L60">
        <v>12</v>
      </c>
      <c r="M60" s="101">
        <v>2018</v>
      </c>
      <c r="N60"/>
      <c r="O60" s="103">
        <f t="shared" si="15"/>
        <v>43435</v>
      </c>
      <c r="P60" s="103">
        <f t="shared" si="16"/>
        <v>43465</v>
      </c>
    </row>
    <row r="61" spans="1:16" s="5" customFormat="1" ht="17.100000000000001" customHeight="1">
      <c r="A61" s="104">
        <f t="shared" si="19"/>
        <v>18</v>
      </c>
      <c r="B61" s="567" t="str">
        <f t="shared" si="17"/>
        <v>Tháng 01/2019</v>
      </c>
      <c r="C61" s="567"/>
      <c r="D61" s="568" t="str">
        <f t="shared" si="18"/>
        <v>Lắp dựng + tháo dỡ thép đà giáo</v>
      </c>
      <c r="E61" s="568"/>
      <c r="F61" s="568"/>
      <c r="G61" s="568"/>
      <c r="H61" s="569">
        <f t="shared" si="14"/>
        <v>0</v>
      </c>
      <c r="I61" s="569"/>
      <c r="J61" s="567"/>
      <c r="K61" s="570"/>
      <c r="L61">
        <v>1</v>
      </c>
      <c r="M61" s="101">
        <v>2019</v>
      </c>
      <c r="N61"/>
      <c r="O61" s="103">
        <f t="shared" si="15"/>
        <v>43466</v>
      </c>
      <c r="P61" s="103">
        <f t="shared" si="16"/>
        <v>43496</v>
      </c>
    </row>
    <row r="62" spans="1:16" s="5" customFormat="1" ht="17.100000000000001" customHeight="1">
      <c r="A62" s="104">
        <f t="shared" si="19"/>
        <v>19</v>
      </c>
      <c r="B62" s="567" t="str">
        <f t="shared" si="17"/>
        <v>Tháng 02/2019</v>
      </c>
      <c r="C62" s="567"/>
      <c r="D62" s="568" t="str">
        <f t="shared" si="18"/>
        <v>Lắp dựng + tháo dỡ thép đà giáo</v>
      </c>
      <c r="E62" s="568"/>
      <c r="F62" s="568"/>
      <c r="G62" s="568"/>
      <c r="H62" s="569">
        <f t="shared" si="14"/>
        <v>0</v>
      </c>
      <c r="I62" s="569"/>
      <c r="J62" s="567"/>
      <c r="K62" s="570"/>
      <c r="L62">
        <v>2</v>
      </c>
      <c r="M62" s="101">
        <v>2019</v>
      </c>
      <c r="N62"/>
      <c r="O62" s="103">
        <f t="shared" si="15"/>
        <v>43497</v>
      </c>
      <c r="P62" s="103">
        <f t="shared" si="16"/>
        <v>43524</v>
      </c>
    </row>
    <row r="63" spans="1:16" s="5" customFormat="1" ht="17.100000000000001" customHeight="1">
      <c r="A63" s="104">
        <f t="shared" si="19"/>
        <v>20</v>
      </c>
      <c r="B63" s="567" t="str">
        <f t="shared" si="17"/>
        <v>Tháng 03/2019</v>
      </c>
      <c r="C63" s="567"/>
      <c r="D63" s="568" t="str">
        <f t="shared" si="18"/>
        <v>Lắp dựng + tháo dỡ thép đà giáo</v>
      </c>
      <c r="E63" s="568"/>
      <c r="F63" s="568"/>
      <c r="G63" s="568"/>
      <c r="H63" s="569">
        <f t="shared" si="14"/>
        <v>0</v>
      </c>
      <c r="I63" s="569"/>
      <c r="J63" s="567"/>
      <c r="K63" s="570"/>
      <c r="L63">
        <v>3</v>
      </c>
      <c r="M63" s="101">
        <v>2019</v>
      </c>
      <c r="N63"/>
      <c r="O63" s="103">
        <f t="shared" si="15"/>
        <v>43525</v>
      </c>
      <c r="P63" s="103">
        <f t="shared" si="16"/>
        <v>43555</v>
      </c>
    </row>
    <row r="64" spans="1:16" s="5" customFormat="1" ht="17.100000000000001" customHeight="1">
      <c r="A64" s="104">
        <f t="shared" si="19"/>
        <v>21</v>
      </c>
      <c r="B64" s="567" t="str">
        <f t="shared" si="17"/>
        <v>Tháng 04/2019</v>
      </c>
      <c r="C64" s="567"/>
      <c r="D64" s="568" t="str">
        <f t="shared" si="18"/>
        <v>Lắp dựng + tháo dỡ thép đà giáo</v>
      </c>
      <c r="E64" s="568"/>
      <c r="F64" s="568"/>
      <c r="G64" s="568"/>
      <c r="H64" s="569">
        <f t="shared" si="14"/>
        <v>0</v>
      </c>
      <c r="I64" s="569"/>
      <c r="J64" s="567"/>
      <c r="K64" s="570"/>
      <c r="L64">
        <v>4</v>
      </c>
      <c r="M64" s="101">
        <v>2019</v>
      </c>
      <c r="N64"/>
      <c r="O64" s="103">
        <f t="shared" si="15"/>
        <v>43556</v>
      </c>
      <c r="P64" s="103">
        <f t="shared" si="16"/>
        <v>43585</v>
      </c>
    </row>
    <row r="65" spans="1:16" s="5" customFormat="1" ht="17.100000000000001" customHeight="1">
      <c r="A65" s="104">
        <f t="shared" si="19"/>
        <v>22</v>
      </c>
      <c r="B65" s="567" t="str">
        <f t="shared" si="17"/>
        <v>Tháng 05/2019</v>
      </c>
      <c r="C65" s="567"/>
      <c r="D65" s="568" t="str">
        <f t="shared" si="18"/>
        <v>Lắp dựng + tháo dỡ thép đà giáo</v>
      </c>
      <c r="E65" s="568"/>
      <c r="F65" s="568"/>
      <c r="G65" s="568"/>
      <c r="H65" s="569">
        <f t="shared" si="14"/>
        <v>0</v>
      </c>
      <c r="I65" s="569"/>
      <c r="J65" s="567"/>
      <c r="K65" s="570"/>
      <c r="L65">
        <v>5</v>
      </c>
      <c r="M65" s="101">
        <v>2019</v>
      </c>
      <c r="N65"/>
      <c r="O65" s="103">
        <f t="shared" si="15"/>
        <v>43586</v>
      </c>
      <c r="P65" s="103">
        <f t="shared" si="16"/>
        <v>43616</v>
      </c>
    </row>
    <row r="66" spans="1:16" s="5" customFormat="1" ht="17.100000000000001" customHeight="1">
      <c r="A66" s="104">
        <f t="shared" si="19"/>
        <v>23</v>
      </c>
      <c r="B66" s="567" t="str">
        <f t="shared" si="17"/>
        <v>Tháng 06/2019</v>
      </c>
      <c r="C66" s="567"/>
      <c r="D66" s="568" t="str">
        <f t="shared" si="18"/>
        <v>Lắp dựng + tháo dỡ thép đà giáo</v>
      </c>
      <c r="E66" s="568"/>
      <c r="F66" s="568"/>
      <c r="G66" s="568"/>
      <c r="H66" s="569">
        <f t="shared" si="14"/>
        <v>0</v>
      </c>
      <c r="I66" s="569"/>
      <c r="J66" s="567"/>
      <c r="K66" s="570"/>
      <c r="L66">
        <v>6</v>
      </c>
      <c r="M66" s="101">
        <v>2019</v>
      </c>
      <c r="N66"/>
      <c r="O66" s="103">
        <f t="shared" si="15"/>
        <v>43617</v>
      </c>
      <c r="P66" s="103">
        <f t="shared" si="16"/>
        <v>43646</v>
      </c>
    </row>
    <row r="67" spans="1:16" s="5" customFormat="1" ht="17.100000000000001" customHeight="1">
      <c r="A67" s="104">
        <f t="shared" si="19"/>
        <v>24</v>
      </c>
      <c r="B67" s="567" t="str">
        <f t="shared" si="17"/>
        <v>Tháng 07/2019</v>
      </c>
      <c r="C67" s="567"/>
      <c r="D67" s="568" t="str">
        <f t="shared" si="18"/>
        <v>Lắp dựng + tháo dỡ thép đà giáo</v>
      </c>
      <c r="E67" s="568"/>
      <c r="F67" s="568"/>
      <c r="G67" s="568"/>
      <c r="H67" s="569">
        <f t="shared" si="14"/>
        <v>0</v>
      </c>
      <c r="I67" s="569"/>
      <c r="J67" s="567"/>
      <c r="K67" s="570"/>
      <c r="L67">
        <v>7</v>
      </c>
      <c r="M67" s="101">
        <v>2019</v>
      </c>
      <c r="N67"/>
      <c r="O67" s="103">
        <f t="shared" si="15"/>
        <v>43647</v>
      </c>
      <c r="P67" s="103">
        <f t="shared" si="16"/>
        <v>43677</v>
      </c>
    </row>
    <row r="68" spans="1:16" s="5" customFormat="1" ht="17.100000000000001" customHeight="1">
      <c r="A68" s="104">
        <f t="shared" si="19"/>
        <v>25</v>
      </c>
      <c r="B68" s="567" t="str">
        <f t="shared" si="17"/>
        <v>Tháng 08/2019</v>
      </c>
      <c r="C68" s="567"/>
      <c r="D68" s="568" t="str">
        <f t="shared" si="18"/>
        <v>Lắp dựng + tháo dỡ thép đà giáo</v>
      </c>
      <c r="E68" s="568"/>
      <c r="F68" s="568"/>
      <c r="G68" s="568"/>
      <c r="H68" s="569">
        <f t="shared" ref="H68:H69" si="20">+SUMIFS($I$12:$I$39,$B$12:$B$39,"&gt;="&amp;$O68,$B$12:$B$39,"&lt;="&amp;$P68)</f>
        <v>0</v>
      </c>
      <c r="I68" s="569"/>
      <c r="J68" s="567"/>
      <c r="K68" s="570"/>
      <c r="L68">
        <v>8</v>
      </c>
      <c r="M68" s="101">
        <v>2019</v>
      </c>
      <c r="N68"/>
      <c r="O68" s="103">
        <f t="shared" si="15"/>
        <v>43678</v>
      </c>
      <c r="P68" s="103">
        <f t="shared" si="16"/>
        <v>43708</v>
      </c>
    </row>
    <row r="69" spans="1:16" s="5" customFormat="1" ht="17.100000000000001" customHeight="1">
      <c r="A69" s="104">
        <f t="shared" si="19"/>
        <v>26</v>
      </c>
      <c r="B69" s="616" t="str">
        <f t="shared" si="17"/>
        <v>Tháng 09/2019</v>
      </c>
      <c r="C69" s="616"/>
      <c r="D69" s="652" t="str">
        <f>D67</f>
        <v>Lắp dựng + tháo dỡ thép đà giáo</v>
      </c>
      <c r="E69" s="652"/>
      <c r="F69" s="652"/>
      <c r="G69" s="652"/>
      <c r="H69" s="615">
        <f t="shared" si="20"/>
        <v>0</v>
      </c>
      <c r="I69" s="615"/>
      <c r="J69" s="616"/>
      <c r="K69" s="617"/>
      <c r="L69">
        <v>9</v>
      </c>
      <c r="M69" s="101">
        <v>2019</v>
      </c>
      <c r="N69"/>
      <c r="O69" s="103">
        <f>DATE(M69,L69,1)</f>
        <v>43709</v>
      </c>
      <c r="P69" s="103">
        <f>DATE(M69,L69+1,0)</f>
        <v>43738</v>
      </c>
    </row>
    <row r="70" spans="1:16" s="5" customFormat="1" ht="21.6" customHeight="1" thickBot="1">
      <c r="A70" s="618" t="s">
        <v>86</v>
      </c>
      <c r="B70" s="619"/>
      <c r="C70" s="619"/>
      <c r="D70" s="619"/>
      <c r="E70" s="619"/>
      <c r="F70" s="619"/>
      <c r="G70" s="620"/>
      <c r="H70" s="621">
        <f t="shared" ref="H70" si="21">SUM(H44:I69)</f>
        <v>114.78</v>
      </c>
      <c r="I70" s="622"/>
      <c r="J70" s="621"/>
      <c r="K70" s="622"/>
      <c r="L70"/>
      <c r="M70"/>
      <c r="N70"/>
      <c r="O70"/>
      <c r="P70"/>
    </row>
    <row r="71" spans="1:16" s="5" customFormat="1" ht="18" customHeight="1" thickTop="1" thickBot="1">
      <c r="A71" s="105"/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4"/>
      <c r="M71" s="4"/>
      <c r="N71" s="4"/>
      <c r="O71" s="4"/>
      <c r="P71" s="20"/>
    </row>
    <row r="72" spans="1:16" s="5" customFormat="1" ht="13.9" customHeight="1" thickTop="1">
      <c r="A72" s="647" t="s">
        <v>68</v>
      </c>
      <c r="B72" s="648"/>
      <c r="C72" s="648"/>
      <c r="D72" s="648"/>
      <c r="E72" s="648"/>
      <c r="F72" s="649" t="s">
        <v>69</v>
      </c>
      <c r="G72" s="649"/>
      <c r="H72" s="649"/>
      <c r="I72" s="650"/>
      <c r="J72" s="650"/>
      <c r="K72" s="651"/>
      <c r="L72" s="4"/>
      <c r="M72" s="4"/>
      <c r="N72" s="4"/>
      <c r="O72" s="4"/>
      <c r="P72" s="4"/>
    </row>
    <row r="73" spans="1:16" s="5" customFormat="1" ht="13.9" customHeight="1">
      <c r="A73" s="583" t="s">
        <v>5</v>
      </c>
      <c r="B73" s="584"/>
      <c r="C73" s="584"/>
      <c r="D73" s="584"/>
      <c r="E73" s="584"/>
      <c r="F73" s="585" t="s">
        <v>6</v>
      </c>
      <c r="G73" s="585"/>
      <c r="H73" s="585"/>
      <c r="I73" s="586"/>
      <c r="J73" s="586"/>
      <c r="K73" s="587"/>
      <c r="L73" s="4"/>
      <c r="M73" s="4"/>
      <c r="N73" s="4"/>
      <c r="O73" s="4"/>
      <c r="P73" s="4"/>
    </row>
    <row r="74" spans="1:16" s="5" customFormat="1" ht="13.9" customHeight="1">
      <c r="A74" s="583" t="s">
        <v>836</v>
      </c>
      <c r="B74" s="584"/>
      <c r="C74" s="584"/>
      <c r="D74" s="584"/>
      <c r="E74" s="584"/>
      <c r="F74" s="590" t="s">
        <v>837</v>
      </c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16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16" s="5" customFormat="1" ht="13.9" customHeight="1">
      <c r="A76" s="583"/>
      <c r="B76" s="584"/>
      <c r="C76" s="584"/>
      <c r="D76" s="584"/>
      <c r="E76" s="584"/>
      <c r="F76" s="590"/>
      <c r="G76" s="590"/>
      <c r="H76" s="590"/>
      <c r="I76" s="591"/>
      <c r="J76" s="591"/>
      <c r="K76" s="592"/>
      <c r="L76" s="4"/>
      <c r="M76" s="4"/>
      <c r="N76" s="4"/>
      <c r="O76" s="4"/>
      <c r="P76" s="4"/>
    </row>
    <row r="77" spans="1:16" s="5" customFormat="1" ht="13.9" customHeight="1">
      <c r="A77" s="583"/>
      <c r="B77" s="584"/>
      <c r="C77" s="584"/>
      <c r="D77" s="584"/>
      <c r="E77" s="584"/>
      <c r="F77" s="590"/>
      <c r="G77" s="590"/>
      <c r="H77" s="590"/>
      <c r="I77" s="591"/>
      <c r="J77" s="591"/>
      <c r="K77" s="592"/>
      <c r="L77" s="4"/>
      <c r="M77" s="4"/>
      <c r="N77" s="4"/>
      <c r="O77" s="4"/>
      <c r="P77" s="4"/>
    </row>
    <row r="78" spans="1:16" s="5" customFormat="1" ht="13.9" customHeight="1">
      <c r="A78" s="583"/>
      <c r="B78" s="584"/>
      <c r="C78" s="584"/>
      <c r="D78" s="584"/>
      <c r="E78" s="584"/>
      <c r="F78" s="590"/>
      <c r="G78" s="590"/>
      <c r="H78" s="590"/>
      <c r="I78" s="591"/>
      <c r="J78" s="591"/>
      <c r="K78" s="592"/>
      <c r="L78" s="4"/>
      <c r="M78" s="4"/>
      <c r="N78" s="4"/>
      <c r="O78" s="4"/>
      <c r="P78" s="4"/>
    </row>
    <row r="79" spans="1:16" s="5" customFormat="1" ht="13.9" customHeight="1">
      <c r="A79" s="583"/>
      <c r="B79" s="584"/>
      <c r="C79" s="584"/>
      <c r="D79" s="584"/>
      <c r="E79" s="584"/>
      <c r="F79" s="590"/>
      <c r="G79" s="590"/>
      <c r="H79" s="590"/>
      <c r="I79" s="591"/>
      <c r="J79" s="591"/>
      <c r="K79" s="592"/>
      <c r="L79" s="4"/>
      <c r="M79" s="4"/>
      <c r="N79" s="4"/>
      <c r="O79" s="4"/>
      <c r="P79" s="4"/>
    </row>
    <row r="80" spans="1:16" s="5" customFormat="1" ht="13.9" customHeight="1" thickBot="1">
      <c r="A80" s="588"/>
      <c r="B80" s="589"/>
      <c r="C80" s="589"/>
      <c r="D80" s="589"/>
      <c r="E80" s="589"/>
      <c r="F80" s="593"/>
      <c r="G80" s="593"/>
      <c r="H80" s="593"/>
      <c r="I80" s="594"/>
      <c r="J80" s="594"/>
      <c r="K80" s="595"/>
      <c r="L80" s="4"/>
      <c r="M80" s="4"/>
      <c r="N80" s="4"/>
      <c r="O80" s="4"/>
      <c r="P80" s="4"/>
    </row>
    <row r="81" spans="1:20" s="5" customFormat="1" ht="15.75" thickTop="1">
      <c r="A81" s="4"/>
      <c r="B81" s="12"/>
      <c r="C81" s="10"/>
      <c r="D81" s="10"/>
      <c r="E81" s="10"/>
      <c r="F81" s="13"/>
      <c r="G81" s="13"/>
      <c r="H81" s="13"/>
      <c r="I81" s="13"/>
      <c r="J81" s="13"/>
      <c r="K81" s="4"/>
      <c r="L81" s="4"/>
      <c r="M81" s="4"/>
      <c r="N81" s="4"/>
      <c r="O81" s="4"/>
      <c r="P81" s="4"/>
      <c r="R81" s="4"/>
      <c r="S81" s="4"/>
      <c r="T81" s="4"/>
    </row>
  </sheetData>
  <mergeCells count="155">
    <mergeCell ref="A72:E72"/>
    <mergeCell ref="F72:K72"/>
    <mergeCell ref="A73:E73"/>
    <mergeCell ref="F73:K73"/>
    <mergeCell ref="A74:E80"/>
    <mergeCell ref="F74:K80"/>
    <mergeCell ref="B68:C68"/>
    <mergeCell ref="D68:G68"/>
    <mergeCell ref="H68:I68"/>
    <mergeCell ref="J68:K68"/>
    <mergeCell ref="A70:G70"/>
    <mergeCell ref="H70:I70"/>
    <mergeCell ref="J70:K70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A37:K37"/>
    <mergeCell ref="A40:D40"/>
    <mergeCell ref="A42:A43"/>
    <mergeCell ref="B42:C43"/>
    <mergeCell ref="D42:G43"/>
    <mergeCell ref="H42:I43"/>
    <mergeCell ref="J42:K43"/>
    <mergeCell ref="A25:E31"/>
    <mergeCell ref="F25:K31"/>
    <mergeCell ref="A33:K33"/>
    <mergeCell ref="A34:K34"/>
    <mergeCell ref="A35:K35"/>
    <mergeCell ref="A36:K36"/>
    <mergeCell ref="C15:E15"/>
    <mergeCell ref="C20:E20"/>
    <mergeCell ref="A21:E21"/>
    <mergeCell ref="A23:E23"/>
    <mergeCell ref="F23:K23"/>
    <mergeCell ref="A24:E24"/>
    <mergeCell ref="F24:K24"/>
    <mergeCell ref="I9:I11"/>
    <mergeCell ref="J9:J11"/>
    <mergeCell ref="K9:K11"/>
    <mergeCell ref="C12:E12"/>
    <mergeCell ref="C13:E13"/>
    <mergeCell ref="C14:E14"/>
    <mergeCell ref="K12:K15"/>
    <mergeCell ref="C16:E16"/>
    <mergeCell ref="K16:K19"/>
    <mergeCell ref="C17:E17"/>
    <mergeCell ref="C18:E18"/>
    <mergeCell ref="C19:E19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32" max="10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7">
    <tabColor rgb="FF92D050"/>
  </sheetPr>
  <dimension ref="A1:T77"/>
  <sheetViews>
    <sheetView view="pageBreakPreview" topLeftCell="A58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C.II.2.4. San ủi hoàn trả mặt bằng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4</v>
      </c>
      <c r="N6" s="245" t="str">
        <f>THKLQT!C162</f>
        <v>San ủi hoàn trả mặt bằng</v>
      </c>
      <c r="Q6" s="17"/>
    </row>
    <row r="7" spans="1:20" s="178" customFormat="1" ht="18.75" customHeight="1">
      <c r="A7" s="634">
        <f>I17</f>
        <v>288.60000000000002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THKLQT!D162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customHeight="1" outlineLevel="2">
      <c r="A12" s="81">
        <f>SUBTOTAL(103,$B$12:B12)</f>
        <v>1</v>
      </c>
      <c r="B12" s="78">
        <f>Q12</f>
        <v>43358</v>
      </c>
      <c r="C12" s="571" t="str">
        <f>T12</f>
        <v>San ủi hoàn trả mặt bằng  A1L</v>
      </c>
      <c r="D12" s="572"/>
      <c r="E12" s="573"/>
      <c r="F12" s="2">
        <f>P12</f>
        <v>0</v>
      </c>
      <c r="G12" s="1">
        <f>P12</f>
        <v>0</v>
      </c>
      <c r="H12" s="297">
        <f>P12</f>
        <v>0</v>
      </c>
      <c r="I12" s="107">
        <f>P12</f>
        <v>0</v>
      </c>
      <c r="J12" s="107">
        <f>P12</f>
        <v>0</v>
      </c>
      <c r="K12" s="603" t="s">
        <v>677</v>
      </c>
      <c r="N12" s="118"/>
      <c r="O12" s="118" t="s">
        <v>369</v>
      </c>
      <c r="P12" s="88">
        <v>0</v>
      </c>
      <c r="Q12" s="89">
        <v>43358</v>
      </c>
      <c r="R12" s="88"/>
      <c r="S12" s="88" t="e">
        <f>VLOOKUP($S$11,hamchuigoi3,M12,0)</f>
        <v>#VALUE!</v>
      </c>
      <c r="T12" s="3" t="str">
        <f>$N$6&amp;" "&amp;O12</f>
        <v>San ủi hoàn trả mặt bằng  A1L</v>
      </c>
    </row>
    <row r="13" spans="1:20" ht="14.25" outlineLevel="2">
      <c r="A13" s="81">
        <f>SUBTOTAL(103,$B$12:B13)</f>
        <v>2</v>
      </c>
      <c r="B13" s="78">
        <f t="shared" ref="B13" si="0">Q13</f>
        <v>43372</v>
      </c>
      <c r="C13" s="571" t="str">
        <f t="shared" ref="C13" si="1">T13</f>
        <v>San ủi hoàn trả mặt bằng  A1R</v>
      </c>
      <c r="D13" s="572"/>
      <c r="E13" s="573"/>
      <c r="F13" s="2">
        <f t="shared" ref="F13" si="2">P13</f>
        <v>0</v>
      </c>
      <c r="G13" s="1">
        <f t="shared" ref="G13" si="3">P13</f>
        <v>0</v>
      </c>
      <c r="H13" s="297">
        <f t="shared" ref="H13" si="4">P13</f>
        <v>0</v>
      </c>
      <c r="I13" s="107">
        <f t="shared" ref="I13" si="5">P13</f>
        <v>0</v>
      </c>
      <c r="J13" s="107">
        <f t="shared" ref="J13" si="6">P13</f>
        <v>0</v>
      </c>
      <c r="K13" s="604"/>
      <c r="N13" s="118"/>
      <c r="O13" s="118" t="s">
        <v>370</v>
      </c>
      <c r="P13" s="88">
        <v>0</v>
      </c>
      <c r="Q13" s="89">
        <v>43372</v>
      </c>
      <c r="R13" s="88"/>
      <c r="S13" s="88" t="e">
        <f>VLOOKUP($S$11,hamchuigoi3,M13,0)</f>
        <v>#VALUE!</v>
      </c>
      <c r="T13" s="3" t="str">
        <f t="shared" ref="T13" si="7">$N$6&amp;" "&amp;O13</f>
        <v>San ủi hoàn trả mặt bằng  A1R</v>
      </c>
    </row>
    <row r="14" spans="1:20" ht="14.25" outlineLevel="2">
      <c r="A14" s="81">
        <f>SUBTOTAL(103,$B$12:B14)</f>
        <v>3</v>
      </c>
      <c r="B14" s="78">
        <f t="shared" ref="B14:B15" si="8">Q14</f>
        <v>43330</v>
      </c>
      <c r="C14" s="571" t="str">
        <f t="shared" ref="C14:C15" si="9">T14</f>
        <v>San ủi hoàn trả mặt bằng  A2L</v>
      </c>
      <c r="D14" s="572"/>
      <c r="E14" s="573"/>
      <c r="F14" s="2">
        <f t="shared" ref="F14:F15" si="10">P14</f>
        <v>144.30000000000001</v>
      </c>
      <c r="G14" s="1">
        <f t="shared" ref="G14:G15" si="11">P14</f>
        <v>144.30000000000001</v>
      </c>
      <c r="H14" s="297">
        <f t="shared" ref="H14:H15" si="12">P14</f>
        <v>144.30000000000001</v>
      </c>
      <c r="I14" s="107">
        <f t="shared" ref="I14:I15" si="13">P14</f>
        <v>144.30000000000001</v>
      </c>
      <c r="J14" s="107">
        <f t="shared" ref="J14:J15" si="14">P14</f>
        <v>144.30000000000001</v>
      </c>
      <c r="K14" s="604"/>
      <c r="N14" s="118"/>
      <c r="O14" s="118" t="s">
        <v>371</v>
      </c>
      <c r="P14" s="88">
        <v>144.30000000000001</v>
      </c>
      <c r="Q14" s="89">
        <v>43330</v>
      </c>
      <c r="R14" s="88"/>
      <c r="S14" s="88" t="e">
        <f>VLOOKUP($S$11,hamchuigoi3,M14,0)</f>
        <v>#VALUE!</v>
      </c>
      <c r="T14" s="3" t="str">
        <f t="shared" ref="T14:T15" si="15">$N$6&amp;" "&amp;O14</f>
        <v>San ủi hoàn trả mặt bằng  A2L</v>
      </c>
    </row>
    <row r="15" spans="1:20" ht="14.25" outlineLevel="2">
      <c r="A15" s="81">
        <f>SUBTOTAL(103,$B$12:B15)</f>
        <v>4</v>
      </c>
      <c r="B15" s="78">
        <f t="shared" si="8"/>
        <v>43332</v>
      </c>
      <c r="C15" s="571" t="str">
        <f t="shared" si="9"/>
        <v>San ủi hoàn trả mặt bằng  A2R</v>
      </c>
      <c r="D15" s="572"/>
      <c r="E15" s="573"/>
      <c r="F15" s="2">
        <f t="shared" si="10"/>
        <v>144.30000000000001</v>
      </c>
      <c r="G15" s="1">
        <f t="shared" si="11"/>
        <v>144.30000000000001</v>
      </c>
      <c r="H15" s="297">
        <f t="shared" si="12"/>
        <v>144.30000000000001</v>
      </c>
      <c r="I15" s="107">
        <f t="shared" si="13"/>
        <v>144.30000000000001</v>
      </c>
      <c r="J15" s="107">
        <f t="shared" si="14"/>
        <v>144.30000000000001</v>
      </c>
      <c r="K15" s="605"/>
      <c r="N15" s="118"/>
      <c r="O15" s="118" t="s">
        <v>372</v>
      </c>
      <c r="P15" s="88">
        <v>144.30000000000001</v>
      </c>
      <c r="Q15" s="89">
        <v>43332</v>
      </c>
      <c r="R15" s="88"/>
      <c r="S15" s="88" t="e">
        <f>VLOOKUP($S$11,hamchuigoi3,M15,0)</f>
        <v>#VALUE!</v>
      </c>
      <c r="T15" s="3" t="str">
        <f t="shared" si="15"/>
        <v>San ủi hoàn trả mặt bằng 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288.60000000000002</v>
      </c>
      <c r="G17" s="79">
        <f t="shared" ref="G17:I17" si="16">ROUND(SUM(G12:G16),2)</f>
        <v>288.60000000000002</v>
      </c>
      <c r="H17" s="79">
        <f t="shared" si="16"/>
        <v>288.60000000000002</v>
      </c>
      <c r="I17" s="79">
        <f t="shared" si="16"/>
        <v>288.60000000000002</v>
      </c>
      <c r="J17" s="79">
        <f>'[5]PKTT ĐỢT 7'!$AA$393</f>
        <v>562.4</v>
      </c>
      <c r="K17" s="80"/>
      <c r="N17" s="118"/>
      <c r="O17" s="118"/>
      <c r="P17" s="90">
        <f>SUM(P12:P12)</f>
        <v>0</v>
      </c>
    </row>
    <row r="18" spans="1:20" s="175" customFormat="1" ht="18" customHeight="1" thickTop="1" thickBot="1">
      <c r="A18" s="249"/>
      <c r="B18" s="249"/>
      <c r="C18" s="249"/>
      <c r="D18" s="249"/>
      <c r="E18" s="249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49"/>
      <c r="B28" s="249"/>
      <c r="C28" s="249"/>
      <c r="D28" s="249"/>
      <c r="E28" s="249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0" t="str">
        <f>A5</f>
        <v>Hạng mục C.II.2. PHỤ TRỢ THI CÔNG</v>
      </c>
      <c r="B34" s="251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0" t="str">
        <f>A6</f>
        <v>Mục C.II.2.4. San ủi hoàn trả mặt bằng</v>
      </c>
      <c r="B35" s="251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288.60000000000002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San ủi hoàn trả mặt bằng</v>
      </c>
      <c r="E40" s="624"/>
      <c r="F40" s="624"/>
      <c r="G40" s="624"/>
      <c r="H40" s="625">
        <f t="shared" ref="H40:H63" si="17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8">DATE(M40,L40,1)</f>
        <v>42948</v>
      </c>
      <c r="P40" s="103">
        <f t="shared" ref="P40:P64" si="19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20">"Tháng "&amp;IF(L41&lt;10,0&amp;L41&amp;"/"&amp;M41,L41&amp;"/"&amp;M41)</f>
        <v>Tháng 09/2017</v>
      </c>
      <c r="C41" s="567"/>
      <c r="D41" s="568" t="str">
        <f>D40</f>
        <v>San ủi hoàn trả mặt bằng</v>
      </c>
      <c r="E41" s="568"/>
      <c r="F41" s="568"/>
      <c r="G41" s="568"/>
      <c r="H41" s="569">
        <f t="shared" si="17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8"/>
        <v>42979</v>
      </c>
      <c r="P41" s="103">
        <f t="shared" si="19"/>
        <v>43008</v>
      </c>
    </row>
    <row r="42" spans="1:20" s="5" customFormat="1" ht="17.100000000000001" customHeight="1">
      <c r="A42" s="104">
        <f>A41+1</f>
        <v>3</v>
      </c>
      <c r="B42" s="567" t="str">
        <f t="shared" si="20"/>
        <v>Tháng 10/2017</v>
      </c>
      <c r="C42" s="567"/>
      <c r="D42" s="568" t="str">
        <f t="shared" ref="D42:D64" si="21">D41</f>
        <v>San ủi hoàn trả mặt bằng</v>
      </c>
      <c r="E42" s="568"/>
      <c r="F42" s="568"/>
      <c r="G42" s="568"/>
      <c r="H42" s="569">
        <f t="shared" si="17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8"/>
        <v>43009</v>
      </c>
      <c r="P42" s="103">
        <f t="shared" si="19"/>
        <v>43039</v>
      </c>
    </row>
    <row r="43" spans="1:20" s="5" customFormat="1" ht="17.100000000000001" customHeight="1">
      <c r="A43" s="104">
        <f t="shared" ref="A43:A65" si="22">A42+1</f>
        <v>4</v>
      </c>
      <c r="B43" s="567" t="str">
        <f t="shared" si="20"/>
        <v>Tháng 11/2017</v>
      </c>
      <c r="C43" s="567"/>
      <c r="D43" s="568" t="str">
        <f t="shared" si="21"/>
        <v>San ủi hoàn trả mặt bằng</v>
      </c>
      <c r="E43" s="568"/>
      <c r="F43" s="568"/>
      <c r="G43" s="568"/>
      <c r="H43" s="569">
        <f t="shared" si="17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8"/>
        <v>43040</v>
      </c>
      <c r="P43" s="103">
        <f t="shared" si="19"/>
        <v>43069</v>
      </c>
    </row>
    <row r="44" spans="1:20" s="5" customFormat="1" ht="17.100000000000001" customHeight="1">
      <c r="A44" s="104">
        <f t="shared" si="22"/>
        <v>5</v>
      </c>
      <c r="B44" s="567" t="str">
        <f t="shared" si="20"/>
        <v>Tháng 12/2017</v>
      </c>
      <c r="C44" s="567"/>
      <c r="D44" s="568" t="str">
        <f t="shared" si="21"/>
        <v>San ủi hoàn trả mặt bằng</v>
      </c>
      <c r="E44" s="568"/>
      <c r="F44" s="568"/>
      <c r="G44" s="568"/>
      <c r="H44" s="569">
        <f t="shared" si="17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8"/>
        <v>43070</v>
      </c>
      <c r="P44" s="103">
        <f t="shared" si="19"/>
        <v>43100</v>
      </c>
    </row>
    <row r="45" spans="1:20" s="5" customFormat="1" ht="17.100000000000001" customHeight="1">
      <c r="A45" s="104">
        <f t="shared" si="22"/>
        <v>6</v>
      </c>
      <c r="B45" s="567" t="str">
        <f t="shared" si="20"/>
        <v>Tháng 01/2018</v>
      </c>
      <c r="C45" s="567"/>
      <c r="D45" s="568" t="str">
        <f t="shared" si="21"/>
        <v>San ủi hoàn trả mặt bằng</v>
      </c>
      <c r="E45" s="568"/>
      <c r="F45" s="568"/>
      <c r="G45" s="568"/>
      <c r="H45" s="569">
        <f t="shared" si="17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8"/>
        <v>43101</v>
      </c>
      <c r="P45" s="103">
        <f t="shared" si="19"/>
        <v>43131</v>
      </c>
    </row>
    <row r="46" spans="1:20" s="5" customFormat="1" ht="17.100000000000001" customHeight="1">
      <c r="A46" s="104">
        <f t="shared" si="22"/>
        <v>7</v>
      </c>
      <c r="B46" s="567" t="str">
        <f t="shared" si="20"/>
        <v>Tháng 02/2018</v>
      </c>
      <c r="C46" s="567"/>
      <c r="D46" s="568" t="str">
        <f t="shared" si="21"/>
        <v>San ủi hoàn trả mặt bằng</v>
      </c>
      <c r="E46" s="568"/>
      <c r="F46" s="568"/>
      <c r="G46" s="568"/>
      <c r="H46" s="569">
        <f t="shared" si="17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8"/>
        <v>43132</v>
      </c>
      <c r="P46" s="103">
        <f t="shared" si="19"/>
        <v>43159</v>
      </c>
    </row>
    <row r="47" spans="1:20" s="5" customFormat="1" ht="17.100000000000001" customHeight="1">
      <c r="A47" s="104">
        <f t="shared" si="22"/>
        <v>8</v>
      </c>
      <c r="B47" s="567" t="str">
        <f t="shared" si="20"/>
        <v>Tháng 03/2018</v>
      </c>
      <c r="C47" s="567"/>
      <c r="D47" s="568" t="str">
        <f t="shared" si="21"/>
        <v>San ủi hoàn trả mặt bằng</v>
      </c>
      <c r="E47" s="568"/>
      <c r="F47" s="568"/>
      <c r="G47" s="568"/>
      <c r="H47" s="569">
        <f t="shared" si="17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8"/>
        <v>43160</v>
      </c>
      <c r="P47" s="103">
        <f t="shared" si="19"/>
        <v>43190</v>
      </c>
    </row>
    <row r="48" spans="1:20" s="5" customFormat="1" ht="17.100000000000001" customHeight="1">
      <c r="A48" s="104">
        <f t="shared" si="22"/>
        <v>9</v>
      </c>
      <c r="B48" s="567" t="str">
        <f t="shared" si="20"/>
        <v>Tháng 04/2018</v>
      </c>
      <c r="C48" s="567"/>
      <c r="D48" s="568" t="str">
        <f t="shared" si="21"/>
        <v>San ủi hoàn trả mặt bằng</v>
      </c>
      <c r="E48" s="568"/>
      <c r="F48" s="568"/>
      <c r="G48" s="568"/>
      <c r="H48" s="569">
        <f t="shared" si="17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8"/>
        <v>43191</v>
      </c>
      <c r="P48" s="103">
        <f t="shared" si="19"/>
        <v>43220</v>
      </c>
    </row>
    <row r="49" spans="1:16" s="5" customFormat="1" ht="17.100000000000001" customHeight="1">
      <c r="A49" s="104">
        <f t="shared" si="22"/>
        <v>10</v>
      </c>
      <c r="B49" s="567" t="str">
        <f t="shared" si="20"/>
        <v>Tháng 05/2018</v>
      </c>
      <c r="C49" s="567"/>
      <c r="D49" s="568" t="str">
        <f t="shared" si="21"/>
        <v>San ủi hoàn trả mặt bằng</v>
      </c>
      <c r="E49" s="568"/>
      <c r="F49" s="568"/>
      <c r="G49" s="568"/>
      <c r="H49" s="569">
        <f t="shared" si="17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8"/>
        <v>43221</v>
      </c>
      <c r="P49" s="103">
        <f t="shared" si="19"/>
        <v>43251</v>
      </c>
    </row>
    <row r="50" spans="1:16" s="5" customFormat="1" ht="17.100000000000001" customHeight="1">
      <c r="A50" s="104">
        <f t="shared" si="22"/>
        <v>11</v>
      </c>
      <c r="B50" s="567" t="str">
        <f t="shared" si="20"/>
        <v>Tháng 06/2018</v>
      </c>
      <c r="C50" s="567"/>
      <c r="D50" s="568" t="str">
        <f t="shared" si="21"/>
        <v>San ủi hoàn trả mặt bằng</v>
      </c>
      <c r="E50" s="568"/>
      <c r="F50" s="568"/>
      <c r="G50" s="568"/>
      <c r="H50" s="569">
        <f t="shared" si="17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8"/>
        <v>43252</v>
      </c>
      <c r="P50" s="103">
        <f t="shared" si="19"/>
        <v>43281</v>
      </c>
    </row>
    <row r="51" spans="1:16" s="5" customFormat="1" ht="17.100000000000001" customHeight="1">
      <c r="A51" s="104">
        <f t="shared" si="22"/>
        <v>12</v>
      </c>
      <c r="B51" s="567" t="str">
        <f t="shared" si="20"/>
        <v>Tháng 07/2018</v>
      </c>
      <c r="C51" s="567"/>
      <c r="D51" s="568" t="str">
        <f t="shared" si="21"/>
        <v>San ủi hoàn trả mặt bằng</v>
      </c>
      <c r="E51" s="568"/>
      <c r="F51" s="568"/>
      <c r="G51" s="568"/>
      <c r="H51" s="569">
        <f t="shared" si="17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8"/>
        <v>43282</v>
      </c>
      <c r="P51" s="103">
        <f t="shared" si="19"/>
        <v>43312</v>
      </c>
    </row>
    <row r="52" spans="1:16" s="5" customFormat="1" ht="17.100000000000001" customHeight="1">
      <c r="A52" s="104">
        <f t="shared" si="22"/>
        <v>13</v>
      </c>
      <c r="B52" s="567" t="str">
        <f t="shared" si="20"/>
        <v>Tháng 08/2018</v>
      </c>
      <c r="C52" s="567"/>
      <c r="D52" s="568" t="str">
        <f t="shared" si="21"/>
        <v>San ủi hoàn trả mặt bằng</v>
      </c>
      <c r="E52" s="568"/>
      <c r="F52" s="568"/>
      <c r="G52" s="568"/>
      <c r="H52" s="569">
        <f t="shared" si="17"/>
        <v>288.60000000000002</v>
      </c>
      <c r="I52" s="569"/>
      <c r="J52" s="567"/>
      <c r="K52" s="570"/>
      <c r="L52">
        <v>8</v>
      </c>
      <c r="M52" s="101">
        <v>2018</v>
      </c>
      <c r="N52"/>
      <c r="O52" s="103">
        <f t="shared" si="18"/>
        <v>43313</v>
      </c>
      <c r="P52" s="103">
        <f t="shared" si="19"/>
        <v>43343</v>
      </c>
    </row>
    <row r="53" spans="1:16" s="5" customFormat="1" ht="17.100000000000001" customHeight="1">
      <c r="A53" s="104">
        <f t="shared" si="22"/>
        <v>14</v>
      </c>
      <c r="B53" s="567" t="str">
        <f t="shared" si="20"/>
        <v>Tháng 09/2018</v>
      </c>
      <c r="C53" s="567"/>
      <c r="D53" s="568" t="str">
        <f t="shared" si="21"/>
        <v>San ủi hoàn trả mặt bằng</v>
      </c>
      <c r="E53" s="568"/>
      <c r="F53" s="568"/>
      <c r="G53" s="568"/>
      <c r="H53" s="569">
        <f t="shared" si="17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8"/>
        <v>43344</v>
      </c>
      <c r="P53" s="103">
        <f t="shared" si="19"/>
        <v>43373</v>
      </c>
    </row>
    <row r="54" spans="1:16" s="5" customFormat="1" ht="17.100000000000001" customHeight="1">
      <c r="A54" s="104">
        <f t="shared" si="22"/>
        <v>15</v>
      </c>
      <c r="B54" s="567" t="str">
        <f t="shared" si="20"/>
        <v>Tháng 10/2018</v>
      </c>
      <c r="C54" s="567"/>
      <c r="D54" s="568" t="str">
        <f t="shared" si="21"/>
        <v>San ủi hoàn trả mặt bằng</v>
      </c>
      <c r="E54" s="568"/>
      <c r="F54" s="568"/>
      <c r="G54" s="568"/>
      <c r="H54" s="569">
        <f t="shared" si="17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8"/>
        <v>43374</v>
      </c>
      <c r="P54" s="103">
        <f t="shared" si="19"/>
        <v>43404</v>
      </c>
    </row>
    <row r="55" spans="1:16" s="5" customFormat="1" ht="17.100000000000001" customHeight="1">
      <c r="A55" s="104">
        <f t="shared" si="22"/>
        <v>16</v>
      </c>
      <c r="B55" s="567" t="str">
        <f t="shared" si="20"/>
        <v>Tháng 11/2018</v>
      </c>
      <c r="C55" s="567"/>
      <c r="D55" s="568" t="str">
        <f t="shared" si="21"/>
        <v>San ủi hoàn trả mặt bằng</v>
      </c>
      <c r="E55" s="568"/>
      <c r="F55" s="568"/>
      <c r="G55" s="568"/>
      <c r="H55" s="569">
        <f t="shared" si="17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8"/>
        <v>43405</v>
      </c>
      <c r="P55" s="103">
        <f t="shared" si="19"/>
        <v>43434</v>
      </c>
    </row>
    <row r="56" spans="1:16" s="5" customFormat="1" ht="17.100000000000001" customHeight="1">
      <c r="A56" s="104">
        <f t="shared" si="22"/>
        <v>17</v>
      </c>
      <c r="B56" s="567" t="str">
        <f t="shared" si="20"/>
        <v>Tháng 12/2018</v>
      </c>
      <c r="C56" s="567"/>
      <c r="D56" s="568" t="str">
        <f t="shared" si="21"/>
        <v>San ủi hoàn trả mặt bằng</v>
      </c>
      <c r="E56" s="568"/>
      <c r="F56" s="568"/>
      <c r="G56" s="568"/>
      <c r="H56" s="569">
        <f t="shared" si="17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8"/>
        <v>43435</v>
      </c>
      <c r="P56" s="103">
        <f t="shared" si="19"/>
        <v>43465</v>
      </c>
    </row>
    <row r="57" spans="1:16" s="5" customFormat="1" ht="17.100000000000001" customHeight="1">
      <c r="A57" s="104">
        <f t="shared" si="22"/>
        <v>18</v>
      </c>
      <c r="B57" s="567" t="str">
        <f t="shared" si="20"/>
        <v>Tháng 01/2019</v>
      </c>
      <c r="C57" s="567"/>
      <c r="D57" s="568" t="str">
        <f t="shared" si="21"/>
        <v>San ủi hoàn trả mặt bằng</v>
      </c>
      <c r="E57" s="568"/>
      <c r="F57" s="568"/>
      <c r="G57" s="568"/>
      <c r="H57" s="569">
        <f t="shared" si="17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8"/>
        <v>43466</v>
      </c>
      <c r="P57" s="103">
        <f t="shared" si="19"/>
        <v>43496</v>
      </c>
    </row>
    <row r="58" spans="1:16" s="5" customFormat="1" ht="17.100000000000001" customHeight="1">
      <c r="A58" s="104">
        <f t="shared" si="22"/>
        <v>19</v>
      </c>
      <c r="B58" s="567" t="str">
        <f t="shared" si="20"/>
        <v>Tháng 02/2019</v>
      </c>
      <c r="C58" s="567"/>
      <c r="D58" s="568" t="str">
        <f t="shared" si="21"/>
        <v>San ủi hoàn trả mặt bằng</v>
      </c>
      <c r="E58" s="568"/>
      <c r="F58" s="568"/>
      <c r="G58" s="568"/>
      <c r="H58" s="569">
        <f t="shared" si="17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8"/>
        <v>43497</v>
      </c>
      <c r="P58" s="103">
        <f t="shared" si="19"/>
        <v>43524</v>
      </c>
    </row>
    <row r="59" spans="1:16" s="5" customFormat="1" ht="17.100000000000001" customHeight="1">
      <c r="A59" s="104">
        <f t="shared" si="22"/>
        <v>20</v>
      </c>
      <c r="B59" s="567" t="str">
        <f t="shared" si="20"/>
        <v>Tháng 03/2019</v>
      </c>
      <c r="C59" s="567"/>
      <c r="D59" s="568" t="str">
        <f t="shared" si="21"/>
        <v>San ủi hoàn trả mặt bằng</v>
      </c>
      <c r="E59" s="568"/>
      <c r="F59" s="568"/>
      <c r="G59" s="568"/>
      <c r="H59" s="569">
        <f t="shared" si="17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8"/>
        <v>43525</v>
      </c>
      <c r="P59" s="103">
        <f t="shared" si="19"/>
        <v>43555</v>
      </c>
    </row>
    <row r="60" spans="1:16" s="5" customFormat="1" ht="17.100000000000001" customHeight="1">
      <c r="A60" s="104">
        <f t="shared" si="22"/>
        <v>21</v>
      </c>
      <c r="B60" s="567" t="str">
        <f t="shared" si="20"/>
        <v>Tháng 04/2019</v>
      </c>
      <c r="C60" s="567"/>
      <c r="D60" s="568" t="str">
        <f t="shared" si="21"/>
        <v>San ủi hoàn trả mặt bằng</v>
      </c>
      <c r="E60" s="568"/>
      <c r="F60" s="568"/>
      <c r="G60" s="568"/>
      <c r="H60" s="569">
        <f t="shared" si="17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8"/>
        <v>43556</v>
      </c>
      <c r="P60" s="103">
        <f t="shared" si="19"/>
        <v>43585</v>
      </c>
    </row>
    <row r="61" spans="1:16" s="5" customFormat="1" ht="17.100000000000001" customHeight="1">
      <c r="A61" s="104">
        <f t="shared" si="22"/>
        <v>22</v>
      </c>
      <c r="B61" s="567" t="str">
        <f t="shared" si="20"/>
        <v>Tháng 05/2019</v>
      </c>
      <c r="C61" s="567"/>
      <c r="D61" s="568" t="str">
        <f t="shared" si="21"/>
        <v>San ủi hoàn trả mặt bằng</v>
      </c>
      <c r="E61" s="568"/>
      <c r="F61" s="568"/>
      <c r="G61" s="568"/>
      <c r="H61" s="569">
        <f t="shared" si="17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8"/>
        <v>43586</v>
      </c>
      <c r="P61" s="103">
        <f t="shared" si="19"/>
        <v>43616</v>
      </c>
    </row>
    <row r="62" spans="1:16" s="5" customFormat="1" ht="17.100000000000001" customHeight="1">
      <c r="A62" s="104">
        <f t="shared" si="22"/>
        <v>23</v>
      </c>
      <c r="B62" s="567" t="str">
        <f t="shared" si="20"/>
        <v>Tháng 06/2019</v>
      </c>
      <c r="C62" s="567"/>
      <c r="D62" s="568" t="str">
        <f t="shared" si="21"/>
        <v>San ủi hoàn trả mặt bằng</v>
      </c>
      <c r="E62" s="568"/>
      <c r="F62" s="568"/>
      <c r="G62" s="568"/>
      <c r="H62" s="569">
        <f t="shared" si="17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8"/>
        <v>43617</v>
      </c>
      <c r="P62" s="103">
        <f t="shared" si="19"/>
        <v>43646</v>
      </c>
    </row>
    <row r="63" spans="1:16" s="5" customFormat="1" ht="17.100000000000001" customHeight="1">
      <c r="A63" s="104">
        <f t="shared" si="22"/>
        <v>24</v>
      </c>
      <c r="B63" s="567" t="str">
        <f t="shared" si="20"/>
        <v>Tháng 07/2019</v>
      </c>
      <c r="C63" s="567"/>
      <c r="D63" s="568" t="str">
        <f t="shared" si="21"/>
        <v>San ủi hoàn trả mặt bằng</v>
      </c>
      <c r="E63" s="568"/>
      <c r="F63" s="568"/>
      <c r="G63" s="568"/>
      <c r="H63" s="569">
        <f t="shared" si="17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8"/>
        <v>43647</v>
      </c>
      <c r="P63" s="103">
        <f t="shared" si="19"/>
        <v>43677</v>
      </c>
    </row>
    <row r="64" spans="1:16" s="5" customFormat="1" ht="17.100000000000001" customHeight="1">
      <c r="A64" s="104">
        <f t="shared" si="22"/>
        <v>25</v>
      </c>
      <c r="B64" s="567" t="str">
        <f t="shared" si="20"/>
        <v>Tháng 08/2019</v>
      </c>
      <c r="C64" s="567"/>
      <c r="D64" s="568" t="str">
        <f t="shared" si="21"/>
        <v>San ủi hoàn trả mặt bằng</v>
      </c>
      <c r="E64" s="568"/>
      <c r="F64" s="568"/>
      <c r="G64" s="568"/>
      <c r="H64" s="569">
        <f t="shared" ref="H64:H65" si="23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8"/>
        <v>43678</v>
      </c>
      <c r="P64" s="103">
        <f t="shared" si="19"/>
        <v>43708</v>
      </c>
    </row>
    <row r="65" spans="1:20" s="5" customFormat="1" ht="17.100000000000001" customHeight="1">
      <c r="A65" s="104">
        <f t="shared" si="22"/>
        <v>26</v>
      </c>
      <c r="B65" s="616" t="str">
        <f t="shared" si="20"/>
        <v>Tháng 09/2019</v>
      </c>
      <c r="C65" s="616"/>
      <c r="D65" s="652" t="str">
        <f>D63</f>
        <v>San ủi hoàn trả mặt bằng</v>
      </c>
      <c r="E65" s="652"/>
      <c r="F65" s="652"/>
      <c r="G65" s="652"/>
      <c r="H65" s="615">
        <f t="shared" si="23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24">SUM(H40:I65)</f>
        <v>288.60000000000002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K12:K15"/>
    <mergeCell ref="A70:E76"/>
    <mergeCell ref="F70:K76"/>
    <mergeCell ref="C14:E14"/>
    <mergeCell ref="C15:E15"/>
    <mergeCell ref="A66:G66"/>
    <mergeCell ref="H66:I66"/>
    <mergeCell ref="J66:K66"/>
    <mergeCell ref="A68:E68"/>
    <mergeCell ref="F68:K68"/>
    <mergeCell ref="A69:E69"/>
    <mergeCell ref="F69:K69"/>
    <mergeCell ref="B63:C63"/>
    <mergeCell ref="D63:G63"/>
    <mergeCell ref="H63:I63"/>
    <mergeCell ref="J63:K63"/>
    <mergeCell ref="B64:C64"/>
    <mergeCell ref="D64:G64"/>
    <mergeCell ref="H64:I64"/>
    <mergeCell ref="J64:K64"/>
    <mergeCell ref="B61:C61"/>
    <mergeCell ref="D61:G61"/>
    <mergeCell ref="H61:I61"/>
    <mergeCell ref="J61:K61"/>
    <mergeCell ref="B62:C62"/>
    <mergeCell ref="D62:G62"/>
    <mergeCell ref="H62:I62"/>
    <mergeCell ref="J62:K62"/>
    <mergeCell ref="B59:C59"/>
    <mergeCell ref="D59:G59"/>
    <mergeCell ref="H59:I59"/>
    <mergeCell ref="J59:K59"/>
    <mergeCell ref="B60:C60"/>
    <mergeCell ref="D60:G60"/>
    <mergeCell ref="H60:I60"/>
    <mergeCell ref="J60:K60"/>
    <mergeCell ref="B57:C57"/>
    <mergeCell ref="D57:G57"/>
    <mergeCell ref="H57:I57"/>
    <mergeCell ref="J57:K57"/>
    <mergeCell ref="B58:C58"/>
    <mergeCell ref="D58:G58"/>
    <mergeCell ref="H58:I58"/>
    <mergeCell ref="J58:K58"/>
    <mergeCell ref="B55:C55"/>
    <mergeCell ref="D55:G55"/>
    <mergeCell ref="H55:I55"/>
    <mergeCell ref="J55:K55"/>
    <mergeCell ref="B56:C56"/>
    <mergeCell ref="D56:G56"/>
    <mergeCell ref="H56:I56"/>
    <mergeCell ref="J56:K56"/>
    <mergeCell ref="B53:C53"/>
    <mergeCell ref="D53:G53"/>
    <mergeCell ref="H53:I53"/>
    <mergeCell ref="J53:K53"/>
    <mergeCell ref="B54:C54"/>
    <mergeCell ref="D54:G54"/>
    <mergeCell ref="H54:I54"/>
    <mergeCell ref="J54:K54"/>
    <mergeCell ref="B51:C51"/>
    <mergeCell ref="D51:G51"/>
    <mergeCell ref="H51:I51"/>
    <mergeCell ref="J51:K51"/>
    <mergeCell ref="B52:C52"/>
    <mergeCell ref="D52:G52"/>
    <mergeCell ref="H52:I52"/>
    <mergeCell ref="J52:K52"/>
    <mergeCell ref="B49:C49"/>
    <mergeCell ref="D49:G49"/>
    <mergeCell ref="H49:I49"/>
    <mergeCell ref="J49:K49"/>
    <mergeCell ref="B50:C50"/>
    <mergeCell ref="D50:G50"/>
    <mergeCell ref="H50:I50"/>
    <mergeCell ref="J50:K50"/>
    <mergeCell ref="B47:C47"/>
    <mergeCell ref="D47:G47"/>
    <mergeCell ref="H47:I47"/>
    <mergeCell ref="J47:K47"/>
    <mergeCell ref="B48:C48"/>
    <mergeCell ref="D48:G48"/>
    <mergeCell ref="H48:I48"/>
    <mergeCell ref="J48:K48"/>
    <mergeCell ref="B45:C45"/>
    <mergeCell ref="D45:G45"/>
    <mergeCell ref="H45:I45"/>
    <mergeCell ref="J45:K45"/>
    <mergeCell ref="B46:C46"/>
    <mergeCell ref="D46:G46"/>
    <mergeCell ref="H46:I46"/>
    <mergeCell ref="J46:K46"/>
    <mergeCell ref="B43:C43"/>
    <mergeCell ref="D43:G43"/>
    <mergeCell ref="H43:I43"/>
    <mergeCell ref="J43:K43"/>
    <mergeCell ref="B44:C44"/>
    <mergeCell ref="D44:G44"/>
    <mergeCell ref="H44:I44"/>
    <mergeCell ref="J44:K44"/>
    <mergeCell ref="D41:G41"/>
    <mergeCell ref="H41:I41"/>
    <mergeCell ref="J41:K41"/>
    <mergeCell ref="B42:C42"/>
    <mergeCell ref="D42:G42"/>
    <mergeCell ref="H42:I42"/>
    <mergeCell ref="J42:K42"/>
    <mergeCell ref="A38:A39"/>
    <mergeCell ref="B38:C39"/>
    <mergeCell ref="D38:G39"/>
    <mergeCell ref="H38:I39"/>
    <mergeCell ref="J38:K39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5:C65"/>
    <mergeCell ref="D65:G65"/>
    <mergeCell ref="H65:I65"/>
    <mergeCell ref="J65:K65"/>
    <mergeCell ref="I9:I11"/>
    <mergeCell ref="J9:J11"/>
    <mergeCell ref="K9:K11"/>
    <mergeCell ref="C12:E12"/>
    <mergeCell ref="C13:E13"/>
    <mergeCell ref="C16:E16"/>
    <mergeCell ref="A29:K29"/>
    <mergeCell ref="A30:K30"/>
    <mergeCell ref="A31:K31"/>
    <mergeCell ref="A32:K32"/>
    <mergeCell ref="A33:K33"/>
    <mergeCell ref="A36:D36"/>
    <mergeCell ref="A17:E17"/>
    <mergeCell ref="A19:E19"/>
    <mergeCell ref="F19:K19"/>
    <mergeCell ref="A20:E20"/>
    <mergeCell ref="F20:K20"/>
    <mergeCell ref="A21:E27"/>
    <mergeCell ref="F21:K27"/>
    <mergeCell ref="B41:C4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8">
    <tabColor rgb="FF92D050"/>
  </sheetPr>
  <dimension ref="A1:T77"/>
  <sheetViews>
    <sheetView view="pageBreakPreview" topLeftCell="A67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C.II.2.5. Đào đất hố móng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5</v>
      </c>
      <c r="N6" s="245" t="str">
        <f>THKLQT!C163</f>
        <v>Đào đất hố móng</v>
      </c>
      <c r="Q6" s="17"/>
    </row>
    <row r="7" spans="1:20" s="178" customFormat="1" ht="18.75" customHeight="1">
      <c r="A7" s="634">
        <f>I17</f>
        <v>5084.32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THKLQT!D163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43358</v>
      </c>
      <c r="C12" s="571" t="str">
        <f>T12</f>
        <v>Đào đất hố móng  A1L</v>
      </c>
      <c r="D12" s="572"/>
      <c r="E12" s="573"/>
      <c r="F12" s="2">
        <f>P12</f>
        <v>583.49</v>
      </c>
      <c r="G12" s="1">
        <f>P12</f>
        <v>583.49</v>
      </c>
      <c r="H12" s="295">
        <f>P12</f>
        <v>583.49</v>
      </c>
      <c r="I12" s="107">
        <f>P12</f>
        <v>583.49</v>
      </c>
      <c r="J12" s="107">
        <f>P12</f>
        <v>583.49</v>
      </c>
      <c r="K12" s="603" t="s">
        <v>700</v>
      </c>
      <c r="N12" s="118"/>
      <c r="O12" s="118" t="s">
        <v>369</v>
      </c>
      <c r="P12" s="88">
        <v>583.49</v>
      </c>
      <c r="Q12" s="89">
        <v>43358</v>
      </c>
      <c r="R12" s="88"/>
      <c r="S12" s="88" t="e">
        <f>VLOOKUP($S$11,hamchuigoi3,M12,0)</f>
        <v>#VALUE!</v>
      </c>
      <c r="T12" s="3" t="str">
        <f>$N$6&amp;" "&amp;O12</f>
        <v>Đào đất hố móng  A1L</v>
      </c>
    </row>
    <row r="13" spans="1:20" ht="14.25" outlineLevel="2">
      <c r="A13" s="81">
        <f>SUBTOTAL(103,$B$12:B13)</f>
        <v>2</v>
      </c>
      <c r="B13" s="78">
        <f t="shared" ref="B13:B15" si="0">Q13</f>
        <v>43372</v>
      </c>
      <c r="C13" s="571" t="str">
        <f t="shared" ref="C13:C15" si="1">T13</f>
        <v>Đào đất hố móng  A1R</v>
      </c>
      <c r="D13" s="572"/>
      <c r="E13" s="573"/>
      <c r="F13" s="2">
        <f t="shared" ref="F13:F15" si="2">P13</f>
        <v>583.49</v>
      </c>
      <c r="G13" s="1">
        <f t="shared" ref="G13:G15" si="3">P13</f>
        <v>583.49</v>
      </c>
      <c r="H13" s="295">
        <f t="shared" ref="H13:H15" si="4">P13</f>
        <v>583.49</v>
      </c>
      <c r="I13" s="107">
        <f t="shared" ref="I13:I15" si="5">P13</f>
        <v>583.49</v>
      </c>
      <c r="J13" s="107">
        <f t="shared" ref="J13:J15" si="6">P13</f>
        <v>583.49</v>
      </c>
      <c r="K13" s="604"/>
      <c r="N13" s="118"/>
      <c r="O13" s="118" t="s">
        <v>370</v>
      </c>
      <c r="P13" s="88">
        <v>583.49</v>
      </c>
      <c r="Q13" s="89">
        <v>43372</v>
      </c>
      <c r="R13" s="88"/>
      <c r="S13" s="88" t="e">
        <f>VLOOKUP($S$11,hamchuigoi3,M13,0)</f>
        <v>#VALUE!</v>
      </c>
      <c r="T13" s="3" t="str">
        <f t="shared" ref="T13:T15" si="7">$N$6&amp;" "&amp;O13</f>
        <v>Đào đất hố móng  A1R</v>
      </c>
    </row>
    <row r="14" spans="1:20" ht="14.25" outlineLevel="2">
      <c r="A14" s="81">
        <f>SUBTOTAL(103,$B$12:B14)</f>
        <v>3</v>
      </c>
      <c r="B14" s="78">
        <f t="shared" si="0"/>
        <v>43330</v>
      </c>
      <c r="C14" s="571" t="str">
        <f t="shared" si="1"/>
        <v>Đào đất hố móng  A2L</v>
      </c>
      <c r="D14" s="572"/>
      <c r="E14" s="573"/>
      <c r="F14" s="2">
        <f t="shared" si="2"/>
        <v>2576.58</v>
      </c>
      <c r="G14" s="1">
        <f t="shared" si="3"/>
        <v>2576.58</v>
      </c>
      <c r="H14" s="295">
        <f t="shared" si="4"/>
        <v>2576.58</v>
      </c>
      <c r="I14" s="107">
        <f t="shared" si="5"/>
        <v>2576.58</v>
      </c>
      <c r="J14" s="107">
        <f t="shared" si="6"/>
        <v>2576.58</v>
      </c>
      <c r="K14" s="604"/>
      <c r="N14" s="118"/>
      <c r="O14" s="118" t="s">
        <v>371</v>
      </c>
      <c r="P14" s="88">
        <v>2576.58</v>
      </c>
      <c r="Q14" s="89">
        <v>43330</v>
      </c>
      <c r="R14" s="88"/>
      <c r="S14" s="88" t="e">
        <f>VLOOKUP($S$11,hamchuigoi3,M14,0)</f>
        <v>#VALUE!</v>
      </c>
      <c r="T14" s="3" t="str">
        <f t="shared" si="7"/>
        <v>Đào đất hố móng  A2L</v>
      </c>
    </row>
    <row r="15" spans="1:20" ht="14.25" outlineLevel="2">
      <c r="A15" s="81">
        <f>SUBTOTAL(103,$B$12:B15)</f>
        <v>4</v>
      </c>
      <c r="B15" s="78">
        <f t="shared" si="0"/>
        <v>43332</v>
      </c>
      <c r="C15" s="571" t="str">
        <f t="shared" si="1"/>
        <v>Đào đất hố móng  A2R</v>
      </c>
      <c r="D15" s="572"/>
      <c r="E15" s="573"/>
      <c r="F15" s="2">
        <f t="shared" si="2"/>
        <v>1340.76</v>
      </c>
      <c r="G15" s="1">
        <f t="shared" si="3"/>
        <v>1340.76</v>
      </c>
      <c r="H15" s="295">
        <f t="shared" si="4"/>
        <v>1340.76</v>
      </c>
      <c r="I15" s="107">
        <f t="shared" si="5"/>
        <v>1340.76</v>
      </c>
      <c r="J15" s="107">
        <f t="shared" si="6"/>
        <v>1340.76</v>
      </c>
      <c r="K15" s="605"/>
      <c r="N15" s="118"/>
      <c r="O15" s="118" t="s">
        <v>372</v>
      </c>
      <c r="P15" s="88">
        <v>1340.76</v>
      </c>
      <c r="Q15" s="89">
        <v>43332</v>
      </c>
      <c r="R15" s="88"/>
      <c r="S15" s="88" t="e">
        <f>VLOOKUP($S$11,hamchuigoi3,M15,0)</f>
        <v>#VALUE!</v>
      </c>
      <c r="T15" s="3" t="str">
        <f t="shared" si="7"/>
        <v>Đào đất hố móng 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5084.32</v>
      </c>
      <c r="G17" s="79">
        <f t="shared" ref="G17:I17" si="8">ROUND(SUM(G12:G16),2)</f>
        <v>5084.32</v>
      </c>
      <c r="H17" s="79">
        <f t="shared" si="8"/>
        <v>5084.32</v>
      </c>
      <c r="I17" s="79">
        <f t="shared" si="8"/>
        <v>5084.32</v>
      </c>
      <c r="J17" s="79">
        <f>'[5]PKTT ĐỢT 7'!$AA$394</f>
        <v>2661.73</v>
      </c>
      <c r="K17" s="80"/>
      <c r="N17" s="118"/>
      <c r="O17" s="118"/>
      <c r="P17" s="90">
        <f>SUM(P12:P12)</f>
        <v>583.49</v>
      </c>
    </row>
    <row r="18" spans="1:20" s="175" customFormat="1" ht="18" customHeight="1" thickTop="1" thickBot="1">
      <c r="A18" s="249"/>
      <c r="B18" s="249"/>
      <c r="C18" s="249"/>
      <c r="D18" s="249"/>
      <c r="E18" s="249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49"/>
      <c r="B28" s="249"/>
      <c r="C28" s="249"/>
      <c r="D28" s="249"/>
      <c r="E28" s="249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0" t="str">
        <f>A5</f>
        <v>Hạng mục C.II.2. PHỤ TRỢ THI CÔNG</v>
      </c>
      <c r="B34" s="251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0" t="str">
        <f>A6</f>
        <v>Mục C.II.2.5. Đào đất hố móng</v>
      </c>
      <c r="B35" s="251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5084.32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Đào đất hố móng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Đào đất hố móng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Đào đất hố móng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Đào đất hố móng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Đào đất hố móng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Đào đất hố móng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Đào đất hố móng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Đào đất hố móng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Đào đất hố móng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Đào đất hố móng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Đào đất hố móng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Đào đất hố móng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Đào đất hố móng</v>
      </c>
      <c r="E52" s="568"/>
      <c r="F52" s="568"/>
      <c r="G52" s="568"/>
      <c r="H52" s="569">
        <f t="shared" si="9"/>
        <v>3917.34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Đào đất hố móng</v>
      </c>
      <c r="E53" s="568"/>
      <c r="F53" s="568"/>
      <c r="G53" s="568"/>
      <c r="H53" s="569">
        <f t="shared" si="9"/>
        <v>1166.98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Đào đất hố móng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Đào đất hố móng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Đào đất hố móng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Đào đất hố móng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Đào đất hố móng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Đào đất hố móng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Đào đất hố móng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Đào đất hố móng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Đào đất hố móng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Đào đất hố móng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Đào đất hố móng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Đào đất hố móng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5084.32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69">
    <tabColor rgb="FF92D050"/>
  </sheetPr>
  <dimension ref="A1:T77"/>
  <sheetViews>
    <sheetView view="pageBreakPreview" topLeftCell="A64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C.II.2.7. Đào đá đá cấp IV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7</v>
      </c>
      <c r="N6" s="245" t="str">
        <f>THKLQT!C165</f>
        <v>Đào đá đá cấp IV</v>
      </c>
      <c r="Q6" s="17"/>
    </row>
    <row r="7" spans="1:20" s="178" customFormat="1" ht="18.75" customHeight="1">
      <c r="A7" s="634">
        <f>I17</f>
        <v>142.34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THKLQT!D165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43358</v>
      </c>
      <c r="C12" s="571" t="str">
        <f>T12</f>
        <v>Đào đá đá cấp IV  A1L</v>
      </c>
      <c r="D12" s="572"/>
      <c r="E12" s="573"/>
      <c r="F12" s="2">
        <f>P12</f>
        <v>0</v>
      </c>
      <c r="G12" s="1">
        <f>P12</f>
        <v>0</v>
      </c>
      <c r="H12" s="297">
        <f>P12</f>
        <v>0</v>
      </c>
      <c r="I12" s="107">
        <f>P12</f>
        <v>0</v>
      </c>
      <c r="J12" s="107">
        <f>P12</f>
        <v>0</v>
      </c>
      <c r="K12" s="603"/>
      <c r="N12" s="118"/>
      <c r="O12" s="118" t="s">
        <v>369</v>
      </c>
      <c r="P12" s="88">
        <v>0</v>
      </c>
      <c r="Q12" s="89">
        <v>43358</v>
      </c>
      <c r="R12" s="88"/>
      <c r="S12" s="88" t="e">
        <f>VLOOKUP($S$11,hamchuigoi3,M12,0)</f>
        <v>#VALUE!</v>
      </c>
      <c r="T12" s="3" t="str">
        <f>$N$6&amp;" "&amp;O12</f>
        <v>Đào đá đá cấp IV  A1L</v>
      </c>
    </row>
    <row r="13" spans="1:20" ht="14.25" outlineLevel="2">
      <c r="A13" s="81">
        <f>SUBTOTAL(103,$B$12:B13)</f>
        <v>2</v>
      </c>
      <c r="B13" s="78">
        <f t="shared" ref="B13:B15" si="0">Q13</f>
        <v>43372</v>
      </c>
      <c r="C13" s="571" t="str">
        <f t="shared" ref="C13:C15" si="1">T13</f>
        <v>Đào đá đá cấp IV  A1R</v>
      </c>
      <c r="D13" s="572"/>
      <c r="E13" s="573"/>
      <c r="F13" s="2">
        <f t="shared" ref="F13:F15" si="2">P13</f>
        <v>0</v>
      </c>
      <c r="G13" s="1">
        <f t="shared" ref="G13:G15" si="3">P13</f>
        <v>0</v>
      </c>
      <c r="H13" s="297">
        <f t="shared" ref="H13:H15" si="4">P13</f>
        <v>0</v>
      </c>
      <c r="I13" s="107">
        <f t="shared" ref="I13:I15" si="5">P13</f>
        <v>0</v>
      </c>
      <c r="J13" s="107">
        <f t="shared" ref="J13:J15" si="6">P13</f>
        <v>0</v>
      </c>
      <c r="K13" s="604"/>
      <c r="N13" s="118"/>
      <c r="O13" s="118" t="s">
        <v>370</v>
      </c>
      <c r="P13" s="88">
        <v>0</v>
      </c>
      <c r="Q13" s="89">
        <v>43372</v>
      </c>
      <c r="R13" s="88"/>
      <c r="S13" s="88" t="e">
        <f>VLOOKUP($S$11,hamchuigoi3,M13,0)</f>
        <v>#VALUE!</v>
      </c>
      <c r="T13" s="3" t="str">
        <f t="shared" ref="T13:T15" si="7">$N$6&amp;" "&amp;O13</f>
        <v>Đào đá đá cấp IV  A1R</v>
      </c>
    </row>
    <row r="14" spans="1:20" ht="14.25" outlineLevel="2">
      <c r="A14" s="81">
        <f>SUBTOTAL(103,$B$12:B14)</f>
        <v>3</v>
      </c>
      <c r="B14" s="78">
        <f t="shared" si="0"/>
        <v>43330</v>
      </c>
      <c r="C14" s="571" t="str">
        <f t="shared" si="1"/>
        <v>Đào đá đá cấp IV  A2L</v>
      </c>
      <c r="D14" s="572"/>
      <c r="E14" s="573"/>
      <c r="F14" s="2">
        <f t="shared" si="2"/>
        <v>71.17</v>
      </c>
      <c r="G14" s="1">
        <f t="shared" si="3"/>
        <v>71.17</v>
      </c>
      <c r="H14" s="297">
        <f t="shared" si="4"/>
        <v>71.17</v>
      </c>
      <c r="I14" s="107">
        <f t="shared" si="5"/>
        <v>71.17</v>
      </c>
      <c r="J14" s="107">
        <f t="shared" si="6"/>
        <v>71.17</v>
      </c>
      <c r="K14" s="604"/>
      <c r="N14" s="118"/>
      <c r="O14" s="118" t="s">
        <v>371</v>
      </c>
      <c r="P14" s="88">
        <v>71.17</v>
      </c>
      <c r="Q14" s="89">
        <v>43330</v>
      </c>
      <c r="R14" s="88"/>
      <c r="S14" s="88" t="e">
        <f>VLOOKUP($S$11,hamchuigoi3,M14,0)</f>
        <v>#VALUE!</v>
      </c>
      <c r="T14" s="3" t="str">
        <f t="shared" si="7"/>
        <v>Đào đá đá cấp IV  A2L</v>
      </c>
    </row>
    <row r="15" spans="1:20" ht="14.25" outlineLevel="2">
      <c r="A15" s="81">
        <f>SUBTOTAL(103,$B$12:B15)</f>
        <v>4</v>
      </c>
      <c r="B15" s="78">
        <f t="shared" si="0"/>
        <v>43332</v>
      </c>
      <c r="C15" s="571" t="str">
        <f t="shared" si="1"/>
        <v>Đào đá đá cấp IV  A2R</v>
      </c>
      <c r="D15" s="572"/>
      <c r="E15" s="573"/>
      <c r="F15" s="2">
        <f t="shared" si="2"/>
        <v>71.17</v>
      </c>
      <c r="G15" s="1">
        <f t="shared" si="3"/>
        <v>71.17</v>
      </c>
      <c r="H15" s="297">
        <f t="shared" si="4"/>
        <v>71.17</v>
      </c>
      <c r="I15" s="107">
        <f t="shared" si="5"/>
        <v>71.17</v>
      </c>
      <c r="J15" s="107">
        <f t="shared" si="6"/>
        <v>71.17</v>
      </c>
      <c r="K15" s="605"/>
      <c r="N15" s="118"/>
      <c r="O15" s="118" t="s">
        <v>372</v>
      </c>
      <c r="P15" s="88">
        <v>71.17</v>
      </c>
      <c r="Q15" s="89">
        <v>43332</v>
      </c>
      <c r="R15" s="88"/>
      <c r="S15" s="88" t="e">
        <f>VLOOKUP($S$11,hamchuigoi3,M15,0)</f>
        <v>#VALUE!</v>
      </c>
      <c r="T15" s="3" t="str">
        <f t="shared" si="7"/>
        <v>Đào đá đá cấp IV 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142.34</v>
      </c>
      <c r="G17" s="79">
        <f t="shared" ref="G17:I17" si="8">ROUND(SUM(G12:G16),2)</f>
        <v>142.34</v>
      </c>
      <c r="H17" s="79">
        <f t="shared" si="8"/>
        <v>142.34</v>
      </c>
      <c r="I17" s="79">
        <f t="shared" si="8"/>
        <v>142.34</v>
      </c>
      <c r="J17" s="79">
        <f>'[5]PKTT ĐỢT 7'!$AA$396</f>
        <v>271.3</v>
      </c>
      <c r="K17" s="80"/>
      <c r="N17" s="118"/>
      <c r="O17" s="118"/>
      <c r="P17" s="90">
        <f>SUM(P12:P12)</f>
        <v>0</v>
      </c>
    </row>
    <row r="18" spans="1:20" s="175" customFormat="1" ht="18" customHeight="1" thickTop="1" thickBot="1">
      <c r="A18" s="249"/>
      <c r="B18" s="249"/>
      <c r="C18" s="249"/>
      <c r="D18" s="249"/>
      <c r="E18" s="249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49"/>
      <c r="B28" s="249"/>
      <c r="C28" s="249"/>
      <c r="D28" s="249"/>
      <c r="E28" s="249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0" t="str">
        <f>A5</f>
        <v>Hạng mục C.II.2. PHỤ TRỢ THI CÔNG</v>
      </c>
      <c r="B34" s="251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0" t="str">
        <f>A6</f>
        <v>Mục C.II.2.7. Đào đá đá cấp IV</v>
      </c>
      <c r="B35" s="251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142.34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Đào đá đá cấp IV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Đào đá đá cấp IV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Đào đá đá cấp IV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Đào đá đá cấp IV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Đào đá đá cấp IV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Đào đá đá cấp IV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Đào đá đá cấp IV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Đào đá đá cấp IV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Đào đá đá cấp IV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Đào đá đá cấp IV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Đào đá đá cấp IV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Đào đá đá cấp IV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Đào đá đá cấp IV</v>
      </c>
      <c r="E52" s="568"/>
      <c r="F52" s="568"/>
      <c r="G52" s="568"/>
      <c r="H52" s="569">
        <f t="shared" si="9"/>
        <v>142.34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Đào đá đá cấp IV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Đào đá đá cấp IV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Đào đá đá cấp IV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Đào đá đá cấp IV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Đào đá đá cấp IV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Đào đá đá cấp IV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Đào đá đá cấp IV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Đào đá đá cấp IV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Đào đá đá cấp IV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Đào đá đá cấp IV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Đào đá đá cấp IV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Đào đá đá cấp IV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Đào đá đá cấp IV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142.34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0">
    <tabColor rgb="FF92D050"/>
  </sheetPr>
  <dimension ref="A1:T77"/>
  <sheetViews>
    <sheetView view="pageBreakPreview" topLeftCell="A61" zoomScaleSheetLayoutView="100" workbookViewId="0">
      <selection activeCell="A70" sqref="A70:K76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C.II.2.8. Vận chuyển đá C4 đổ thải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8</v>
      </c>
      <c r="N6" s="245" t="str">
        <f>THKLQT!C166</f>
        <v>Vận chuyển đá C4 đổ thải</v>
      </c>
      <c r="Q6" s="17"/>
    </row>
    <row r="7" spans="1:20" s="178" customFormat="1" ht="18.75" customHeight="1">
      <c r="A7" s="634">
        <f>I17</f>
        <v>142.34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THKLQT!D166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43358</v>
      </c>
      <c r="C12" s="571" t="str">
        <f>T12</f>
        <v>Vận chuyển đá C4 đổ thải  A1L</v>
      </c>
      <c r="D12" s="572"/>
      <c r="E12" s="573"/>
      <c r="F12" s="2">
        <f>P12</f>
        <v>0</v>
      </c>
      <c r="G12" s="1">
        <f>P12</f>
        <v>0</v>
      </c>
      <c r="H12" s="297">
        <f>P12</f>
        <v>0</v>
      </c>
      <c r="I12" s="107">
        <f>P12</f>
        <v>0</v>
      </c>
      <c r="J12" s="107">
        <f>P12</f>
        <v>0</v>
      </c>
      <c r="K12" s="603" t="s">
        <v>677</v>
      </c>
      <c r="N12" s="118"/>
      <c r="O12" s="118" t="s">
        <v>369</v>
      </c>
      <c r="P12" s="88">
        <v>0</v>
      </c>
      <c r="Q12" s="89">
        <v>43358</v>
      </c>
      <c r="R12" s="88"/>
      <c r="S12" s="88" t="e">
        <f>VLOOKUP($S$11,hamchuigoi3,M12,0)</f>
        <v>#VALUE!</v>
      </c>
      <c r="T12" s="3" t="str">
        <f>$N$6&amp;" "&amp;O12</f>
        <v>Vận chuyển đá C4 đổ thải  A1L</v>
      </c>
    </row>
    <row r="13" spans="1:20" ht="14.25" outlineLevel="2">
      <c r="A13" s="81">
        <f>SUBTOTAL(103,$B$12:B13)</f>
        <v>2</v>
      </c>
      <c r="B13" s="78">
        <f t="shared" ref="B13:B15" si="0">Q13</f>
        <v>43372</v>
      </c>
      <c r="C13" s="571" t="str">
        <f t="shared" ref="C13:C15" si="1">T13</f>
        <v>Vận chuyển đá C4 đổ thải  A1R</v>
      </c>
      <c r="D13" s="572"/>
      <c r="E13" s="573"/>
      <c r="F13" s="2">
        <f t="shared" ref="F13:F15" si="2">P13</f>
        <v>0</v>
      </c>
      <c r="G13" s="1">
        <f t="shared" ref="G13:G15" si="3">P13</f>
        <v>0</v>
      </c>
      <c r="H13" s="297">
        <f t="shared" ref="H13:H15" si="4">P13</f>
        <v>0</v>
      </c>
      <c r="I13" s="107">
        <f t="shared" ref="I13:I15" si="5">P13</f>
        <v>0</v>
      </c>
      <c r="J13" s="107">
        <f t="shared" ref="J13:J15" si="6">P13</f>
        <v>0</v>
      </c>
      <c r="K13" s="604"/>
      <c r="N13" s="118"/>
      <c r="O13" s="118" t="s">
        <v>370</v>
      </c>
      <c r="P13" s="88">
        <v>0</v>
      </c>
      <c r="Q13" s="89">
        <v>43372</v>
      </c>
      <c r="R13" s="88"/>
      <c r="S13" s="88" t="e">
        <f>VLOOKUP($S$11,hamchuigoi3,M13,0)</f>
        <v>#VALUE!</v>
      </c>
      <c r="T13" s="3" t="str">
        <f t="shared" ref="T13:T15" si="7">$N$6&amp;" "&amp;O13</f>
        <v>Vận chuyển đá C4 đổ thải  A1R</v>
      </c>
    </row>
    <row r="14" spans="1:20" ht="14.25" outlineLevel="2">
      <c r="A14" s="81">
        <f>SUBTOTAL(103,$B$12:B14)</f>
        <v>3</v>
      </c>
      <c r="B14" s="78">
        <f t="shared" si="0"/>
        <v>43330</v>
      </c>
      <c r="C14" s="571" t="str">
        <f t="shared" si="1"/>
        <v>Vận chuyển đá C4 đổ thải  A2L</v>
      </c>
      <c r="D14" s="572"/>
      <c r="E14" s="573"/>
      <c r="F14" s="2">
        <f t="shared" si="2"/>
        <v>71.17</v>
      </c>
      <c r="G14" s="1">
        <f t="shared" si="3"/>
        <v>71.17</v>
      </c>
      <c r="H14" s="297">
        <f t="shared" si="4"/>
        <v>71.17</v>
      </c>
      <c r="I14" s="107">
        <f t="shared" si="5"/>
        <v>71.17</v>
      </c>
      <c r="J14" s="107">
        <f t="shared" si="6"/>
        <v>71.17</v>
      </c>
      <c r="K14" s="604"/>
      <c r="N14" s="118"/>
      <c r="O14" s="118" t="s">
        <v>371</v>
      </c>
      <c r="P14" s="88">
        <v>71.17</v>
      </c>
      <c r="Q14" s="89">
        <v>43330</v>
      </c>
      <c r="R14" s="88"/>
      <c r="S14" s="88" t="e">
        <f>VLOOKUP($S$11,hamchuigoi3,M14,0)</f>
        <v>#VALUE!</v>
      </c>
      <c r="T14" s="3" t="str">
        <f t="shared" si="7"/>
        <v>Vận chuyển đá C4 đổ thải  A2L</v>
      </c>
    </row>
    <row r="15" spans="1:20" ht="14.25" outlineLevel="2">
      <c r="A15" s="81">
        <f>SUBTOTAL(103,$B$12:B15)</f>
        <v>4</v>
      </c>
      <c r="B15" s="78">
        <f t="shared" si="0"/>
        <v>43332</v>
      </c>
      <c r="C15" s="571" t="str">
        <f t="shared" si="1"/>
        <v>Vận chuyển đá C4 đổ thải  A2R</v>
      </c>
      <c r="D15" s="572"/>
      <c r="E15" s="573"/>
      <c r="F15" s="2">
        <f t="shared" si="2"/>
        <v>71.17</v>
      </c>
      <c r="G15" s="1">
        <f t="shared" si="3"/>
        <v>71.17</v>
      </c>
      <c r="H15" s="297">
        <f t="shared" si="4"/>
        <v>71.17</v>
      </c>
      <c r="I15" s="107">
        <f t="shared" si="5"/>
        <v>71.17</v>
      </c>
      <c r="J15" s="107">
        <f t="shared" si="6"/>
        <v>71.17</v>
      </c>
      <c r="K15" s="605"/>
      <c r="N15" s="118"/>
      <c r="O15" s="118" t="s">
        <v>372</v>
      </c>
      <c r="P15" s="88">
        <v>71.17</v>
      </c>
      <c r="Q15" s="89">
        <v>43332</v>
      </c>
      <c r="R15" s="88"/>
      <c r="S15" s="88" t="e">
        <f>VLOOKUP($S$11,hamchuigoi3,M15,0)</f>
        <v>#VALUE!</v>
      </c>
      <c r="T15" s="3" t="str">
        <f t="shared" si="7"/>
        <v>Vận chuyển đá C4 đổ thải 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</f>
        <v>142.34</v>
      </c>
      <c r="G17" s="79">
        <f t="shared" ref="G17:J17" si="8">ROUND(SUM(G12:G16),2)</f>
        <v>142.34</v>
      </c>
      <c r="H17" s="79">
        <f t="shared" si="8"/>
        <v>142.34</v>
      </c>
      <c r="I17" s="79">
        <f t="shared" si="8"/>
        <v>142.34</v>
      </c>
      <c r="J17" s="79">
        <f t="shared" si="8"/>
        <v>142.34</v>
      </c>
      <c r="K17" s="80"/>
      <c r="N17" s="118"/>
      <c r="O17" s="118"/>
      <c r="P17" s="90">
        <f>SUM(P12:P12)</f>
        <v>0</v>
      </c>
    </row>
    <row r="18" spans="1:20" s="175" customFormat="1" ht="18" customHeight="1" thickTop="1" thickBot="1">
      <c r="A18" s="249"/>
      <c r="B18" s="249"/>
      <c r="C18" s="249"/>
      <c r="D18" s="249"/>
      <c r="E18" s="249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49"/>
      <c r="B28" s="249"/>
      <c r="C28" s="249"/>
      <c r="D28" s="249"/>
      <c r="E28" s="249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0" t="str">
        <f>A5</f>
        <v>Hạng mục C.II.2. PHỤ TRỢ THI CÔNG</v>
      </c>
      <c r="B34" s="251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0" t="str">
        <f>A6</f>
        <v>Mục C.II.2.8. Vận chuyển đá C4 đổ thải</v>
      </c>
      <c r="B35" s="251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142.34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Vận chuyển đá C4 đổ thải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Vận chuyển đá C4 đổ thải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Vận chuyển đá C4 đổ thải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Vận chuyển đá C4 đổ thải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Vận chuyển đá C4 đổ thải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Vận chuyển đá C4 đổ thải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Vận chuyển đá C4 đổ thải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Vận chuyển đá C4 đổ thải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Vận chuyển đá C4 đổ thải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Vận chuyển đá C4 đổ thải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Vận chuyển đá C4 đổ thải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Vận chuyển đá C4 đổ thải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Vận chuyển đá C4 đổ thải</v>
      </c>
      <c r="E52" s="568"/>
      <c r="F52" s="568"/>
      <c r="G52" s="568"/>
      <c r="H52" s="569">
        <f t="shared" si="9"/>
        <v>142.34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Vận chuyển đá C4 đổ thải</v>
      </c>
      <c r="E53" s="568"/>
      <c r="F53" s="568"/>
      <c r="G53" s="568"/>
      <c r="H53" s="569">
        <f t="shared" si="9"/>
        <v>0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Vận chuyển đá C4 đổ thải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Vận chuyển đá C4 đổ thải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Vận chuyển đá C4 đổ thải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Vận chuyển đá C4 đổ thải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Vận chuyển đá C4 đổ thải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Vận chuyển đá C4 đổ thải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Vận chuyển đá C4 đổ thải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Vận chuyển đá C4 đổ thải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Vận chuyển đá C4 đổ thải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Vận chuyển đá C4 đổ thải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Vận chuyển đá C4 đổ thải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Vận chuyển đá C4 đổ thải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142.34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1">
    <tabColor rgb="FF92D050"/>
  </sheetPr>
  <dimension ref="A1:T93"/>
  <sheetViews>
    <sheetView topLeftCell="A79" zoomScaleSheetLayoutView="100" workbookViewId="0">
      <selection activeCell="A86" sqref="A86:K92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5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C.II.2.9. Đắp đất hố móng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9</v>
      </c>
      <c r="N6" s="245" t="str">
        <f>THKLQT!C167</f>
        <v>Đắp đất hố móng</v>
      </c>
      <c r="Q6" s="17"/>
    </row>
    <row r="7" spans="1:20" s="178" customFormat="1" ht="18.75" customHeight="1">
      <c r="A7" s="634">
        <f>I33</f>
        <v>978.72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THKLQT!D167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43353</v>
      </c>
      <c r="C12" s="571" t="str">
        <f>T12</f>
        <v>Đắp đất hố móng A1 lớp 1</v>
      </c>
      <c r="D12" s="572"/>
      <c r="E12" s="573"/>
      <c r="F12" s="2">
        <f>P12</f>
        <v>30.114239999999999</v>
      </c>
      <c r="G12" s="1">
        <f>P12</f>
        <v>30.114239999999999</v>
      </c>
      <c r="H12" s="381">
        <f>P12</f>
        <v>30.114239999999999</v>
      </c>
      <c r="I12" s="107">
        <f>P12</f>
        <v>30.114239999999999</v>
      </c>
      <c r="J12" s="107">
        <f>P12</f>
        <v>30.114239999999999</v>
      </c>
      <c r="K12" s="700" t="s">
        <v>687</v>
      </c>
      <c r="N12" s="118"/>
      <c r="O12" s="118" t="s">
        <v>793</v>
      </c>
      <c r="P12" s="298">
        <v>30.114239999999999</v>
      </c>
      <c r="Q12" s="89">
        <v>43353</v>
      </c>
      <c r="R12" s="88"/>
      <c r="S12" s="88" t="e">
        <f t="shared" ref="S12:S31" si="0">VLOOKUP($S$11,hamchuigoi3,M12,0)</f>
        <v>#VALUE!</v>
      </c>
      <c r="T12" s="3" t="str">
        <f>$N$6&amp;" "&amp;O12</f>
        <v>Đắp đất hố móng A1 lớp 1</v>
      </c>
    </row>
    <row r="13" spans="1:20" ht="14.25" outlineLevel="2">
      <c r="A13" s="81">
        <f>SUBTOTAL(103,$B$12:B13)</f>
        <v>2</v>
      </c>
      <c r="B13" s="78">
        <f t="shared" ref="B13" si="1">Q13</f>
        <v>43313</v>
      </c>
      <c r="C13" s="571" t="str">
        <f t="shared" ref="C13" si="2">T13</f>
        <v>Đắp đất hố móng A2 lớp 1</v>
      </c>
      <c r="D13" s="572"/>
      <c r="E13" s="573"/>
      <c r="F13" s="2">
        <f t="shared" ref="F13" si="3">P13</f>
        <v>45.446207887500002</v>
      </c>
      <c r="G13" s="1">
        <f t="shared" ref="G13" si="4">P13</f>
        <v>45.446207887500002</v>
      </c>
      <c r="H13" s="381">
        <f t="shared" ref="H13" si="5">P13</f>
        <v>45.446207887500002</v>
      </c>
      <c r="I13" s="107">
        <f t="shared" ref="I13" si="6">P13</f>
        <v>45.446207887500002</v>
      </c>
      <c r="J13" s="107">
        <f t="shared" ref="J13" si="7">P13</f>
        <v>45.446207887500002</v>
      </c>
      <c r="K13" s="701"/>
      <c r="N13" s="118"/>
      <c r="O13" s="118" t="s">
        <v>803</v>
      </c>
      <c r="P13" s="298">
        <v>45.446207887500002</v>
      </c>
      <c r="Q13" s="89">
        <v>43313</v>
      </c>
      <c r="R13" s="88"/>
      <c r="S13" s="88" t="e">
        <f t="shared" si="0"/>
        <v>#VALUE!</v>
      </c>
      <c r="T13" s="3" t="str">
        <f t="shared" ref="T13" si="8">$N$6&amp;" "&amp;O13</f>
        <v>Đắp đất hố móng A2 lớp 1</v>
      </c>
    </row>
    <row r="14" spans="1:20" ht="14.25" outlineLevel="2">
      <c r="A14" s="81">
        <f>SUBTOTAL(103,$B$12:B14)</f>
        <v>3</v>
      </c>
      <c r="B14" s="78">
        <f t="shared" ref="B14:B16" si="9">Q14</f>
        <v>43354</v>
      </c>
      <c r="C14" s="571" t="str">
        <f t="shared" ref="C14:C16" si="10">T14</f>
        <v>Đắp đất hố móng A1 lớp 2</v>
      </c>
      <c r="D14" s="572"/>
      <c r="E14" s="573"/>
      <c r="F14" s="2">
        <f t="shared" ref="F14:F16" si="11">P14</f>
        <v>31.844543999999999</v>
      </c>
      <c r="G14" s="1">
        <f t="shared" ref="G14:G16" si="12">P14</f>
        <v>31.844543999999999</v>
      </c>
      <c r="H14" s="381">
        <f t="shared" ref="H14:H16" si="13">P14</f>
        <v>31.844543999999999</v>
      </c>
      <c r="I14" s="107">
        <f t="shared" ref="I14:I16" si="14">P14</f>
        <v>31.844543999999999</v>
      </c>
      <c r="J14" s="107">
        <f t="shared" ref="J14:J16" si="15">P14</f>
        <v>31.844543999999999</v>
      </c>
      <c r="K14" s="701"/>
      <c r="N14" s="118"/>
      <c r="O14" s="118" t="s">
        <v>794</v>
      </c>
      <c r="P14" s="298">
        <v>31.844543999999999</v>
      </c>
      <c r="Q14" s="89">
        <f>+Q12+1</f>
        <v>43354</v>
      </c>
      <c r="R14" s="88"/>
      <c r="S14" s="88" t="e">
        <f t="shared" si="0"/>
        <v>#VALUE!</v>
      </c>
      <c r="T14" s="3" t="str">
        <f t="shared" ref="T14:T16" si="16">$N$6&amp;" "&amp;O14</f>
        <v>Đắp đất hố móng A1 lớp 2</v>
      </c>
    </row>
    <row r="15" spans="1:20" ht="14.25" outlineLevel="2">
      <c r="A15" s="81">
        <f>SUBTOTAL(103,$B$12:B15)</f>
        <v>4</v>
      </c>
      <c r="B15" s="78">
        <f t="shared" si="9"/>
        <v>43314</v>
      </c>
      <c r="C15" s="571" t="str">
        <f t="shared" si="10"/>
        <v>Đắp đất hố móng A2 lớp 2</v>
      </c>
      <c r="D15" s="572"/>
      <c r="E15" s="573"/>
      <c r="F15" s="2">
        <f t="shared" si="11"/>
        <v>48.513649537500001</v>
      </c>
      <c r="G15" s="1">
        <f t="shared" si="12"/>
        <v>48.513649537500001</v>
      </c>
      <c r="H15" s="381">
        <f t="shared" si="13"/>
        <v>48.513649537500001</v>
      </c>
      <c r="I15" s="107">
        <f t="shared" si="14"/>
        <v>48.513649537500001</v>
      </c>
      <c r="J15" s="107">
        <f t="shared" si="15"/>
        <v>48.513649537500001</v>
      </c>
      <c r="K15" s="701"/>
      <c r="N15" s="118"/>
      <c r="O15" s="118" t="s">
        <v>804</v>
      </c>
      <c r="P15" s="298">
        <v>48.513649537500001</v>
      </c>
      <c r="Q15" s="89">
        <f>+Q13+1</f>
        <v>43314</v>
      </c>
      <c r="R15" s="88"/>
      <c r="S15" s="88" t="e">
        <f t="shared" si="0"/>
        <v>#VALUE!</v>
      </c>
      <c r="T15" s="3" t="str">
        <f t="shared" si="16"/>
        <v>Đắp đất hố móng A2 lớp 2</v>
      </c>
    </row>
    <row r="16" spans="1:20" ht="14.25" outlineLevel="2">
      <c r="A16" s="81">
        <f>SUBTOTAL(103,$B$12:B16)</f>
        <v>5</v>
      </c>
      <c r="B16" s="78">
        <f t="shared" si="9"/>
        <v>43355</v>
      </c>
      <c r="C16" s="571" t="str">
        <f t="shared" si="10"/>
        <v>Đắp đất hố móng A1 lớp 3</v>
      </c>
      <c r="D16" s="572"/>
      <c r="E16" s="573"/>
      <c r="F16" s="2">
        <f t="shared" si="11"/>
        <v>33.59328</v>
      </c>
      <c r="G16" s="1">
        <f t="shared" si="12"/>
        <v>33.59328</v>
      </c>
      <c r="H16" s="381">
        <f t="shared" si="13"/>
        <v>33.59328</v>
      </c>
      <c r="I16" s="107">
        <f t="shared" si="14"/>
        <v>33.59328</v>
      </c>
      <c r="J16" s="107">
        <f t="shared" si="15"/>
        <v>33.59328</v>
      </c>
      <c r="K16" s="702"/>
      <c r="N16" s="118"/>
      <c r="O16" s="118" t="s">
        <v>795</v>
      </c>
      <c r="P16" s="298">
        <v>33.59328</v>
      </c>
      <c r="Q16" s="89">
        <f t="shared" ref="Q16:Q31" si="17">+Q14+1</f>
        <v>43355</v>
      </c>
      <c r="R16" s="88"/>
      <c r="S16" s="88" t="e">
        <f t="shared" si="0"/>
        <v>#VALUE!</v>
      </c>
      <c r="T16" s="3" t="str">
        <f t="shared" si="16"/>
        <v>Đắp đất hố móng A1 lớp 3</v>
      </c>
    </row>
    <row r="17" spans="1:20" ht="14.25" outlineLevel="2">
      <c r="A17" s="81">
        <f>SUBTOTAL(103,$B$12:B17)</f>
        <v>6</v>
      </c>
      <c r="B17" s="78">
        <f t="shared" ref="B17:B19" si="18">Q17</f>
        <v>43315</v>
      </c>
      <c r="C17" s="571" t="str">
        <f t="shared" ref="C17:C19" si="19">T17</f>
        <v>Đắp đất hố móng A2 lớp 3</v>
      </c>
      <c r="D17" s="572"/>
      <c r="E17" s="573"/>
      <c r="F17" s="2">
        <f t="shared" ref="F17:F19" si="20">P17</f>
        <v>51.622765687499999</v>
      </c>
      <c r="G17" s="1">
        <f t="shared" ref="G17:G19" si="21">P17</f>
        <v>51.622765687499999</v>
      </c>
      <c r="H17" s="381">
        <f t="shared" ref="H17:H19" si="22">P17</f>
        <v>51.622765687499999</v>
      </c>
      <c r="I17" s="107">
        <f t="shared" ref="I17:I19" si="23">P17</f>
        <v>51.622765687499999</v>
      </c>
      <c r="J17" s="107">
        <f t="shared" ref="J17:J19" si="24">P17</f>
        <v>51.622765687499999</v>
      </c>
      <c r="K17" s="413"/>
      <c r="N17" s="118"/>
      <c r="O17" s="118" t="s">
        <v>805</v>
      </c>
      <c r="P17" s="298">
        <v>51.622765687499999</v>
      </c>
      <c r="Q17" s="89">
        <f t="shared" si="17"/>
        <v>43315</v>
      </c>
      <c r="R17" s="88"/>
      <c r="S17" s="88" t="e">
        <f t="shared" si="0"/>
        <v>#VALUE!</v>
      </c>
      <c r="T17" s="3" t="str">
        <f t="shared" ref="T17:T19" si="25">$N$6&amp;" "&amp;O17</f>
        <v>Đắp đất hố móng A2 lớp 3</v>
      </c>
    </row>
    <row r="18" spans="1:20" ht="14.25" outlineLevel="2">
      <c r="A18" s="81">
        <f>SUBTOTAL(103,$B$12:B18)</f>
        <v>7</v>
      </c>
      <c r="B18" s="78">
        <f t="shared" si="18"/>
        <v>43356</v>
      </c>
      <c r="C18" s="571" t="str">
        <f t="shared" si="19"/>
        <v>Đắp đất hố móng A1 lớp 4</v>
      </c>
      <c r="D18" s="572"/>
      <c r="E18" s="573"/>
      <c r="F18" s="2">
        <f t="shared" si="20"/>
        <v>35.360447999999998</v>
      </c>
      <c r="G18" s="1">
        <f t="shared" si="21"/>
        <v>35.360447999999998</v>
      </c>
      <c r="H18" s="381">
        <f t="shared" si="22"/>
        <v>35.360447999999998</v>
      </c>
      <c r="I18" s="107">
        <f t="shared" si="23"/>
        <v>35.360447999999998</v>
      </c>
      <c r="J18" s="107">
        <f t="shared" si="24"/>
        <v>35.360447999999998</v>
      </c>
      <c r="K18" s="413"/>
      <c r="N18" s="118"/>
      <c r="O18" s="118" t="s">
        <v>796</v>
      </c>
      <c r="P18" s="298">
        <v>35.360447999999998</v>
      </c>
      <c r="Q18" s="89">
        <f t="shared" si="17"/>
        <v>43356</v>
      </c>
      <c r="R18" s="88"/>
      <c r="S18" s="88" t="e">
        <f t="shared" si="0"/>
        <v>#VALUE!</v>
      </c>
      <c r="T18" s="3" t="str">
        <f t="shared" si="25"/>
        <v>Đắp đất hố móng A1 lớp 4</v>
      </c>
    </row>
    <row r="19" spans="1:20" ht="14.25" outlineLevel="2">
      <c r="A19" s="81">
        <f>SUBTOTAL(103,$B$12:B19)</f>
        <v>8</v>
      </c>
      <c r="B19" s="78">
        <f t="shared" si="18"/>
        <v>43316</v>
      </c>
      <c r="C19" s="571" t="str">
        <f t="shared" si="19"/>
        <v>Đắp đất hố móng A2 lớp 4</v>
      </c>
      <c r="D19" s="572"/>
      <c r="E19" s="573"/>
      <c r="F19" s="2">
        <f t="shared" si="20"/>
        <v>54.773556337499997</v>
      </c>
      <c r="G19" s="1">
        <f t="shared" si="21"/>
        <v>54.773556337499997</v>
      </c>
      <c r="H19" s="381">
        <f t="shared" si="22"/>
        <v>54.773556337499997</v>
      </c>
      <c r="I19" s="107">
        <f t="shared" si="23"/>
        <v>54.773556337499997</v>
      </c>
      <c r="J19" s="107">
        <f t="shared" si="24"/>
        <v>54.773556337499997</v>
      </c>
      <c r="K19" s="413"/>
      <c r="N19" s="118"/>
      <c r="O19" s="118" t="s">
        <v>806</v>
      </c>
      <c r="P19" s="298">
        <v>54.773556337499997</v>
      </c>
      <c r="Q19" s="89">
        <f t="shared" si="17"/>
        <v>43316</v>
      </c>
      <c r="R19" s="88"/>
      <c r="S19" s="88" t="e">
        <f t="shared" si="0"/>
        <v>#VALUE!</v>
      </c>
      <c r="T19" s="3" t="str">
        <f t="shared" si="25"/>
        <v>Đắp đất hố móng A2 lớp 4</v>
      </c>
    </row>
    <row r="20" spans="1:20" ht="14.25" outlineLevel="2">
      <c r="A20" s="81">
        <f>SUBTOTAL(103,$B$12:B20)</f>
        <v>9</v>
      </c>
      <c r="B20" s="78">
        <f t="shared" ref="B20:B21" si="26">Q20</f>
        <v>43357</v>
      </c>
      <c r="C20" s="571" t="str">
        <f t="shared" ref="C20:C21" si="27">T20</f>
        <v>Đắp đất hố móng A1 lớp 5</v>
      </c>
      <c r="D20" s="572"/>
      <c r="E20" s="573"/>
      <c r="F20" s="2">
        <f t="shared" ref="F20:F21" si="28">P20</f>
        <v>37.146048</v>
      </c>
      <c r="G20" s="1">
        <f t="shared" ref="G20:G21" si="29">P20</f>
        <v>37.146048</v>
      </c>
      <c r="H20" s="381">
        <f t="shared" ref="H20:H21" si="30">P20</f>
        <v>37.146048</v>
      </c>
      <c r="I20" s="107">
        <f t="shared" ref="I20:I21" si="31">P20</f>
        <v>37.146048</v>
      </c>
      <c r="J20" s="107">
        <f t="shared" ref="J20:J21" si="32">P20</f>
        <v>37.146048</v>
      </c>
      <c r="K20" s="413"/>
      <c r="N20" s="118"/>
      <c r="O20" s="118" t="s">
        <v>797</v>
      </c>
      <c r="P20" s="298">
        <v>37.146048</v>
      </c>
      <c r="Q20" s="89">
        <f t="shared" si="17"/>
        <v>43357</v>
      </c>
      <c r="R20" s="88"/>
      <c r="S20" s="88" t="e">
        <f t="shared" si="0"/>
        <v>#VALUE!</v>
      </c>
      <c r="T20" s="3" t="str">
        <f t="shared" ref="T20:T21" si="33">$N$6&amp;" "&amp;O20</f>
        <v>Đắp đất hố móng A1 lớp 5</v>
      </c>
    </row>
    <row r="21" spans="1:20" ht="14.25" outlineLevel="2">
      <c r="A21" s="81">
        <f>SUBTOTAL(103,$B$12:B21)</f>
        <v>10</v>
      </c>
      <c r="B21" s="78">
        <f t="shared" si="26"/>
        <v>43317</v>
      </c>
      <c r="C21" s="571" t="str">
        <f t="shared" si="27"/>
        <v>Đắp đất hố móng A2 lớp 5</v>
      </c>
      <c r="D21" s="572"/>
      <c r="E21" s="573"/>
      <c r="F21" s="2">
        <f t="shared" si="28"/>
        <v>57.966021487500001</v>
      </c>
      <c r="G21" s="1">
        <f t="shared" si="29"/>
        <v>57.966021487500001</v>
      </c>
      <c r="H21" s="381">
        <f t="shared" si="30"/>
        <v>57.966021487500001</v>
      </c>
      <c r="I21" s="107">
        <f t="shared" si="31"/>
        <v>57.966021487500001</v>
      </c>
      <c r="J21" s="107">
        <f t="shared" si="32"/>
        <v>57.966021487500001</v>
      </c>
      <c r="K21" s="413"/>
      <c r="N21" s="118"/>
      <c r="O21" s="118" t="s">
        <v>807</v>
      </c>
      <c r="P21" s="298">
        <v>57.966021487500001</v>
      </c>
      <c r="Q21" s="89">
        <f t="shared" si="17"/>
        <v>43317</v>
      </c>
      <c r="R21" s="88"/>
      <c r="S21" s="88" t="e">
        <f t="shared" si="0"/>
        <v>#VALUE!</v>
      </c>
      <c r="T21" s="3" t="str">
        <f t="shared" si="33"/>
        <v>Đắp đất hố móng A2 lớp 5</v>
      </c>
    </row>
    <row r="22" spans="1:20" ht="14.25" outlineLevel="2">
      <c r="A22" s="81">
        <f>SUBTOTAL(103,$B$12:B22)</f>
        <v>11</v>
      </c>
      <c r="B22" s="78">
        <f t="shared" ref="B22:B31" si="34">Q22</f>
        <v>43358</v>
      </c>
      <c r="C22" s="571" t="str">
        <f t="shared" ref="C22:C31" si="35">T22</f>
        <v>Đắp đất hố móng A1 lớp 6</v>
      </c>
      <c r="D22" s="572"/>
      <c r="E22" s="573"/>
      <c r="F22" s="2">
        <f t="shared" ref="F22:F31" si="36">P22</f>
        <v>38.950079999999801</v>
      </c>
      <c r="G22" s="1">
        <f t="shared" ref="G22:G31" si="37">P22</f>
        <v>38.950079999999801</v>
      </c>
      <c r="H22" s="381">
        <f t="shared" ref="H22:H31" si="38">P22</f>
        <v>38.950079999999801</v>
      </c>
      <c r="I22" s="107">
        <f t="shared" ref="I22:I31" si="39">P22</f>
        <v>38.950079999999801</v>
      </c>
      <c r="J22" s="107">
        <f t="shared" ref="J22:J31" si="40">P22</f>
        <v>38.950079999999801</v>
      </c>
      <c r="K22" s="413"/>
      <c r="N22" s="118"/>
      <c r="O22" s="118" t="s">
        <v>798</v>
      </c>
      <c r="P22" s="298">
        <v>38.950079999999801</v>
      </c>
      <c r="Q22" s="89">
        <f t="shared" si="17"/>
        <v>43358</v>
      </c>
      <c r="R22" s="88"/>
      <c r="S22" s="88" t="e">
        <f t="shared" si="0"/>
        <v>#VALUE!</v>
      </c>
      <c r="T22" s="3" t="str">
        <f t="shared" ref="T22:T31" si="41">$N$6&amp;" "&amp;O22</f>
        <v>Đắp đất hố móng A1 lớp 6</v>
      </c>
    </row>
    <row r="23" spans="1:20" ht="14.25" outlineLevel="2">
      <c r="A23" s="81">
        <f>SUBTOTAL(103,$B$12:B23)</f>
        <v>12</v>
      </c>
      <c r="B23" s="78">
        <f t="shared" si="34"/>
        <v>43318</v>
      </c>
      <c r="C23" s="571" t="str">
        <f t="shared" si="35"/>
        <v>Đắp đất hố móng A2 lớp 6</v>
      </c>
      <c r="D23" s="572"/>
      <c r="E23" s="573"/>
      <c r="F23" s="2">
        <f t="shared" si="36"/>
        <v>61.200161137499997</v>
      </c>
      <c r="G23" s="1">
        <f t="shared" si="37"/>
        <v>61.200161137499997</v>
      </c>
      <c r="H23" s="381">
        <f t="shared" si="38"/>
        <v>61.200161137499997</v>
      </c>
      <c r="I23" s="107">
        <f t="shared" si="39"/>
        <v>61.200161137499997</v>
      </c>
      <c r="J23" s="107">
        <f t="shared" si="40"/>
        <v>61.200161137499997</v>
      </c>
      <c r="K23" s="413"/>
      <c r="N23" s="118"/>
      <c r="O23" s="118" t="s">
        <v>808</v>
      </c>
      <c r="P23" s="298">
        <v>61.200161137499997</v>
      </c>
      <c r="Q23" s="89">
        <f t="shared" si="17"/>
        <v>43318</v>
      </c>
      <c r="R23" s="88"/>
      <c r="S23" s="88" t="e">
        <f t="shared" si="0"/>
        <v>#VALUE!</v>
      </c>
      <c r="T23" s="3" t="str">
        <f t="shared" si="41"/>
        <v>Đắp đất hố móng A2 lớp 6</v>
      </c>
    </row>
    <row r="24" spans="1:20" ht="14.25" outlineLevel="2">
      <c r="A24" s="81">
        <f>SUBTOTAL(103,$B$12:B24)</f>
        <v>13</v>
      </c>
      <c r="B24" s="78">
        <f t="shared" si="34"/>
        <v>43359</v>
      </c>
      <c r="C24" s="571" t="str">
        <f t="shared" si="35"/>
        <v>Đắp đất hố móng A1 lớp 7</v>
      </c>
      <c r="D24" s="572"/>
      <c r="E24" s="573"/>
      <c r="F24" s="2">
        <f t="shared" si="36"/>
        <v>40.772544000000003</v>
      </c>
      <c r="G24" s="1">
        <f t="shared" si="37"/>
        <v>40.772544000000003</v>
      </c>
      <c r="H24" s="381">
        <f t="shared" si="38"/>
        <v>40.772544000000003</v>
      </c>
      <c r="I24" s="107">
        <f t="shared" si="39"/>
        <v>40.772544000000003</v>
      </c>
      <c r="J24" s="107">
        <f t="shared" si="40"/>
        <v>40.772544000000003</v>
      </c>
      <c r="K24" s="413"/>
      <c r="N24" s="118"/>
      <c r="O24" s="118" t="s">
        <v>799</v>
      </c>
      <c r="P24" s="298">
        <v>40.772544000000003</v>
      </c>
      <c r="Q24" s="89">
        <f t="shared" si="17"/>
        <v>43359</v>
      </c>
      <c r="R24" s="88"/>
      <c r="S24" s="88" t="e">
        <f t="shared" si="0"/>
        <v>#VALUE!</v>
      </c>
      <c r="T24" s="3" t="str">
        <f t="shared" si="41"/>
        <v>Đắp đất hố móng A1 lớp 7</v>
      </c>
    </row>
    <row r="25" spans="1:20" ht="14.25" outlineLevel="2">
      <c r="A25" s="81">
        <f>SUBTOTAL(103,$B$12:B25)</f>
        <v>14</v>
      </c>
      <c r="B25" s="78">
        <f t="shared" si="34"/>
        <v>43319</v>
      </c>
      <c r="C25" s="571" t="str">
        <f t="shared" si="35"/>
        <v>Đắp đất hố móng A2 lớp 7</v>
      </c>
      <c r="D25" s="572"/>
      <c r="E25" s="573"/>
      <c r="F25" s="2">
        <f t="shared" si="36"/>
        <v>64.475975287500006</v>
      </c>
      <c r="G25" s="1">
        <f t="shared" si="37"/>
        <v>64.475975287500006</v>
      </c>
      <c r="H25" s="381">
        <f t="shared" si="38"/>
        <v>64.475975287500006</v>
      </c>
      <c r="I25" s="107">
        <f t="shared" si="39"/>
        <v>64.475975287500006</v>
      </c>
      <c r="J25" s="107">
        <f t="shared" si="40"/>
        <v>64.475975287500006</v>
      </c>
      <c r="K25" s="413"/>
      <c r="N25" s="118"/>
      <c r="O25" s="118" t="s">
        <v>809</v>
      </c>
      <c r="P25" s="298">
        <v>64.475975287500006</v>
      </c>
      <c r="Q25" s="89">
        <f t="shared" si="17"/>
        <v>43319</v>
      </c>
      <c r="R25" s="88"/>
      <c r="S25" s="88" t="e">
        <f t="shared" si="0"/>
        <v>#VALUE!</v>
      </c>
      <c r="T25" s="3" t="str">
        <f t="shared" si="41"/>
        <v>Đắp đất hố móng A2 lớp 7</v>
      </c>
    </row>
    <row r="26" spans="1:20" ht="14.25" outlineLevel="2">
      <c r="A26" s="81">
        <f>SUBTOTAL(103,$B$12:B26)</f>
        <v>15</v>
      </c>
      <c r="B26" s="78">
        <f t="shared" si="34"/>
        <v>43360</v>
      </c>
      <c r="C26" s="571" t="str">
        <f t="shared" si="35"/>
        <v>Đắp đất hố móng A1 lớp 8</v>
      </c>
      <c r="D26" s="572"/>
      <c r="E26" s="573"/>
      <c r="F26" s="2">
        <f t="shared" si="36"/>
        <v>42.613439999999997</v>
      </c>
      <c r="G26" s="1">
        <f t="shared" si="37"/>
        <v>42.613439999999997</v>
      </c>
      <c r="H26" s="381">
        <f t="shared" si="38"/>
        <v>42.613439999999997</v>
      </c>
      <c r="I26" s="107">
        <f t="shared" si="39"/>
        <v>42.613439999999997</v>
      </c>
      <c r="J26" s="107">
        <f t="shared" si="40"/>
        <v>42.613439999999997</v>
      </c>
      <c r="K26" s="413"/>
      <c r="N26" s="118"/>
      <c r="O26" s="118" t="s">
        <v>800</v>
      </c>
      <c r="P26" s="298">
        <v>42.613439999999997</v>
      </c>
      <c r="Q26" s="89">
        <f t="shared" si="17"/>
        <v>43360</v>
      </c>
      <c r="R26" s="88"/>
      <c r="S26" s="88" t="e">
        <f t="shared" si="0"/>
        <v>#VALUE!</v>
      </c>
      <c r="T26" s="3" t="str">
        <f t="shared" si="41"/>
        <v>Đắp đất hố móng A1 lớp 8</v>
      </c>
    </row>
    <row r="27" spans="1:20" ht="14.25" outlineLevel="2">
      <c r="A27" s="81">
        <f>SUBTOTAL(103,$B$12:B27)</f>
        <v>16</v>
      </c>
      <c r="B27" s="78">
        <f t="shared" si="34"/>
        <v>43320</v>
      </c>
      <c r="C27" s="571" t="str">
        <f t="shared" si="35"/>
        <v>Đắp đất hố móng A2 lớp 8</v>
      </c>
      <c r="D27" s="572"/>
      <c r="E27" s="573"/>
      <c r="F27" s="2">
        <f t="shared" si="36"/>
        <v>67.793463937499993</v>
      </c>
      <c r="G27" s="1">
        <f t="shared" si="37"/>
        <v>67.793463937499993</v>
      </c>
      <c r="H27" s="381">
        <f t="shared" si="38"/>
        <v>67.793463937499993</v>
      </c>
      <c r="I27" s="107">
        <f t="shared" si="39"/>
        <v>67.793463937499993</v>
      </c>
      <c r="J27" s="107">
        <f t="shared" si="40"/>
        <v>67.793463937499993</v>
      </c>
      <c r="K27" s="413"/>
      <c r="N27" s="118"/>
      <c r="O27" s="118" t="s">
        <v>810</v>
      </c>
      <c r="P27" s="298">
        <v>67.793463937499993</v>
      </c>
      <c r="Q27" s="89">
        <f t="shared" si="17"/>
        <v>43320</v>
      </c>
      <c r="R27" s="88"/>
      <c r="S27" s="88" t="e">
        <f t="shared" si="0"/>
        <v>#VALUE!</v>
      </c>
      <c r="T27" s="3" t="str">
        <f t="shared" si="41"/>
        <v>Đắp đất hố móng A2 lớp 8</v>
      </c>
    </row>
    <row r="28" spans="1:20" ht="14.25" outlineLevel="2">
      <c r="A28" s="81">
        <f>SUBTOTAL(103,$B$12:B28)</f>
        <v>17</v>
      </c>
      <c r="B28" s="78">
        <f t="shared" si="34"/>
        <v>43361</v>
      </c>
      <c r="C28" s="571" t="str">
        <f t="shared" si="35"/>
        <v>Đắp đất hố móng A1 lớp 9</v>
      </c>
      <c r="D28" s="572"/>
      <c r="E28" s="573"/>
      <c r="F28" s="2">
        <f t="shared" si="36"/>
        <v>44.472768000000002</v>
      </c>
      <c r="G28" s="1">
        <f t="shared" si="37"/>
        <v>44.472768000000002</v>
      </c>
      <c r="H28" s="381">
        <f t="shared" si="38"/>
        <v>44.472768000000002</v>
      </c>
      <c r="I28" s="107">
        <f t="shared" si="39"/>
        <v>44.472768000000002</v>
      </c>
      <c r="J28" s="107">
        <f t="shared" si="40"/>
        <v>44.472768000000002</v>
      </c>
      <c r="K28" s="413"/>
      <c r="N28" s="118"/>
      <c r="O28" s="118" t="s">
        <v>801</v>
      </c>
      <c r="P28" s="298">
        <v>44.472768000000002</v>
      </c>
      <c r="Q28" s="89">
        <f t="shared" si="17"/>
        <v>43361</v>
      </c>
      <c r="R28" s="88"/>
      <c r="S28" s="88" t="e">
        <f t="shared" si="0"/>
        <v>#VALUE!</v>
      </c>
      <c r="T28" s="3" t="str">
        <f t="shared" si="41"/>
        <v>Đắp đất hố móng A1 lớp 9</v>
      </c>
    </row>
    <row r="29" spans="1:20" ht="14.25" outlineLevel="2">
      <c r="A29" s="81">
        <f>SUBTOTAL(103,$B$12:B29)</f>
        <v>18</v>
      </c>
      <c r="B29" s="78">
        <f t="shared" si="34"/>
        <v>43321</v>
      </c>
      <c r="C29" s="571" t="str">
        <f t="shared" si="35"/>
        <v>Đắp đất hố móng A1 lớp 9</v>
      </c>
      <c r="D29" s="572"/>
      <c r="E29" s="573"/>
      <c r="F29" s="2">
        <f t="shared" si="36"/>
        <v>71.152627087499994</v>
      </c>
      <c r="G29" s="1">
        <f t="shared" si="37"/>
        <v>71.152627087499994</v>
      </c>
      <c r="H29" s="381">
        <f t="shared" si="38"/>
        <v>71.152627087499994</v>
      </c>
      <c r="I29" s="107">
        <f t="shared" si="39"/>
        <v>71.152627087499994</v>
      </c>
      <c r="J29" s="107">
        <f t="shared" si="40"/>
        <v>71.152627087499994</v>
      </c>
      <c r="K29" s="413"/>
      <c r="N29" s="118"/>
      <c r="O29" s="118" t="s">
        <v>801</v>
      </c>
      <c r="P29" s="298">
        <v>71.152627087499994</v>
      </c>
      <c r="Q29" s="89">
        <f t="shared" si="17"/>
        <v>43321</v>
      </c>
      <c r="R29" s="88"/>
      <c r="S29" s="88" t="e">
        <f t="shared" si="0"/>
        <v>#VALUE!</v>
      </c>
      <c r="T29" s="3" t="str">
        <f t="shared" si="41"/>
        <v>Đắp đất hố móng A1 lớp 9</v>
      </c>
    </row>
    <row r="30" spans="1:20" ht="14.25" outlineLevel="2">
      <c r="A30" s="81">
        <f>SUBTOTAL(103,$B$12:B30)</f>
        <v>19</v>
      </c>
      <c r="B30" s="78">
        <f t="shared" si="34"/>
        <v>43362</v>
      </c>
      <c r="C30" s="571" t="str">
        <f t="shared" si="35"/>
        <v>Đắp đất hố móng A1 lớp 10</v>
      </c>
      <c r="D30" s="572"/>
      <c r="E30" s="573"/>
      <c r="F30" s="2">
        <f t="shared" si="36"/>
        <v>46.350527999999997</v>
      </c>
      <c r="G30" s="1">
        <f t="shared" si="37"/>
        <v>46.350527999999997</v>
      </c>
      <c r="H30" s="381">
        <f t="shared" si="38"/>
        <v>46.350527999999997</v>
      </c>
      <c r="I30" s="107">
        <f t="shared" si="39"/>
        <v>46.350527999999997</v>
      </c>
      <c r="J30" s="107">
        <f t="shared" si="40"/>
        <v>46.350527999999997</v>
      </c>
      <c r="K30" s="413"/>
      <c r="N30" s="118"/>
      <c r="O30" s="118" t="s">
        <v>802</v>
      </c>
      <c r="P30" s="298">
        <v>46.350527999999997</v>
      </c>
      <c r="Q30" s="89">
        <f t="shared" si="17"/>
        <v>43362</v>
      </c>
      <c r="R30" s="88"/>
      <c r="S30" s="88" t="e">
        <f t="shared" si="0"/>
        <v>#VALUE!</v>
      </c>
      <c r="T30" s="3" t="str">
        <f t="shared" si="41"/>
        <v>Đắp đất hố móng A1 lớp 10</v>
      </c>
    </row>
    <row r="31" spans="1:20" ht="14.25" outlineLevel="2">
      <c r="A31" s="81">
        <f>SUBTOTAL(103,$B$12:B31)</f>
        <v>20</v>
      </c>
      <c r="B31" s="78">
        <f t="shared" si="34"/>
        <v>43322</v>
      </c>
      <c r="C31" s="571" t="str">
        <f t="shared" si="35"/>
        <v>Đắp đất hố móng A1 lớp 10</v>
      </c>
      <c r="D31" s="572"/>
      <c r="E31" s="573"/>
      <c r="F31" s="2">
        <f t="shared" si="36"/>
        <v>74.553464737499993</v>
      </c>
      <c r="G31" s="1">
        <f t="shared" si="37"/>
        <v>74.553464737499993</v>
      </c>
      <c r="H31" s="381">
        <f t="shared" si="38"/>
        <v>74.553464737499993</v>
      </c>
      <c r="I31" s="107">
        <f t="shared" si="39"/>
        <v>74.553464737499993</v>
      </c>
      <c r="J31" s="107">
        <f t="shared" si="40"/>
        <v>74.553464737499993</v>
      </c>
      <c r="K31" s="413"/>
      <c r="N31" s="118"/>
      <c r="O31" s="118" t="s">
        <v>802</v>
      </c>
      <c r="P31" s="298">
        <v>74.553464737499993</v>
      </c>
      <c r="Q31" s="89">
        <f t="shared" si="17"/>
        <v>43322</v>
      </c>
      <c r="R31" s="88"/>
      <c r="S31" s="88" t="e">
        <f t="shared" si="0"/>
        <v>#VALUE!</v>
      </c>
      <c r="T31" s="3" t="str">
        <f t="shared" si="41"/>
        <v>Đắp đất hố móng A1 lớp 10</v>
      </c>
    </row>
    <row r="32" spans="1:20" ht="14.25" outlineLevel="2">
      <c r="A32" s="81"/>
      <c r="B32" s="78"/>
      <c r="C32" s="571"/>
      <c r="D32" s="572"/>
      <c r="E32" s="573"/>
      <c r="F32" s="27"/>
      <c r="G32" s="33"/>
      <c r="H32" s="31"/>
      <c r="I32" s="107"/>
      <c r="J32" s="107"/>
      <c r="K32" s="82"/>
      <c r="N32" s="118"/>
      <c r="O32" s="118"/>
      <c r="P32" s="88"/>
      <c r="Q32" s="89"/>
      <c r="R32" s="88"/>
      <c r="S32" s="88"/>
      <c r="T32" s="3"/>
    </row>
    <row r="33" spans="1:20" thickBot="1">
      <c r="A33" s="574" t="s">
        <v>4</v>
      </c>
      <c r="B33" s="575"/>
      <c r="C33" s="575"/>
      <c r="D33" s="575"/>
      <c r="E33" s="575"/>
      <c r="F33" s="79">
        <f>ROUND(SUM(F12:F32),2)</f>
        <v>978.72</v>
      </c>
      <c r="G33" s="79">
        <f>ROUND(SUM(G12:G32),2)</f>
        <v>978.72</v>
      </c>
      <c r="H33" s="79">
        <f>ROUND(SUM(H12:H32),2)</f>
        <v>978.72</v>
      </c>
      <c r="I33" s="79">
        <f>ROUND(SUM(I12:I32),2)</f>
        <v>978.72</v>
      </c>
      <c r="J33" s="79">
        <f>'[5]PKTT ĐỢT 7'!$AA$398</f>
        <v>2233.0300000000002</v>
      </c>
      <c r="K33" s="80"/>
      <c r="N33" s="118"/>
      <c r="O33" s="118"/>
      <c r="P33" s="90">
        <f>SUM(P12:P12)</f>
        <v>30.114239999999999</v>
      </c>
    </row>
    <row r="34" spans="1:20" s="175" customFormat="1" ht="18" customHeight="1" thickTop="1" thickBot="1">
      <c r="A34" s="249"/>
      <c r="B34" s="249"/>
      <c r="C34" s="249"/>
      <c r="D34" s="249"/>
      <c r="E34" s="249"/>
      <c r="F34" s="116"/>
      <c r="G34" s="116"/>
      <c r="H34" s="116"/>
      <c r="I34" s="116"/>
      <c r="J34" s="116"/>
      <c r="K34" s="117"/>
      <c r="L34" s="4"/>
      <c r="M34" s="4"/>
      <c r="N34" s="118"/>
      <c r="O34" s="118"/>
      <c r="P34" s="119"/>
      <c r="Q34" s="120"/>
      <c r="R34" s="120"/>
      <c r="S34" s="120"/>
      <c r="T34" s="121"/>
    </row>
    <row r="35" spans="1:20" s="5" customFormat="1" ht="13.9" customHeight="1" thickTop="1">
      <c r="A35" s="578" t="s">
        <v>68</v>
      </c>
      <c r="B35" s="579"/>
      <c r="C35" s="579"/>
      <c r="D35" s="579"/>
      <c r="E35" s="579"/>
      <c r="F35" s="580" t="s">
        <v>69</v>
      </c>
      <c r="G35" s="580"/>
      <c r="H35" s="580"/>
      <c r="I35" s="581"/>
      <c r="J35" s="581"/>
      <c r="K35" s="582"/>
      <c r="L35" s="4"/>
      <c r="M35" s="4"/>
      <c r="N35" s="4"/>
      <c r="O35" s="4"/>
      <c r="P35" s="4"/>
    </row>
    <row r="36" spans="1:20" s="5" customFormat="1" ht="13.9" customHeight="1">
      <c r="A36" s="583" t="s">
        <v>5</v>
      </c>
      <c r="B36" s="584"/>
      <c r="C36" s="584"/>
      <c r="D36" s="584"/>
      <c r="E36" s="584"/>
      <c r="F36" s="585" t="s">
        <v>6</v>
      </c>
      <c r="G36" s="585"/>
      <c r="H36" s="585"/>
      <c r="I36" s="586"/>
      <c r="J36" s="586"/>
      <c r="K36" s="587"/>
      <c r="L36" s="4"/>
      <c r="M36" s="4"/>
      <c r="N36" s="4"/>
      <c r="O36" s="4"/>
      <c r="P36" s="4"/>
    </row>
    <row r="37" spans="1:20" s="5" customFormat="1" ht="13.9" customHeight="1">
      <c r="A37" s="583" t="s">
        <v>836</v>
      </c>
      <c r="B37" s="584"/>
      <c r="C37" s="584"/>
      <c r="D37" s="584"/>
      <c r="E37" s="584"/>
      <c r="F37" s="590" t="s">
        <v>837</v>
      </c>
      <c r="G37" s="590"/>
      <c r="H37" s="590"/>
      <c r="I37" s="591"/>
      <c r="J37" s="591"/>
      <c r="K37" s="592"/>
      <c r="L37" s="4"/>
      <c r="M37" s="4"/>
      <c r="N37" s="4"/>
      <c r="O37" s="4"/>
      <c r="P37" s="4"/>
    </row>
    <row r="38" spans="1:20" s="5" customFormat="1" ht="13.9" customHeight="1">
      <c r="A38" s="583"/>
      <c r="B38" s="584"/>
      <c r="C38" s="584"/>
      <c r="D38" s="584"/>
      <c r="E38" s="584"/>
      <c r="F38" s="590"/>
      <c r="G38" s="590"/>
      <c r="H38" s="590"/>
      <c r="I38" s="591"/>
      <c r="J38" s="591"/>
      <c r="K38" s="592"/>
      <c r="L38" s="4"/>
      <c r="M38" s="4"/>
      <c r="N38" s="4"/>
      <c r="O38" s="4"/>
      <c r="P38" s="4"/>
    </row>
    <row r="39" spans="1:20" s="5" customFormat="1" ht="13.9" customHeight="1">
      <c r="A39" s="583"/>
      <c r="B39" s="584"/>
      <c r="C39" s="584"/>
      <c r="D39" s="584"/>
      <c r="E39" s="584"/>
      <c r="F39" s="590"/>
      <c r="G39" s="590"/>
      <c r="H39" s="590"/>
      <c r="I39" s="591"/>
      <c r="J39" s="591"/>
      <c r="K39" s="592"/>
      <c r="L39" s="4"/>
      <c r="M39" s="4"/>
      <c r="N39" s="4"/>
      <c r="O39" s="4"/>
      <c r="P39" s="4"/>
    </row>
    <row r="40" spans="1:20" s="5" customFormat="1" ht="13.9" customHeight="1">
      <c r="A40" s="583"/>
      <c r="B40" s="584"/>
      <c r="C40" s="584"/>
      <c r="D40" s="584"/>
      <c r="E40" s="584"/>
      <c r="F40" s="590"/>
      <c r="G40" s="590"/>
      <c r="H40" s="590"/>
      <c r="I40" s="591"/>
      <c r="J40" s="591"/>
      <c r="K40" s="592"/>
      <c r="L40" s="4"/>
      <c r="M40" s="4"/>
      <c r="N40" s="4"/>
      <c r="O40" s="4"/>
      <c r="P40" s="4"/>
    </row>
    <row r="41" spans="1:20" s="5" customFormat="1" ht="13.9" customHeight="1">
      <c r="A41" s="583"/>
      <c r="B41" s="584"/>
      <c r="C41" s="584"/>
      <c r="D41" s="584"/>
      <c r="E41" s="584"/>
      <c r="F41" s="590"/>
      <c r="G41" s="590"/>
      <c r="H41" s="590"/>
      <c r="I41" s="591"/>
      <c r="J41" s="591"/>
      <c r="K41" s="592"/>
      <c r="L41" s="4"/>
      <c r="M41" s="4"/>
      <c r="N41" s="4"/>
      <c r="O41" s="4"/>
      <c r="P41" s="4"/>
    </row>
    <row r="42" spans="1:20" s="5" customFormat="1" ht="13.9" customHeight="1">
      <c r="A42" s="583"/>
      <c r="B42" s="584"/>
      <c r="C42" s="584"/>
      <c r="D42" s="584"/>
      <c r="E42" s="584"/>
      <c r="F42" s="590"/>
      <c r="G42" s="590"/>
      <c r="H42" s="590"/>
      <c r="I42" s="591"/>
      <c r="J42" s="591"/>
      <c r="K42" s="592"/>
      <c r="L42" s="4"/>
      <c r="M42" s="4"/>
      <c r="N42" s="4"/>
      <c r="O42" s="4"/>
      <c r="P42" s="4"/>
    </row>
    <row r="43" spans="1:20" s="5" customFormat="1" ht="13.9" customHeight="1" thickBot="1">
      <c r="A43" s="588"/>
      <c r="B43" s="589"/>
      <c r="C43" s="589"/>
      <c r="D43" s="589"/>
      <c r="E43" s="589"/>
      <c r="F43" s="593"/>
      <c r="G43" s="593"/>
      <c r="H43" s="593"/>
      <c r="I43" s="594"/>
      <c r="J43" s="594"/>
      <c r="K43" s="595"/>
      <c r="L43" s="4"/>
      <c r="M43" s="4"/>
      <c r="N43" s="4"/>
      <c r="O43" s="4"/>
      <c r="P43" s="4"/>
    </row>
    <row r="44" spans="1:20" s="175" customFormat="1" ht="18" customHeight="1" thickTop="1">
      <c r="A44" s="249"/>
      <c r="B44" s="249"/>
      <c r="C44" s="249"/>
      <c r="D44" s="249"/>
      <c r="E44" s="249"/>
      <c r="F44" s="116"/>
      <c r="G44" s="116"/>
      <c r="H44" s="116"/>
      <c r="I44" s="116"/>
      <c r="J44" s="116"/>
      <c r="K44" s="117"/>
      <c r="L44" s="118"/>
      <c r="M44" s="118"/>
      <c r="N44" s="118"/>
      <c r="O44" s="118"/>
      <c r="P44" s="119"/>
      <c r="Q44" s="120"/>
      <c r="R44" s="120"/>
      <c r="S44" s="120"/>
      <c r="T44" s="121"/>
    </row>
    <row r="45" spans="1:20" s="111" customFormat="1" ht="48" customHeight="1">
      <c r="A45" s="596" t="s">
        <v>87</v>
      </c>
      <c r="B45" s="596"/>
      <c r="C45" s="596"/>
      <c r="D45" s="596"/>
      <c r="E45" s="596"/>
      <c r="F45" s="596"/>
      <c r="G45" s="596"/>
      <c r="H45" s="596"/>
      <c r="I45" s="596"/>
      <c r="J45" s="596"/>
      <c r="K45" s="596"/>
      <c r="L45" s="108"/>
      <c r="M45" s="109"/>
      <c r="N45" s="110"/>
    </row>
    <row r="46" spans="1:20" s="112" customFormat="1" ht="18" customHeight="1">
      <c r="A46" s="597" t="s">
        <v>599</v>
      </c>
      <c r="B46" s="597"/>
      <c r="C46" s="597"/>
      <c r="D46" s="597"/>
      <c r="E46" s="597"/>
      <c r="F46" s="597"/>
      <c r="G46" s="597"/>
      <c r="H46" s="597"/>
      <c r="I46" s="597"/>
      <c r="J46" s="597"/>
      <c r="K46" s="597"/>
    </row>
    <row r="47" spans="1:20" s="175" customFormat="1" ht="20.100000000000001" customHeight="1">
      <c r="A47" s="598" t="s">
        <v>90</v>
      </c>
      <c r="B47" s="598"/>
      <c r="C47" s="598"/>
      <c r="D47" s="598"/>
      <c r="E47" s="598"/>
      <c r="F47" s="598"/>
      <c r="G47" s="598"/>
      <c r="H47" s="598"/>
      <c r="I47" s="598"/>
      <c r="J47" s="598"/>
      <c r="K47" s="598"/>
      <c r="L47" s="123"/>
      <c r="M47" s="124"/>
      <c r="N47" s="123"/>
      <c r="O47" s="123"/>
      <c r="P47" s="123"/>
      <c r="Q47" s="123"/>
      <c r="R47" s="123"/>
      <c r="S47" s="123"/>
      <c r="T47" s="123"/>
    </row>
    <row r="48" spans="1:20" s="175" customFormat="1" ht="15.95" customHeight="1">
      <c r="A48" s="599" t="s">
        <v>91</v>
      </c>
      <c r="B48" s="599"/>
      <c r="C48" s="599"/>
      <c r="D48" s="599"/>
      <c r="E48" s="599"/>
      <c r="F48" s="599"/>
      <c r="G48" s="599"/>
      <c r="H48" s="599"/>
      <c r="I48" s="599"/>
      <c r="J48" s="599"/>
      <c r="K48" s="599"/>
      <c r="L48" s="123"/>
      <c r="M48" s="124"/>
      <c r="N48" s="123"/>
      <c r="O48" s="123"/>
      <c r="P48" s="123"/>
      <c r="Q48" s="123"/>
      <c r="R48" s="123"/>
      <c r="S48" s="123"/>
      <c r="T48" s="123"/>
    </row>
    <row r="49" spans="1:20" s="175" customFormat="1" ht="15.95" customHeight="1">
      <c r="A49" s="600" t="str">
        <f>A4</f>
        <v>PHẦN C.: CẦU VƯỢT</v>
      </c>
      <c r="B49" s="601"/>
      <c r="C49" s="601"/>
      <c r="D49" s="601"/>
      <c r="E49" s="601"/>
      <c r="F49" s="601"/>
      <c r="G49" s="601"/>
      <c r="H49" s="601"/>
      <c r="I49" s="601"/>
      <c r="J49" s="601"/>
      <c r="K49" s="602"/>
      <c r="L49" s="123"/>
      <c r="M49" s="124"/>
      <c r="N49" s="123"/>
      <c r="O49" s="123"/>
      <c r="P49" s="123"/>
      <c r="Q49" s="123"/>
      <c r="R49" s="123"/>
      <c r="S49" s="123"/>
      <c r="T49" s="123"/>
    </row>
    <row r="50" spans="1:20" s="175" customFormat="1" ht="15.95" customHeight="1">
      <c r="A50" s="250" t="str">
        <f>A5</f>
        <v>Hạng mục C.II.2. PHỤ TRỢ THI CÔNG</v>
      </c>
      <c r="B50" s="251"/>
      <c r="C50" s="127"/>
      <c r="D50" s="127"/>
      <c r="E50" s="128"/>
      <c r="F50" s="129"/>
      <c r="G50" s="129"/>
      <c r="H50" s="129"/>
      <c r="I50" s="129"/>
      <c r="J50" s="129"/>
      <c r="K50" s="130"/>
      <c r="L50" s="123"/>
      <c r="M50" s="124"/>
      <c r="N50" s="123"/>
      <c r="O50" s="123"/>
      <c r="P50" s="123"/>
      <c r="Q50" s="123"/>
      <c r="R50" s="123"/>
      <c r="S50" s="123"/>
      <c r="T50" s="123"/>
    </row>
    <row r="51" spans="1:20" s="175" customFormat="1" ht="15.95" customHeight="1">
      <c r="A51" s="250" t="str">
        <f>A6</f>
        <v>Mục C.II.2.9. Đắp đất hố móng</v>
      </c>
      <c r="B51" s="251"/>
      <c r="C51" s="127"/>
      <c r="D51" s="127"/>
      <c r="E51" s="128"/>
      <c r="F51" s="129"/>
      <c r="G51" s="129"/>
      <c r="H51" s="129"/>
      <c r="I51" s="129"/>
      <c r="J51" s="129"/>
      <c r="K51" s="130"/>
      <c r="L51" s="123"/>
      <c r="M51" s="124"/>
      <c r="N51" s="123"/>
      <c r="O51" s="123"/>
      <c r="P51" s="123"/>
      <c r="Q51" s="123"/>
      <c r="R51" s="123"/>
      <c r="S51" s="123"/>
      <c r="T51" s="123"/>
    </row>
    <row r="52" spans="1:20" s="175" customFormat="1" ht="15.95" customHeight="1">
      <c r="A52" s="639">
        <f>A7</f>
        <v>978.72</v>
      </c>
      <c r="B52" s="640"/>
      <c r="C52" s="640"/>
      <c r="D52" s="640"/>
      <c r="E52" s="131" t="str">
        <f>E7</f>
        <v>(m3)</v>
      </c>
      <c r="F52" s="132"/>
      <c r="G52" s="132"/>
      <c r="H52" s="132"/>
      <c r="I52" s="132"/>
      <c r="J52" s="132"/>
      <c r="K52" s="133"/>
      <c r="L52" s="173"/>
      <c r="M52" s="135"/>
      <c r="N52" s="174"/>
      <c r="P52" s="174"/>
    </row>
    <row r="53" spans="1:20" s="5" customFormat="1" ht="13.5" customHeight="1" thickBot="1">
      <c r="A53" s="28"/>
      <c r="B53" s="28"/>
      <c r="C53" s="28"/>
      <c r="D53" s="28"/>
      <c r="E53" s="28"/>
      <c r="F53" s="30"/>
      <c r="G53" s="30"/>
      <c r="H53" s="30"/>
      <c r="I53" s="30"/>
      <c r="J53" s="30"/>
      <c r="K53" s="8"/>
      <c r="L53" s="23"/>
      <c r="M53" s="9"/>
      <c r="N53" s="4"/>
      <c r="O53" s="4"/>
      <c r="P53" s="4"/>
      <c r="R53" s="4"/>
      <c r="S53" s="4"/>
      <c r="T53" s="4"/>
    </row>
    <row r="54" spans="1:20" s="5" customFormat="1" ht="21.6" customHeight="1" thickTop="1">
      <c r="A54" s="576" t="s">
        <v>3</v>
      </c>
      <c r="B54" s="641" t="s">
        <v>84</v>
      </c>
      <c r="C54" s="641"/>
      <c r="D54" s="643" t="s">
        <v>96</v>
      </c>
      <c r="E54" s="643"/>
      <c r="F54" s="643"/>
      <c r="G54" s="643"/>
      <c r="H54" s="641" t="s">
        <v>89</v>
      </c>
      <c r="I54" s="641"/>
      <c r="J54" s="641" t="s">
        <v>85</v>
      </c>
      <c r="K54" s="645"/>
      <c r="L54"/>
      <c r="M54" s="94"/>
      <c r="N54" s="94"/>
      <c r="O54" s="95"/>
      <c r="P54" s="96"/>
    </row>
    <row r="55" spans="1:20" s="5" customFormat="1" ht="21.6" customHeight="1">
      <c r="A55" s="577"/>
      <c r="B55" s="642"/>
      <c r="C55" s="642"/>
      <c r="D55" s="644"/>
      <c r="E55" s="644"/>
      <c r="F55" s="644"/>
      <c r="G55" s="644"/>
      <c r="H55" s="642"/>
      <c r="I55" s="642"/>
      <c r="J55" s="642"/>
      <c r="K55" s="646"/>
      <c r="L55"/>
      <c r="M55" s="97"/>
      <c r="N55" s="97"/>
      <c r="O55" s="98"/>
      <c r="P55" s="99"/>
    </row>
    <row r="56" spans="1:20" s="5" customFormat="1" ht="17.100000000000001" customHeight="1">
      <c r="A56" s="100">
        <v>1</v>
      </c>
      <c r="B56" s="623" t="str">
        <f>"Tháng "&amp;IF(L56&lt;10,0&amp;L56&amp;"/"&amp;M56,L56&amp;"/"&amp;M56)</f>
        <v>Tháng 08/2017</v>
      </c>
      <c r="C56" s="623"/>
      <c r="D56" s="624" t="str">
        <f>N6</f>
        <v>Đắp đất hố móng</v>
      </c>
      <c r="E56" s="624"/>
      <c r="F56" s="624"/>
      <c r="G56" s="624"/>
      <c r="H56" s="625">
        <f t="shared" ref="H56:H79" si="42">+SUMIFS($I$12:$I$32,$B$12:$B$32,"&gt;="&amp;$O56,$B$12:$B$32,"&lt;="&amp;$P56)</f>
        <v>0</v>
      </c>
      <c r="I56" s="625"/>
      <c r="J56" s="623"/>
      <c r="K56" s="626"/>
      <c r="L56">
        <v>8</v>
      </c>
      <c r="M56" s="101">
        <v>2017</v>
      </c>
      <c r="N56" s="97"/>
      <c r="O56" s="103">
        <f t="shared" ref="O56:O80" si="43">DATE(M56,L56,1)</f>
        <v>42948</v>
      </c>
      <c r="P56" s="103">
        <f t="shared" ref="P56:P80" si="44">DATE(M56,L56+1,0)</f>
        <v>42978</v>
      </c>
    </row>
    <row r="57" spans="1:20" s="5" customFormat="1" ht="17.100000000000001" customHeight="1">
      <c r="A57" s="104">
        <v>2</v>
      </c>
      <c r="B57" s="567" t="str">
        <f t="shared" ref="B57:B81" si="45">"Tháng "&amp;IF(L57&lt;10,0&amp;L57&amp;"/"&amp;M57,L57&amp;"/"&amp;M57)</f>
        <v>Tháng 09/2017</v>
      </c>
      <c r="C57" s="567"/>
      <c r="D57" s="568" t="str">
        <f>D56</f>
        <v>Đắp đất hố móng</v>
      </c>
      <c r="E57" s="568"/>
      <c r="F57" s="568"/>
      <c r="G57" s="568"/>
      <c r="H57" s="569">
        <f t="shared" si="42"/>
        <v>0</v>
      </c>
      <c r="I57" s="569"/>
      <c r="J57" s="567"/>
      <c r="K57" s="570"/>
      <c r="L57">
        <v>9</v>
      </c>
      <c r="M57" s="101">
        <v>2017</v>
      </c>
      <c r="N57"/>
      <c r="O57" s="103">
        <f t="shared" si="43"/>
        <v>42979</v>
      </c>
      <c r="P57" s="103">
        <f t="shared" si="44"/>
        <v>43008</v>
      </c>
    </row>
    <row r="58" spans="1:20" s="5" customFormat="1" ht="17.100000000000001" customHeight="1">
      <c r="A58" s="104">
        <f>A57+1</f>
        <v>3</v>
      </c>
      <c r="B58" s="567" t="str">
        <f t="shared" si="45"/>
        <v>Tháng 10/2017</v>
      </c>
      <c r="C58" s="567"/>
      <c r="D58" s="568" t="str">
        <f t="shared" ref="D58:D80" si="46">D57</f>
        <v>Đắp đất hố móng</v>
      </c>
      <c r="E58" s="568"/>
      <c r="F58" s="568"/>
      <c r="G58" s="568"/>
      <c r="H58" s="569">
        <f t="shared" si="42"/>
        <v>0</v>
      </c>
      <c r="I58" s="569"/>
      <c r="J58" s="567"/>
      <c r="K58" s="570"/>
      <c r="L58">
        <v>10</v>
      </c>
      <c r="M58" s="101">
        <v>2017</v>
      </c>
      <c r="N58"/>
      <c r="O58" s="103">
        <f t="shared" si="43"/>
        <v>43009</v>
      </c>
      <c r="P58" s="103">
        <f t="shared" si="44"/>
        <v>43039</v>
      </c>
    </row>
    <row r="59" spans="1:20" s="5" customFormat="1" ht="17.100000000000001" customHeight="1">
      <c r="A59" s="104">
        <f t="shared" ref="A59:A81" si="47">A58+1</f>
        <v>4</v>
      </c>
      <c r="B59" s="567" t="str">
        <f t="shared" si="45"/>
        <v>Tháng 11/2017</v>
      </c>
      <c r="C59" s="567"/>
      <c r="D59" s="568" t="str">
        <f t="shared" si="46"/>
        <v>Đắp đất hố móng</v>
      </c>
      <c r="E59" s="568"/>
      <c r="F59" s="568"/>
      <c r="G59" s="568"/>
      <c r="H59" s="569">
        <f t="shared" si="42"/>
        <v>0</v>
      </c>
      <c r="I59" s="569"/>
      <c r="J59" s="567"/>
      <c r="K59" s="570"/>
      <c r="L59">
        <v>11</v>
      </c>
      <c r="M59" s="101">
        <v>2017</v>
      </c>
      <c r="N59"/>
      <c r="O59" s="103">
        <f t="shared" si="43"/>
        <v>43040</v>
      </c>
      <c r="P59" s="103">
        <f t="shared" si="44"/>
        <v>43069</v>
      </c>
    </row>
    <row r="60" spans="1:20" s="5" customFormat="1" ht="17.100000000000001" customHeight="1">
      <c r="A60" s="104">
        <f t="shared" si="47"/>
        <v>5</v>
      </c>
      <c r="B60" s="567" t="str">
        <f t="shared" si="45"/>
        <v>Tháng 12/2017</v>
      </c>
      <c r="C60" s="567"/>
      <c r="D60" s="568" t="str">
        <f t="shared" si="46"/>
        <v>Đắp đất hố móng</v>
      </c>
      <c r="E60" s="568"/>
      <c r="F60" s="568"/>
      <c r="G60" s="568"/>
      <c r="H60" s="569">
        <f t="shared" si="42"/>
        <v>0</v>
      </c>
      <c r="I60" s="569"/>
      <c r="J60" s="567"/>
      <c r="K60" s="570"/>
      <c r="L60">
        <v>12</v>
      </c>
      <c r="M60" s="101">
        <v>2017</v>
      </c>
      <c r="N60"/>
      <c r="O60" s="103">
        <f t="shared" si="43"/>
        <v>43070</v>
      </c>
      <c r="P60" s="103">
        <f t="shared" si="44"/>
        <v>43100</v>
      </c>
    </row>
    <row r="61" spans="1:20" s="5" customFormat="1" ht="17.100000000000001" customHeight="1">
      <c r="A61" s="104">
        <f t="shared" si="47"/>
        <v>6</v>
      </c>
      <c r="B61" s="567" t="str">
        <f t="shared" si="45"/>
        <v>Tháng 01/2018</v>
      </c>
      <c r="C61" s="567"/>
      <c r="D61" s="568" t="str">
        <f t="shared" si="46"/>
        <v>Đắp đất hố móng</v>
      </c>
      <c r="E61" s="568"/>
      <c r="F61" s="568"/>
      <c r="G61" s="568"/>
      <c r="H61" s="569">
        <f t="shared" si="42"/>
        <v>0</v>
      </c>
      <c r="I61" s="569"/>
      <c r="J61" s="567"/>
      <c r="K61" s="570"/>
      <c r="L61">
        <v>1</v>
      </c>
      <c r="M61" s="101">
        <v>2018</v>
      </c>
      <c r="N61"/>
      <c r="O61" s="103">
        <f t="shared" si="43"/>
        <v>43101</v>
      </c>
      <c r="P61" s="103">
        <f t="shared" si="44"/>
        <v>43131</v>
      </c>
    </row>
    <row r="62" spans="1:20" s="5" customFormat="1" ht="17.100000000000001" customHeight="1">
      <c r="A62" s="104">
        <f t="shared" si="47"/>
        <v>7</v>
      </c>
      <c r="B62" s="567" t="str">
        <f t="shared" si="45"/>
        <v>Tháng 02/2018</v>
      </c>
      <c r="C62" s="567"/>
      <c r="D62" s="568" t="str">
        <f t="shared" si="46"/>
        <v>Đắp đất hố móng</v>
      </c>
      <c r="E62" s="568"/>
      <c r="F62" s="568"/>
      <c r="G62" s="568"/>
      <c r="H62" s="569">
        <f t="shared" si="42"/>
        <v>0</v>
      </c>
      <c r="I62" s="569"/>
      <c r="J62" s="567"/>
      <c r="K62" s="570"/>
      <c r="L62">
        <v>2</v>
      </c>
      <c r="M62" s="101">
        <v>2018</v>
      </c>
      <c r="N62"/>
      <c r="O62" s="103">
        <f t="shared" si="43"/>
        <v>43132</v>
      </c>
      <c r="P62" s="103">
        <f t="shared" si="44"/>
        <v>43159</v>
      </c>
    </row>
    <row r="63" spans="1:20" s="5" customFormat="1" ht="17.100000000000001" customHeight="1">
      <c r="A63" s="104">
        <f t="shared" si="47"/>
        <v>8</v>
      </c>
      <c r="B63" s="567" t="str">
        <f t="shared" si="45"/>
        <v>Tháng 03/2018</v>
      </c>
      <c r="C63" s="567"/>
      <c r="D63" s="568" t="str">
        <f t="shared" si="46"/>
        <v>Đắp đất hố móng</v>
      </c>
      <c r="E63" s="568"/>
      <c r="F63" s="568"/>
      <c r="G63" s="568"/>
      <c r="H63" s="569">
        <f t="shared" si="42"/>
        <v>0</v>
      </c>
      <c r="I63" s="569"/>
      <c r="J63" s="567"/>
      <c r="K63" s="570"/>
      <c r="L63">
        <v>3</v>
      </c>
      <c r="M63" s="101">
        <v>2018</v>
      </c>
      <c r="N63"/>
      <c r="O63" s="103">
        <f t="shared" si="43"/>
        <v>43160</v>
      </c>
      <c r="P63" s="103">
        <f t="shared" si="44"/>
        <v>43190</v>
      </c>
    </row>
    <row r="64" spans="1:20" s="5" customFormat="1" ht="17.100000000000001" customHeight="1">
      <c r="A64" s="104">
        <f t="shared" si="47"/>
        <v>9</v>
      </c>
      <c r="B64" s="567" t="str">
        <f t="shared" si="45"/>
        <v>Tháng 04/2018</v>
      </c>
      <c r="C64" s="567"/>
      <c r="D64" s="568" t="str">
        <f t="shared" si="46"/>
        <v>Đắp đất hố móng</v>
      </c>
      <c r="E64" s="568"/>
      <c r="F64" s="568"/>
      <c r="G64" s="568"/>
      <c r="H64" s="569">
        <f t="shared" si="42"/>
        <v>0</v>
      </c>
      <c r="I64" s="569"/>
      <c r="J64" s="567"/>
      <c r="K64" s="570"/>
      <c r="L64">
        <v>4</v>
      </c>
      <c r="M64" s="101">
        <v>2018</v>
      </c>
      <c r="N64"/>
      <c r="O64" s="103">
        <f t="shared" si="43"/>
        <v>43191</v>
      </c>
      <c r="P64" s="103">
        <f t="shared" si="44"/>
        <v>43220</v>
      </c>
    </row>
    <row r="65" spans="1:16" s="5" customFormat="1" ht="17.100000000000001" customHeight="1">
      <c r="A65" s="104">
        <f t="shared" si="47"/>
        <v>10</v>
      </c>
      <c r="B65" s="567" t="str">
        <f t="shared" si="45"/>
        <v>Tháng 05/2018</v>
      </c>
      <c r="C65" s="567"/>
      <c r="D65" s="568" t="str">
        <f t="shared" si="46"/>
        <v>Đắp đất hố móng</v>
      </c>
      <c r="E65" s="568"/>
      <c r="F65" s="568"/>
      <c r="G65" s="568"/>
      <c r="H65" s="569">
        <f t="shared" si="42"/>
        <v>0</v>
      </c>
      <c r="I65" s="569"/>
      <c r="J65" s="567"/>
      <c r="K65" s="570"/>
      <c r="L65">
        <v>5</v>
      </c>
      <c r="M65" s="101">
        <v>2018</v>
      </c>
      <c r="N65"/>
      <c r="O65" s="103">
        <f t="shared" si="43"/>
        <v>43221</v>
      </c>
      <c r="P65" s="103">
        <f t="shared" si="44"/>
        <v>43251</v>
      </c>
    </row>
    <row r="66" spans="1:16" s="5" customFormat="1" ht="17.100000000000001" customHeight="1">
      <c r="A66" s="104">
        <f t="shared" si="47"/>
        <v>11</v>
      </c>
      <c r="B66" s="567" t="str">
        <f t="shared" si="45"/>
        <v>Tháng 06/2018</v>
      </c>
      <c r="C66" s="567"/>
      <c r="D66" s="568" t="str">
        <f t="shared" si="46"/>
        <v>Đắp đất hố móng</v>
      </c>
      <c r="E66" s="568"/>
      <c r="F66" s="568"/>
      <c r="G66" s="568"/>
      <c r="H66" s="569">
        <f t="shared" si="42"/>
        <v>0</v>
      </c>
      <c r="I66" s="569"/>
      <c r="J66" s="567"/>
      <c r="K66" s="570"/>
      <c r="L66">
        <v>6</v>
      </c>
      <c r="M66" s="101">
        <v>2018</v>
      </c>
      <c r="N66"/>
      <c r="O66" s="103">
        <f t="shared" si="43"/>
        <v>43252</v>
      </c>
      <c r="P66" s="103">
        <f t="shared" si="44"/>
        <v>43281</v>
      </c>
    </row>
    <row r="67" spans="1:16" s="5" customFormat="1" ht="17.100000000000001" customHeight="1">
      <c r="A67" s="104">
        <f t="shared" si="47"/>
        <v>12</v>
      </c>
      <c r="B67" s="567" t="str">
        <f t="shared" si="45"/>
        <v>Tháng 07/2018</v>
      </c>
      <c r="C67" s="567"/>
      <c r="D67" s="568" t="str">
        <f t="shared" si="46"/>
        <v>Đắp đất hố móng</v>
      </c>
      <c r="E67" s="568"/>
      <c r="F67" s="568"/>
      <c r="G67" s="568"/>
      <c r="H67" s="569">
        <f t="shared" si="42"/>
        <v>0</v>
      </c>
      <c r="I67" s="569"/>
      <c r="J67" s="567"/>
      <c r="K67" s="570"/>
      <c r="L67">
        <v>7</v>
      </c>
      <c r="M67" s="101">
        <v>2018</v>
      </c>
      <c r="N67"/>
      <c r="O67" s="103">
        <f t="shared" si="43"/>
        <v>43282</v>
      </c>
      <c r="P67" s="103">
        <f t="shared" si="44"/>
        <v>43312</v>
      </c>
    </row>
    <row r="68" spans="1:16" s="5" customFormat="1" ht="17.100000000000001" customHeight="1">
      <c r="A68" s="104">
        <f t="shared" si="47"/>
        <v>13</v>
      </c>
      <c r="B68" s="567" t="str">
        <f t="shared" si="45"/>
        <v>Tháng 08/2018</v>
      </c>
      <c r="C68" s="567"/>
      <c r="D68" s="568" t="str">
        <f t="shared" si="46"/>
        <v>Đắp đất hố móng</v>
      </c>
      <c r="E68" s="568"/>
      <c r="F68" s="568"/>
      <c r="G68" s="568"/>
      <c r="H68" s="569">
        <f t="shared" si="42"/>
        <v>597.49789312500002</v>
      </c>
      <c r="I68" s="569"/>
      <c r="J68" s="567"/>
      <c r="K68" s="570"/>
      <c r="L68">
        <v>8</v>
      </c>
      <c r="M68" s="101">
        <v>2018</v>
      </c>
      <c r="N68"/>
      <c r="O68" s="103">
        <f t="shared" si="43"/>
        <v>43313</v>
      </c>
      <c r="P68" s="103">
        <f t="shared" si="44"/>
        <v>43343</v>
      </c>
    </row>
    <row r="69" spans="1:16" s="5" customFormat="1" ht="17.100000000000001" customHeight="1">
      <c r="A69" s="104">
        <f t="shared" si="47"/>
        <v>14</v>
      </c>
      <c r="B69" s="567" t="str">
        <f t="shared" si="45"/>
        <v>Tháng 09/2018</v>
      </c>
      <c r="C69" s="567"/>
      <c r="D69" s="568" t="str">
        <f t="shared" si="46"/>
        <v>Đắp đất hố móng</v>
      </c>
      <c r="E69" s="568"/>
      <c r="F69" s="568"/>
      <c r="G69" s="568"/>
      <c r="H69" s="569">
        <f t="shared" si="42"/>
        <v>381.21791999999976</v>
      </c>
      <c r="I69" s="569"/>
      <c r="J69" s="567"/>
      <c r="K69" s="570"/>
      <c r="L69">
        <v>9</v>
      </c>
      <c r="M69" s="101">
        <v>2018</v>
      </c>
      <c r="N69"/>
      <c r="O69" s="103">
        <f t="shared" si="43"/>
        <v>43344</v>
      </c>
      <c r="P69" s="103">
        <f t="shared" si="44"/>
        <v>43373</v>
      </c>
    </row>
    <row r="70" spans="1:16" s="5" customFormat="1" ht="17.100000000000001" customHeight="1">
      <c r="A70" s="104">
        <f t="shared" si="47"/>
        <v>15</v>
      </c>
      <c r="B70" s="567" t="str">
        <f t="shared" si="45"/>
        <v>Tháng 10/2018</v>
      </c>
      <c r="C70" s="567"/>
      <c r="D70" s="568" t="str">
        <f t="shared" si="46"/>
        <v>Đắp đất hố móng</v>
      </c>
      <c r="E70" s="568"/>
      <c r="F70" s="568"/>
      <c r="G70" s="568"/>
      <c r="H70" s="569">
        <f t="shared" si="42"/>
        <v>0</v>
      </c>
      <c r="I70" s="569"/>
      <c r="J70" s="567"/>
      <c r="K70" s="570"/>
      <c r="L70">
        <v>10</v>
      </c>
      <c r="M70" s="101">
        <v>2018</v>
      </c>
      <c r="N70"/>
      <c r="O70" s="103">
        <f t="shared" si="43"/>
        <v>43374</v>
      </c>
      <c r="P70" s="103">
        <f t="shared" si="44"/>
        <v>43404</v>
      </c>
    </row>
    <row r="71" spans="1:16" s="5" customFormat="1" ht="17.100000000000001" customHeight="1">
      <c r="A71" s="104">
        <f t="shared" si="47"/>
        <v>16</v>
      </c>
      <c r="B71" s="567" t="str">
        <f t="shared" si="45"/>
        <v>Tháng 11/2018</v>
      </c>
      <c r="C71" s="567"/>
      <c r="D71" s="568" t="str">
        <f t="shared" si="46"/>
        <v>Đắp đất hố móng</v>
      </c>
      <c r="E71" s="568"/>
      <c r="F71" s="568"/>
      <c r="G71" s="568"/>
      <c r="H71" s="569">
        <f t="shared" si="42"/>
        <v>0</v>
      </c>
      <c r="I71" s="569"/>
      <c r="J71" s="567"/>
      <c r="K71" s="570"/>
      <c r="L71">
        <v>11</v>
      </c>
      <c r="M71" s="101">
        <v>2018</v>
      </c>
      <c r="N71"/>
      <c r="O71" s="103">
        <f t="shared" si="43"/>
        <v>43405</v>
      </c>
      <c r="P71" s="103">
        <f t="shared" si="44"/>
        <v>43434</v>
      </c>
    </row>
    <row r="72" spans="1:16" s="5" customFormat="1" ht="17.100000000000001" customHeight="1">
      <c r="A72" s="104">
        <f t="shared" si="47"/>
        <v>17</v>
      </c>
      <c r="B72" s="567" t="str">
        <f t="shared" si="45"/>
        <v>Tháng 12/2018</v>
      </c>
      <c r="C72" s="567"/>
      <c r="D72" s="568" t="str">
        <f t="shared" si="46"/>
        <v>Đắp đất hố móng</v>
      </c>
      <c r="E72" s="568"/>
      <c r="F72" s="568"/>
      <c r="G72" s="568"/>
      <c r="H72" s="569">
        <f t="shared" si="42"/>
        <v>0</v>
      </c>
      <c r="I72" s="569"/>
      <c r="J72" s="567"/>
      <c r="K72" s="570"/>
      <c r="L72">
        <v>12</v>
      </c>
      <c r="M72" s="101">
        <v>2018</v>
      </c>
      <c r="N72"/>
      <c r="O72" s="103">
        <f t="shared" si="43"/>
        <v>43435</v>
      </c>
      <c r="P72" s="103">
        <f t="shared" si="44"/>
        <v>43465</v>
      </c>
    </row>
    <row r="73" spans="1:16" s="5" customFormat="1" ht="17.100000000000001" customHeight="1">
      <c r="A73" s="104">
        <f t="shared" si="47"/>
        <v>18</v>
      </c>
      <c r="B73" s="567" t="str">
        <f t="shared" si="45"/>
        <v>Tháng 01/2019</v>
      </c>
      <c r="C73" s="567"/>
      <c r="D73" s="568" t="str">
        <f t="shared" si="46"/>
        <v>Đắp đất hố móng</v>
      </c>
      <c r="E73" s="568"/>
      <c r="F73" s="568"/>
      <c r="G73" s="568"/>
      <c r="H73" s="569">
        <f t="shared" si="42"/>
        <v>0</v>
      </c>
      <c r="I73" s="569"/>
      <c r="J73" s="567"/>
      <c r="K73" s="570"/>
      <c r="L73">
        <v>1</v>
      </c>
      <c r="M73" s="101">
        <v>2019</v>
      </c>
      <c r="N73"/>
      <c r="O73" s="103">
        <f t="shared" si="43"/>
        <v>43466</v>
      </c>
      <c r="P73" s="103">
        <f t="shared" si="44"/>
        <v>43496</v>
      </c>
    </row>
    <row r="74" spans="1:16" s="5" customFormat="1" ht="17.100000000000001" customHeight="1">
      <c r="A74" s="104">
        <f t="shared" si="47"/>
        <v>19</v>
      </c>
      <c r="B74" s="567" t="str">
        <f t="shared" si="45"/>
        <v>Tháng 02/2019</v>
      </c>
      <c r="C74" s="567"/>
      <c r="D74" s="568" t="str">
        <f t="shared" si="46"/>
        <v>Đắp đất hố móng</v>
      </c>
      <c r="E74" s="568"/>
      <c r="F74" s="568"/>
      <c r="G74" s="568"/>
      <c r="H74" s="569">
        <f t="shared" si="42"/>
        <v>0</v>
      </c>
      <c r="I74" s="569"/>
      <c r="J74" s="567"/>
      <c r="K74" s="570"/>
      <c r="L74">
        <v>2</v>
      </c>
      <c r="M74" s="101">
        <v>2019</v>
      </c>
      <c r="N74"/>
      <c r="O74" s="103">
        <f t="shared" si="43"/>
        <v>43497</v>
      </c>
      <c r="P74" s="103">
        <f t="shared" si="44"/>
        <v>43524</v>
      </c>
    </row>
    <row r="75" spans="1:16" s="5" customFormat="1" ht="17.100000000000001" customHeight="1">
      <c r="A75" s="104">
        <f t="shared" si="47"/>
        <v>20</v>
      </c>
      <c r="B75" s="567" t="str">
        <f t="shared" si="45"/>
        <v>Tháng 03/2019</v>
      </c>
      <c r="C75" s="567"/>
      <c r="D75" s="568" t="str">
        <f t="shared" si="46"/>
        <v>Đắp đất hố móng</v>
      </c>
      <c r="E75" s="568"/>
      <c r="F75" s="568"/>
      <c r="G75" s="568"/>
      <c r="H75" s="569">
        <f t="shared" si="42"/>
        <v>0</v>
      </c>
      <c r="I75" s="569"/>
      <c r="J75" s="567"/>
      <c r="K75" s="570"/>
      <c r="L75">
        <v>3</v>
      </c>
      <c r="M75" s="101">
        <v>2019</v>
      </c>
      <c r="N75"/>
      <c r="O75" s="103">
        <f t="shared" si="43"/>
        <v>43525</v>
      </c>
      <c r="P75" s="103">
        <f t="shared" si="44"/>
        <v>43555</v>
      </c>
    </row>
    <row r="76" spans="1:16" s="5" customFormat="1" ht="17.100000000000001" customHeight="1">
      <c r="A76" s="104">
        <f t="shared" si="47"/>
        <v>21</v>
      </c>
      <c r="B76" s="567" t="str">
        <f t="shared" si="45"/>
        <v>Tháng 04/2019</v>
      </c>
      <c r="C76" s="567"/>
      <c r="D76" s="568" t="str">
        <f t="shared" si="46"/>
        <v>Đắp đất hố móng</v>
      </c>
      <c r="E76" s="568"/>
      <c r="F76" s="568"/>
      <c r="G76" s="568"/>
      <c r="H76" s="569">
        <f t="shared" si="42"/>
        <v>0</v>
      </c>
      <c r="I76" s="569"/>
      <c r="J76" s="567"/>
      <c r="K76" s="570"/>
      <c r="L76">
        <v>4</v>
      </c>
      <c r="M76" s="101">
        <v>2019</v>
      </c>
      <c r="N76"/>
      <c r="O76" s="103">
        <f t="shared" si="43"/>
        <v>43556</v>
      </c>
      <c r="P76" s="103">
        <f t="shared" si="44"/>
        <v>43585</v>
      </c>
    </row>
    <row r="77" spans="1:16" s="5" customFormat="1" ht="17.100000000000001" customHeight="1">
      <c r="A77" s="104">
        <f t="shared" si="47"/>
        <v>22</v>
      </c>
      <c r="B77" s="567" t="str">
        <f t="shared" si="45"/>
        <v>Tháng 05/2019</v>
      </c>
      <c r="C77" s="567"/>
      <c r="D77" s="568" t="str">
        <f t="shared" si="46"/>
        <v>Đắp đất hố móng</v>
      </c>
      <c r="E77" s="568"/>
      <c r="F77" s="568"/>
      <c r="G77" s="568"/>
      <c r="H77" s="569">
        <f t="shared" si="42"/>
        <v>0</v>
      </c>
      <c r="I77" s="569"/>
      <c r="J77" s="567"/>
      <c r="K77" s="570"/>
      <c r="L77">
        <v>5</v>
      </c>
      <c r="M77" s="101">
        <v>2019</v>
      </c>
      <c r="N77"/>
      <c r="O77" s="103">
        <f t="shared" si="43"/>
        <v>43586</v>
      </c>
      <c r="P77" s="103">
        <f t="shared" si="44"/>
        <v>43616</v>
      </c>
    </row>
    <row r="78" spans="1:16" s="5" customFormat="1" ht="17.100000000000001" customHeight="1">
      <c r="A78" s="104">
        <f t="shared" si="47"/>
        <v>23</v>
      </c>
      <c r="B78" s="567" t="str">
        <f t="shared" si="45"/>
        <v>Tháng 06/2019</v>
      </c>
      <c r="C78" s="567"/>
      <c r="D78" s="568" t="str">
        <f t="shared" si="46"/>
        <v>Đắp đất hố móng</v>
      </c>
      <c r="E78" s="568"/>
      <c r="F78" s="568"/>
      <c r="G78" s="568"/>
      <c r="H78" s="569">
        <f t="shared" si="42"/>
        <v>0</v>
      </c>
      <c r="I78" s="569"/>
      <c r="J78" s="567"/>
      <c r="K78" s="570"/>
      <c r="L78">
        <v>6</v>
      </c>
      <c r="M78" s="101">
        <v>2019</v>
      </c>
      <c r="N78"/>
      <c r="O78" s="103">
        <f t="shared" si="43"/>
        <v>43617</v>
      </c>
      <c r="P78" s="103">
        <f t="shared" si="44"/>
        <v>43646</v>
      </c>
    </row>
    <row r="79" spans="1:16" s="5" customFormat="1" ht="17.100000000000001" customHeight="1">
      <c r="A79" s="104">
        <f t="shared" si="47"/>
        <v>24</v>
      </c>
      <c r="B79" s="567" t="str">
        <f t="shared" si="45"/>
        <v>Tháng 07/2019</v>
      </c>
      <c r="C79" s="567"/>
      <c r="D79" s="568" t="str">
        <f t="shared" si="46"/>
        <v>Đắp đất hố móng</v>
      </c>
      <c r="E79" s="568"/>
      <c r="F79" s="568"/>
      <c r="G79" s="568"/>
      <c r="H79" s="569">
        <f t="shared" si="42"/>
        <v>0</v>
      </c>
      <c r="I79" s="569"/>
      <c r="J79" s="567"/>
      <c r="K79" s="570"/>
      <c r="L79">
        <v>7</v>
      </c>
      <c r="M79" s="101">
        <v>2019</v>
      </c>
      <c r="N79"/>
      <c r="O79" s="103">
        <f t="shared" si="43"/>
        <v>43647</v>
      </c>
      <c r="P79" s="103">
        <f t="shared" si="44"/>
        <v>43677</v>
      </c>
    </row>
    <row r="80" spans="1:16" s="5" customFormat="1" ht="17.100000000000001" customHeight="1">
      <c r="A80" s="104">
        <f t="shared" si="47"/>
        <v>25</v>
      </c>
      <c r="B80" s="567" t="str">
        <f t="shared" si="45"/>
        <v>Tháng 08/2019</v>
      </c>
      <c r="C80" s="567"/>
      <c r="D80" s="568" t="str">
        <f t="shared" si="46"/>
        <v>Đắp đất hố móng</v>
      </c>
      <c r="E80" s="568"/>
      <c r="F80" s="568"/>
      <c r="G80" s="568"/>
      <c r="H80" s="569">
        <f>+SUMIFS($I$12:$I$51,$B$12:$B$51,"&gt;="&amp;$O80,$B$12:$B$51,"&lt;="&amp;$P80)</f>
        <v>0</v>
      </c>
      <c r="I80" s="569"/>
      <c r="J80" s="567"/>
      <c r="K80" s="570"/>
      <c r="L80">
        <v>8</v>
      </c>
      <c r="M80" s="101">
        <v>2019</v>
      </c>
      <c r="N80"/>
      <c r="O80" s="103">
        <f t="shared" si="43"/>
        <v>43678</v>
      </c>
      <c r="P80" s="103">
        <f t="shared" si="44"/>
        <v>43708</v>
      </c>
    </row>
    <row r="81" spans="1:20" s="5" customFormat="1" ht="17.100000000000001" customHeight="1">
      <c r="A81" s="104">
        <f t="shared" si="47"/>
        <v>26</v>
      </c>
      <c r="B81" s="616" t="str">
        <f t="shared" si="45"/>
        <v>Tháng 09/2019</v>
      </c>
      <c r="C81" s="616"/>
      <c r="D81" s="652" t="str">
        <f>D79</f>
        <v>Đắp đất hố móng</v>
      </c>
      <c r="E81" s="652"/>
      <c r="F81" s="652"/>
      <c r="G81" s="652"/>
      <c r="H81" s="615">
        <f>+SUMIFS($I$12:$I$51,$B$12:$B$51,"&gt;="&amp;$O81,$B$12:$B$51,"&lt;="&amp;$P81)</f>
        <v>0</v>
      </c>
      <c r="I81" s="615"/>
      <c r="J81" s="616"/>
      <c r="K81" s="617"/>
      <c r="L81">
        <v>9</v>
      </c>
      <c r="M81" s="101">
        <v>2019</v>
      </c>
      <c r="N81"/>
      <c r="O81" s="103">
        <f>DATE(M81,L81,1)</f>
        <v>43709</v>
      </c>
      <c r="P81" s="103">
        <f>DATE(M81,L81+1,0)</f>
        <v>43738</v>
      </c>
    </row>
    <row r="82" spans="1:20" s="5" customFormat="1" ht="21.6" customHeight="1" thickBot="1">
      <c r="A82" s="618" t="s">
        <v>86</v>
      </c>
      <c r="B82" s="619"/>
      <c r="C82" s="619"/>
      <c r="D82" s="619"/>
      <c r="E82" s="619"/>
      <c r="F82" s="619"/>
      <c r="G82" s="620"/>
      <c r="H82" s="621">
        <f t="shared" ref="H82" si="48">SUM(H56:I81)</f>
        <v>978.71581312499984</v>
      </c>
      <c r="I82" s="622"/>
      <c r="J82" s="621"/>
      <c r="K82" s="622"/>
      <c r="L82"/>
      <c r="M82"/>
      <c r="N82"/>
      <c r="O82"/>
      <c r="P82"/>
    </row>
    <row r="83" spans="1:20" s="5" customFormat="1" ht="18" customHeight="1" thickTop="1" thickBot="1">
      <c r="A83" s="105"/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4"/>
      <c r="M83" s="4"/>
      <c r="N83" s="4"/>
      <c r="O83" s="4"/>
      <c r="P83" s="20"/>
    </row>
    <row r="84" spans="1:20" s="5" customFormat="1" ht="13.9" customHeight="1" thickTop="1">
      <c r="A84" s="647" t="s">
        <v>68</v>
      </c>
      <c r="B84" s="648"/>
      <c r="C84" s="648"/>
      <c r="D84" s="648"/>
      <c r="E84" s="648"/>
      <c r="F84" s="649" t="s">
        <v>69</v>
      </c>
      <c r="G84" s="649"/>
      <c r="H84" s="649"/>
      <c r="I84" s="650"/>
      <c r="J84" s="650"/>
      <c r="K84" s="651"/>
      <c r="L84" s="4"/>
      <c r="M84" s="4"/>
      <c r="N84" s="4"/>
      <c r="O84" s="4"/>
      <c r="P84" s="4"/>
    </row>
    <row r="85" spans="1:20" s="5" customFormat="1" ht="13.9" customHeight="1">
      <c r="A85" s="583" t="s">
        <v>5</v>
      </c>
      <c r="B85" s="584"/>
      <c r="C85" s="584"/>
      <c r="D85" s="584"/>
      <c r="E85" s="584"/>
      <c r="F85" s="585" t="s">
        <v>6</v>
      </c>
      <c r="G85" s="585"/>
      <c r="H85" s="585"/>
      <c r="I85" s="586"/>
      <c r="J85" s="586"/>
      <c r="K85" s="587"/>
      <c r="L85" s="4"/>
      <c r="M85" s="4"/>
      <c r="N85" s="4"/>
      <c r="O85" s="4"/>
      <c r="P85" s="4"/>
    </row>
    <row r="86" spans="1:20" s="5" customFormat="1" ht="13.9" customHeight="1">
      <c r="A86" s="583" t="s">
        <v>836</v>
      </c>
      <c r="B86" s="584"/>
      <c r="C86" s="584"/>
      <c r="D86" s="584"/>
      <c r="E86" s="584"/>
      <c r="F86" s="590" t="s">
        <v>837</v>
      </c>
      <c r="G86" s="590"/>
      <c r="H86" s="590"/>
      <c r="I86" s="591"/>
      <c r="J86" s="591"/>
      <c r="K86" s="592"/>
      <c r="L86" s="4"/>
      <c r="M86" s="4"/>
      <c r="N86" s="4"/>
      <c r="O86" s="4"/>
      <c r="P86" s="4"/>
    </row>
    <row r="87" spans="1:20" s="5" customFormat="1" ht="13.9" customHeight="1">
      <c r="A87" s="583"/>
      <c r="B87" s="584"/>
      <c r="C87" s="584"/>
      <c r="D87" s="584"/>
      <c r="E87" s="584"/>
      <c r="F87" s="590"/>
      <c r="G87" s="590"/>
      <c r="H87" s="590"/>
      <c r="I87" s="591"/>
      <c r="J87" s="591"/>
      <c r="K87" s="592"/>
      <c r="L87" s="4"/>
      <c r="M87" s="4"/>
      <c r="N87" s="4"/>
      <c r="O87" s="4"/>
      <c r="P87" s="4"/>
    </row>
    <row r="88" spans="1:20" s="5" customFormat="1" ht="13.9" customHeight="1">
      <c r="A88" s="583"/>
      <c r="B88" s="584"/>
      <c r="C88" s="584"/>
      <c r="D88" s="584"/>
      <c r="E88" s="584"/>
      <c r="F88" s="590"/>
      <c r="G88" s="590"/>
      <c r="H88" s="590"/>
      <c r="I88" s="591"/>
      <c r="J88" s="591"/>
      <c r="K88" s="592"/>
      <c r="L88" s="4"/>
      <c r="M88" s="4"/>
      <c r="N88" s="4"/>
      <c r="O88" s="4"/>
      <c r="P88" s="4"/>
    </row>
    <row r="89" spans="1:20" s="5" customFormat="1" ht="13.9" customHeight="1">
      <c r="A89" s="583"/>
      <c r="B89" s="584"/>
      <c r="C89" s="584"/>
      <c r="D89" s="584"/>
      <c r="E89" s="584"/>
      <c r="F89" s="590"/>
      <c r="G89" s="590"/>
      <c r="H89" s="590"/>
      <c r="I89" s="591"/>
      <c r="J89" s="591"/>
      <c r="K89" s="592"/>
      <c r="L89" s="4"/>
      <c r="M89" s="4"/>
      <c r="N89" s="4"/>
      <c r="O89" s="4"/>
      <c r="P89" s="4"/>
    </row>
    <row r="90" spans="1:20" s="5" customFormat="1" ht="13.9" customHeight="1">
      <c r="A90" s="583"/>
      <c r="B90" s="584"/>
      <c r="C90" s="584"/>
      <c r="D90" s="584"/>
      <c r="E90" s="584"/>
      <c r="F90" s="590"/>
      <c r="G90" s="590"/>
      <c r="H90" s="590"/>
      <c r="I90" s="591"/>
      <c r="J90" s="591"/>
      <c r="K90" s="592"/>
      <c r="L90" s="4"/>
      <c r="M90" s="4"/>
      <c r="N90" s="4"/>
      <c r="O90" s="4"/>
      <c r="P90" s="4"/>
    </row>
    <row r="91" spans="1:20" s="5" customFormat="1" ht="13.9" customHeight="1">
      <c r="A91" s="583"/>
      <c r="B91" s="584"/>
      <c r="C91" s="584"/>
      <c r="D91" s="584"/>
      <c r="E91" s="584"/>
      <c r="F91" s="590"/>
      <c r="G91" s="590"/>
      <c r="H91" s="590"/>
      <c r="I91" s="591"/>
      <c r="J91" s="591"/>
      <c r="K91" s="592"/>
      <c r="L91" s="4"/>
      <c r="M91" s="4"/>
      <c r="N91" s="4"/>
      <c r="O91" s="4"/>
      <c r="P91" s="4"/>
    </row>
    <row r="92" spans="1:20" s="5" customFormat="1" ht="13.9" customHeight="1" thickBot="1">
      <c r="A92" s="588"/>
      <c r="B92" s="589"/>
      <c r="C92" s="589"/>
      <c r="D92" s="589"/>
      <c r="E92" s="589"/>
      <c r="F92" s="593"/>
      <c r="G92" s="593"/>
      <c r="H92" s="593"/>
      <c r="I92" s="594"/>
      <c r="J92" s="594"/>
      <c r="K92" s="595"/>
      <c r="L92" s="4"/>
      <c r="M92" s="4"/>
      <c r="N92" s="4"/>
      <c r="O92" s="4"/>
      <c r="P92" s="4"/>
    </row>
    <row r="93" spans="1:20" s="5" customFormat="1" ht="15.75" thickTop="1">
      <c r="A93" s="4"/>
      <c r="B93" s="12"/>
      <c r="C93" s="10"/>
      <c r="D93" s="10"/>
      <c r="E93" s="10"/>
      <c r="F93" s="13"/>
      <c r="G93" s="13"/>
      <c r="H93" s="13"/>
      <c r="I93" s="13"/>
      <c r="J93" s="13"/>
      <c r="K93" s="4"/>
      <c r="L93" s="4"/>
      <c r="M93" s="4"/>
      <c r="N93" s="4"/>
      <c r="O93" s="4"/>
      <c r="P93" s="4"/>
      <c r="R93" s="4"/>
      <c r="S93" s="4"/>
      <c r="T93" s="4"/>
    </row>
  </sheetData>
  <mergeCells count="166">
    <mergeCell ref="A84:E84"/>
    <mergeCell ref="F84:K84"/>
    <mergeCell ref="A85:E85"/>
    <mergeCell ref="F85:K85"/>
    <mergeCell ref="A86:E92"/>
    <mergeCell ref="F86:K92"/>
    <mergeCell ref="B80:C80"/>
    <mergeCell ref="D80:G80"/>
    <mergeCell ref="H80:I80"/>
    <mergeCell ref="J80:K80"/>
    <mergeCell ref="A82:G82"/>
    <mergeCell ref="H82:I82"/>
    <mergeCell ref="J82:K82"/>
    <mergeCell ref="B81:C81"/>
    <mergeCell ref="D81:G81"/>
    <mergeCell ref="H81:I81"/>
    <mergeCell ref="J81:K81"/>
    <mergeCell ref="B78:C78"/>
    <mergeCell ref="D78:G78"/>
    <mergeCell ref="H78:I78"/>
    <mergeCell ref="J78:K78"/>
    <mergeCell ref="B79:C79"/>
    <mergeCell ref="D79:G79"/>
    <mergeCell ref="H79:I79"/>
    <mergeCell ref="J79:K79"/>
    <mergeCell ref="B76:C76"/>
    <mergeCell ref="D76:G76"/>
    <mergeCell ref="H76:I76"/>
    <mergeCell ref="J76:K76"/>
    <mergeCell ref="B77:C77"/>
    <mergeCell ref="D77:G77"/>
    <mergeCell ref="H77:I77"/>
    <mergeCell ref="J77:K77"/>
    <mergeCell ref="B74:C74"/>
    <mergeCell ref="D74:G74"/>
    <mergeCell ref="H74:I74"/>
    <mergeCell ref="J74:K74"/>
    <mergeCell ref="B75:C75"/>
    <mergeCell ref="D75:G75"/>
    <mergeCell ref="H75:I75"/>
    <mergeCell ref="J75:K75"/>
    <mergeCell ref="B72:C72"/>
    <mergeCell ref="D72:G72"/>
    <mergeCell ref="H72:I72"/>
    <mergeCell ref="J72:K72"/>
    <mergeCell ref="B73:C73"/>
    <mergeCell ref="D73:G73"/>
    <mergeCell ref="H73:I73"/>
    <mergeCell ref="J73:K73"/>
    <mergeCell ref="B70:C70"/>
    <mergeCell ref="D70:G70"/>
    <mergeCell ref="H70:I70"/>
    <mergeCell ref="J70:K70"/>
    <mergeCell ref="B71:C71"/>
    <mergeCell ref="D71:G71"/>
    <mergeCell ref="H71:I71"/>
    <mergeCell ref="J71:K71"/>
    <mergeCell ref="B68:C68"/>
    <mergeCell ref="D68:G68"/>
    <mergeCell ref="H68:I68"/>
    <mergeCell ref="J68:K68"/>
    <mergeCell ref="B69:C69"/>
    <mergeCell ref="D69:G69"/>
    <mergeCell ref="H69:I69"/>
    <mergeCell ref="J69:K69"/>
    <mergeCell ref="B66:C66"/>
    <mergeCell ref="D66:G66"/>
    <mergeCell ref="H66:I66"/>
    <mergeCell ref="J66:K66"/>
    <mergeCell ref="B67:C67"/>
    <mergeCell ref="D67:G67"/>
    <mergeCell ref="H67:I67"/>
    <mergeCell ref="J67:K67"/>
    <mergeCell ref="B64:C64"/>
    <mergeCell ref="D64:G64"/>
    <mergeCell ref="H64:I64"/>
    <mergeCell ref="J64:K64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A49:K49"/>
    <mergeCell ref="A52:D52"/>
    <mergeCell ref="A54:A55"/>
    <mergeCell ref="B54:C55"/>
    <mergeCell ref="D54:G55"/>
    <mergeCell ref="H54:I55"/>
    <mergeCell ref="J54:K55"/>
    <mergeCell ref="A37:E43"/>
    <mergeCell ref="F37:K43"/>
    <mergeCell ref="A45:K45"/>
    <mergeCell ref="A46:K46"/>
    <mergeCell ref="A47:K47"/>
    <mergeCell ref="A48:K48"/>
    <mergeCell ref="C32:E32"/>
    <mergeCell ref="A33:E33"/>
    <mergeCell ref="A35:E35"/>
    <mergeCell ref="F35:K35"/>
    <mergeCell ref="A36:E36"/>
    <mergeCell ref="F36:K36"/>
    <mergeCell ref="I9:I11"/>
    <mergeCell ref="J9:J11"/>
    <mergeCell ref="K9:K11"/>
    <mergeCell ref="C12:E12"/>
    <mergeCell ref="C14:E14"/>
    <mergeCell ref="C15:E15"/>
    <mergeCell ref="K12:K16"/>
    <mergeCell ref="C17:E17"/>
    <mergeCell ref="C18:E18"/>
    <mergeCell ref="C19:E19"/>
    <mergeCell ref="C20:E20"/>
    <mergeCell ref="C21:E21"/>
    <mergeCell ref="C22:E22"/>
    <mergeCell ref="C13:E13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C16:E1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44" max="10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2">
    <tabColor rgb="FF92D050"/>
  </sheetPr>
  <dimension ref="A1:T77"/>
  <sheetViews>
    <sheetView view="pageBreakPreview" topLeftCell="A8" zoomScaleSheetLayoutView="100" workbookViewId="0">
      <selection activeCell="I17" sqref="I17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C.II.2. PHỤ TRỢ THI CÔNG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119</v>
      </c>
      <c r="N5" s="245" t="str">
        <f>'PHAN KHAI'!C158</f>
        <v>PHỤ TRỢ THI CÔNG</v>
      </c>
      <c r="Q5" s="17"/>
    </row>
    <row r="6" spans="1:20" s="16" customFormat="1" ht="15.75" customHeight="1">
      <c r="A6" s="91" t="str">
        <f>L6&amp;M6&amp;". "&amp;N6</f>
        <v>Mục C.II.2.11. Gỗ chống nẹp, gỗ sàn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C.II.2.</v>
      </c>
      <c r="M6" s="16">
        <v>11</v>
      </c>
      <c r="N6" s="245" t="str">
        <f>THKLQT!C169</f>
        <v>Gỗ chống nẹp, gỗ sàn</v>
      </c>
      <c r="Q6" s="17"/>
    </row>
    <row r="7" spans="1:20" s="178" customFormat="1" ht="18.75" customHeight="1">
      <c r="A7" s="634">
        <f>I17</f>
        <v>5.3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THKLQT!D169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43358</v>
      </c>
      <c r="C12" s="571" t="str">
        <f>T12</f>
        <v>Gỗ chống nẹp, gỗ sàn  A1L</v>
      </c>
      <c r="D12" s="572"/>
      <c r="E12" s="573"/>
      <c r="F12" s="2">
        <f>P12</f>
        <v>1.3</v>
      </c>
      <c r="G12" s="1">
        <f>P12</f>
        <v>1.3</v>
      </c>
      <c r="H12" s="297">
        <f>P12</f>
        <v>1.3</v>
      </c>
      <c r="I12" s="107">
        <f>P12</f>
        <v>1.3</v>
      </c>
      <c r="J12" s="107">
        <f>P12</f>
        <v>1.3</v>
      </c>
      <c r="K12" s="603" t="s">
        <v>677</v>
      </c>
      <c r="N12" s="118"/>
      <c r="O12" s="118" t="s">
        <v>369</v>
      </c>
      <c r="P12" s="88">
        <v>1.3</v>
      </c>
      <c r="Q12" s="89">
        <v>43358</v>
      </c>
      <c r="R12" s="88"/>
      <c r="S12" s="88" t="e">
        <f>VLOOKUP($S$11,hamchuigoi3,M12,0)</f>
        <v>#VALUE!</v>
      </c>
      <c r="T12" s="3" t="str">
        <f>$N$6&amp;" "&amp;O12</f>
        <v>Gỗ chống nẹp, gỗ sàn  A1L</v>
      </c>
    </row>
    <row r="13" spans="1:20" ht="14.25" outlineLevel="2">
      <c r="A13" s="81">
        <f>SUBTOTAL(103,$B$12:B13)</f>
        <v>2</v>
      </c>
      <c r="B13" s="78">
        <f t="shared" ref="B13:B15" si="0">Q13</f>
        <v>43372</v>
      </c>
      <c r="C13" s="571" t="str">
        <f t="shared" ref="C13:C15" si="1">T13</f>
        <v>Gỗ chống nẹp, gỗ sàn  A1R</v>
      </c>
      <c r="D13" s="572"/>
      <c r="E13" s="573"/>
      <c r="F13" s="2">
        <f t="shared" ref="F13:F15" si="2">P13</f>
        <v>1.3</v>
      </c>
      <c r="G13" s="1">
        <f t="shared" ref="G13:G15" si="3">P13</f>
        <v>1.3</v>
      </c>
      <c r="H13" s="297">
        <f t="shared" ref="H13:H15" si="4">P13</f>
        <v>1.3</v>
      </c>
      <c r="I13" s="107">
        <f t="shared" ref="I13:I15" si="5">P13</f>
        <v>1.3</v>
      </c>
      <c r="J13" s="107">
        <f t="shared" ref="J13:J15" si="6">P13</f>
        <v>1.3</v>
      </c>
      <c r="K13" s="604"/>
      <c r="N13" s="118"/>
      <c r="O13" s="118" t="s">
        <v>370</v>
      </c>
      <c r="P13" s="88">
        <v>1.3</v>
      </c>
      <c r="Q13" s="89">
        <v>43372</v>
      </c>
      <c r="R13" s="88"/>
      <c r="S13" s="88" t="e">
        <f>VLOOKUP($S$11,hamchuigoi3,M13,0)</f>
        <v>#VALUE!</v>
      </c>
      <c r="T13" s="3" t="str">
        <f t="shared" ref="T13:T15" si="7">$N$6&amp;" "&amp;O13</f>
        <v>Gỗ chống nẹp, gỗ sàn  A1R</v>
      </c>
    </row>
    <row r="14" spans="1:20" ht="14.25" outlineLevel="2">
      <c r="A14" s="81">
        <f>SUBTOTAL(103,$B$12:B14)</f>
        <v>3</v>
      </c>
      <c r="B14" s="78">
        <f t="shared" si="0"/>
        <v>43330</v>
      </c>
      <c r="C14" s="571" t="str">
        <f t="shared" si="1"/>
        <v>Gỗ chống nẹp, gỗ sàn  A2L</v>
      </c>
      <c r="D14" s="572"/>
      <c r="E14" s="573"/>
      <c r="F14" s="2">
        <f t="shared" si="2"/>
        <v>1.4</v>
      </c>
      <c r="G14" s="1">
        <f t="shared" si="3"/>
        <v>1.4</v>
      </c>
      <c r="H14" s="297">
        <f t="shared" si="4"/>
        <v>1.4</v>
      </c>
      <c r="I14" s="107">
        <f t="shared" si="5"/>
        <v>1.4</v>
      </c>
      <c r="J14" s="107">
        <f t="shared" si="6"/>
        <v>1.4</v>
      </c>
      <c r="K14" s="604"/>
      <c r="N14" s="118"/>
      <c r="O14" s="118" t="s">
        <v>371</v>
      </c>
      <c r="P14" s="88">
        <v>1.4</v>
      </c>
      <c r="Q14" s="89">
        <v>43330</v>
      </c>
      <c r="R14" s="88"/>
      <c r="S14" s="88" t="e">
        <f>VLOOKUP($S$11,hamchuigoi3,M14,0)</f>
        <v>#VALUE!</v>
      </c>
      <c r="T14" s="3" t="str">
        <f t="shared" si="7"/>
        <v>Gỗ chống nẹp, gỗ sàn  A2L</v>
      </c>
    </row>
    <row r="15" spans="1:20" ht="14.25" outlineLevel="2">
      <c r="A15" s="81">
        <f>SUBTOTAL(103,$B$12:B15)</f>
        <v>4</v>
      </c>
      <c r="B15" s="78">
        <f t="shared" si="0"/>
        <v>43332</v>
      </c>
      <c r="C15" s="571" t="str">
        <f t="shared" si="1"/>
        <v>Gỗ chống nẹp, gỗ sàn  A2R</v>
      </c>
      <c r="D15" s="572"/>
      <c r="E15" s="573"/>
      <c r="F15" s="2">
        <f t="shared" si="2"/>
        <v>1.2999999999999998</v>
      </c>
      <c r="G15" s="1">
        <f t="shared" si="3"/>
        <v>1.2999999999999998</v>
      </c>
      <c r="H15" s="297">
        <f t="shared" si="4"/>
        <v>1.2999999999999998</v>
      </c>
      <c r="I15" s="107">
        <f t="shared" si="5"/>
        <v>1.2999999999999998</v>
      </c>
      <c r="J15" s="107">
        <f t="shared" si="6"/>
        <v>1.2999999999999998</v>
      </c>
      <c r="K15" s="605"/>
      <c r="N15" s="118"/>
      <c r="O15" s="118" t="s">
        <v>372</v>
      </c>
      <c r="P15" s="88">
        <f>1.4-0.1</f>
        <v>1.2999999999999998</v>
      </c>
      <c r="Q15" s="89">
        <v>43332</v>
      </c>
      <c r="R15" s="88"/>
      <c r="S15" s="88" t="e">
        <f>VLOOKUP($S$11,hamchuigoi3,M15,0)</f>
        <v>#VALUE!</v>
      </c>
      <c r="T15" s="3" t="str">
        <f t="shared" si="7"/>
        <v>Gỗ chống nẹp, gỗ sàn  A2R</v>
      </c>
    </row>
    <row r="16" spans="1:20" ht="14.25" outlineLevel="2">
      <c r="A16" s="81"/>
      <c r="B16" s="78"/>
      <c r="C16" s="571"/>
      <c r="D16" s="572"/>
      <c r="E16" s="573"/>
      <c r="F16" s="27"/>
      <c r="G16" s="33"/>
      <c r="H16" s="31"/>
      <c r="I16" s="107"/>
      <c r="J16" s="107"/>
      <c r="K16" s="82"/>
      <c r="N16" s="118"/>
      <c r="O16" s="118"/>
      <c r="P16" s="88"/>
      <c r="Q16" s="89"/>
      <c r="R16" s="88"/>
      <c r="S16" s="88"/>
      <c r="T16" s="3"/>
    </row>
    <row r="17" spans="1:20" thickBot="1">
      <c r="A17" s="574" t="s">
        <v>4</v>
      </c>
      <c r="B17" s="575"/>
      <c r="C17" s="575"/>
      <c r="D17" s="575"/>
      <c r="E17" s="575"/>
      <c r="F17" s="79">
        <f>ROUND(SUM(F12:F16),2)-0.1</f>
        <v>5.2</v>
      </c>
      <c r="G17" s="79">
        <f t="shared" ref="G17:J17" si="8">ROUND(SUM(G12:G16),2)-0.1</f>
        <v>5.2</v>
      </c>
      <c r="H17" s="79">
        <f t="shared" si="8"/>
        <v>5.2</v>
      </c>
      <c r="I17" s="79">
        <f>ROUND(SUM(I12:I16),2)</f>
        <v>5.3</v>
      </c>
      <c r="J17" s="79">
        <f t="shared" si="8"/>
        <v>5.2</v>
      </c>
      <c r="K17" s="80"/>
      <c r="N17" s="118"/>
      <c r="O17" s="118"/>
      <c r="P17" s="90">
        <f>SUM(P12:P12)</f>
        <v>1.3</v>
      </c>
    </row>
    <row r="18" spans="1:20" s="175" customFormat="1" ht="18" customHeight="1" thickTop="1" thickBot="1">
      <c r="A18" s="249"/>
      <c r="B18" s="249"/>
      <c r="C18" s="249"/>
      <c r="D18" s="249"/>
      <c r="E18" s="249"/>
      <c r="F18" s="116"/>
      <c r="G18" s="116"/>
      <c r="H18" s="116"/>
      <c r="I18" s="116"/>
      <c r="J18" s="116"/>
      <c r="K18" s="117"/>
      <c r="L18" s="4"/>
      <c r="M18" s="4"/>
      <c r="N18" s="118"/>
      <c r="O18" s="118"/>
      <c r="P18" s="119"/>
      <c r="Q18" s="120"/>
      <c r="R18" s="120"/>
      <c r="S18" s="120"/>
      <c r="T18" s="121"/>
    </row>
    <row r="19" spans="1:20" s="5" customFormat="1" ht="13.9" customHeight="1" thickTop="1">
      <c r="A19" s="578" t="s">
        <v>68</v>
      </c>
      <c r="B19" s="579"/>
      <c r="C19" s="579"/>
      <c r="D19" s="579"/>
      <c r="E19" s="579"/>
      <c r="F19" s="580" t="s">
        <v>69</v>
      </c>
      <c r="G19" s="580"/>
      <c r="H19" s="580"/>
      <c r="I19" s="581"/>
      <c r="J19" s="581"/>
      <c r="K19" s="582"/>
      <c r="L19" s="4"/>
      <c r="M19" s="4"/>
      <c r="N19" s="4"/>
      <c r="O19" s="4"/>
      <c r="P19" s="4"/>
    </row>
    <row r="20" spans="1:20" s="5" customFormat="1" ht="13.9" customHeight="1">
      <c r="A20" s="583" t="s">
        <v>5</v>
      </c>
      <c r="B20" s="584"/>
      <c r="C20" s="584"/>
      <c r="D20" s="584"/>
      <c r="E20" s="584"/>
      <c r="F20" s="585" t="s">
        <v>6</v>
      </c>
      <c r="G20" s="585"/>
      <c r="H20" s="585"/>
      <c r="I20" s="586"/>
      <c r="J20" s="586"/>
      <c r="K20" s="587"/>
      <c r="L20" s="4"/>
      <c r="M20" s="4"/>
      <c r="N20" s="4"/>
      <c r="O20" s="4"/>
      <c r="P20" s="4"/>
    </row>
    <row r="21" spans="1:20" s="5" customFormat="1" ht="13.9" customHeight="1">
      <c r="A21" s="583" t="s">
        <v>836</v>
      </c>
      <c r="B21" s="584"/>
      <c r="C21" s="584"/>
      <c r="D21" s="584"/>
      <c r="E21" s="584"/>
      <c r="F21" s="590" t="s">
        <v>837</v>
      </c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>
      <c r="A24" s="583"/>
      <c r="B24" s="584"/>
      <c r="C24" s="584"/>
      <c r="D24" s="584"/>
      <c r="E24" s="584"/>
      <c r="F24" s="590"/>
      <c r="G24" s="590"/>
      <c r="H24" s="590"/>
      <c r="I24" s="591"/>
      <c r="J24" s="591"/>
      <c r="K24" s="592"/>
      <c r="L24" s="4"/>
      <c r="M24" s="4"/>
      <c r="N24" s="4"/>
      <c r="O24" s="4"/>
      <c r="P24" s="4"/>
    </row>
    <row r="25" spans="1:20" s="5" customFormat="1" ht="13.9" customHeight="1">
      <c r="A25" s="583"/>
      <c r="B25" s="584"/>
      <c r="C25" s="584"/>
      <c r="D25" s="584"/>
      <c r="E25" s="584"/>
      <c r="F25" s="590"/>
      <c r="G25" s="590"/>
      <c r="H25" s="590"/>
      <c r="I25" s="591"/>
      <c r="J25" s="591"/>
      <c r="K25" s="592"/>
      <c r="L25" s="4"/>
      <c r="M25" s="4"/>
      <c r="N25" s="4"/>
      <c r="O25" s="4"/>
      <c r="P25" s="4"/>
    </row>
    <row r="26" spans="1:20" s="5" customFormat="1" ht="13.9" customHeight="1">
      <c r="A26" s="583"/>
      <c r="B26" s="584"/>
      <c r="C26" s="584"/>
      <c r="D26" s="584"/>
      <c r="E26" s="584"/>
      <c r="F26" s="590"/>
      <c r="G26" s="590"/>
      <c r="H26" s="590"/>
      <c r="I26" s="591"/>
      <c r="J26" s="591"/>
      <c r="K26" s="592"/>
      <c r="L26" s="4"/>
      <c r="M26" s="4"/>
      <c r="N26" s="4"/>
      <c r="O26" s="4"/>
      <c r="P26" s="4"/>
    </row>
    <row r="27" spans="1:20" s="5" customFormat="1" ht="13.9" customHeight="1" thickBot="1">
      <c r="A27" s="588"/>
      <c r="B27" s="589"/>
      <c r="C27" s="589"/>
      <c r="D27" s="589"/>
      <c r="E27" s="589"/>
      <c r="F27" s="593"/>
      <c r="G27" s="593"/>
      <c r="H27" s="593"/>
      <c r="I27" s="594"/>
      <c r="J27" s="594"/>
      <c r="K27" s="595"/>
      <c r="L27" s="4"/>
      <c r="M27" s="4"/>
      <c r="N27" s="4"/>
      <c r="O27" s="4"/>
      <c r="P27" s="4"/>
    </row>
    <row r="28" spans="1:20" s="175" customFormat="1" ht="18" customHeight="1" thickTop="1">
      <c r="A28" s="249"/>
      <c r="B28" s="249"/>
      <c r="C28" s="249"/>
      <c r="D28" s="249"/>
      <c r="E28" s="249"/>
      <c r="F28" s="116"/>
      <c r="G28" s="116"/>
      <c r="H28" s="116"/>
      <c r="I28" s="116"/>
      <c r="J28" s="116"/>
      <c r="K28" s="117"/>
      <c r="L28" s="118"/>
      <c r="M28" s="118"/>
      <c r="N28" s="118"/>
      <c r="O28" s="118"/>
      <c r="P28" s="119"/>
      <c r="Q28" s="120"/>
      <c r="R28" s="120"/>
      <c r="S28" s="120"/>
      <c r="T28" s="121"/>
    </row>
    <row r="29" spans="1:20" s="111" customFormat="1" ht="48" customHeight="1">
      <c r="A29" s="596" t="s">
        <v>87</v>
      </c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08"/>
      <c r="M29" s="109"/>
      <c r="N29" s="110"/>
    </row>
    <row r="30" spans="1:20" s="112" customFormat="1" ht="18" customHeight="1">
      <c r="A30" s="597" t="s">
        <v>599</v>
      </c>
      <c r="B30" s="597"/>
      <c r="C30" s="597"/>
      <c r="D30" s="597"/>
      <c r="E30" s="597"/>
      <c r="F30" s="597"/>
      <c r="G30" s="597"/>
      <c r="H30" s="597"/>
      <c r="I30" s="597"/>
      <c r="J30" s="597"/>
      <c r="K30" s="597"/>
    </row>
    <row r="31" spans="1:20" s="175" customFormat="1" ht="20.100000000000001" customHeight="1">
      <c r="A31" s="598" t="s">
        <v>90</v>
      </c>
      <c r="B31" s="598"/>
      <c r="C31" s="598"/>
      <c r="D31" s="598"/>
      <c r="E31" s="598"/>
      <c r="F31" s="598"/>
      <c r="G31" s="598"/>
      <c r="H31" s="598"/>
      <c r="I31" s="598"/>
      <c r="J31" s="598"/>
      <c r="K31" s="598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599" t="s">
        <v>91</v>
      </c>
      <c r="B32" s="599"/>
      <c r="C32" s="599"/>
      <c r="D32" s="599"/>
      <c r="E32" s="599"/>
      <c r="F32" s="599"/>
      <c r="G32" s="599"/>
      <c r="H32" s="599"/>
      <c r="I32" s="599"/>
      <c r="J32" s="599"/>
      <c r="K32" s="599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00" t="str">
        <f>A4</f>
        <v>PHẦN C.: CẦU VƯỢT</v>
      </c>
      <c r="B33" s="601"/>
      <c r="C33" s="601"/>
      <c r="D33" s="601"/>
      <c r="E33" s="601"/>
      <c r="F33" s="601"/>
      <c r="G33" s="601"/>
      <c r="H33" s="601"/>
      <c r="I33" s="601"/>
      <c r="J33" s="601"/>
      <c r="K33" s="602"/>
      <c r="L33" s="123"/>
      <c r="M33" s="124"/>
      <c r="N33" s="123"/>
      <c r="O33" s="123"/>
      <c r="P33" s="123"/>
      <c r="Q33" s="123"/>
      <c r="R33" s="123"/>
      <c r="S33" s="123"/>
      <c r="T33" s="123"/>
    </row>
    <row r="34" spans="1:20" s="175" customFormat="1" ht="15.95" customHeight="1">
      <c r="A34" s="250" t="str">
        <f>A5</f>
        <v>Hạng mục C.II.2. PHỤ TRỢ THI CÔNG</v>
      </c>
      <c r="B34" s="251"/>
      <c r="C34" s="127"/>
      <c r="D34" s="127"/>
      <c r="E34" s="128"/>
      <c r="F34" s="129"/>
      <c r="G34" s="129"/>
      <c r="H34" s="129"/>
      <c r="I34" s="129"/>
      <c r="J34" s="129"/>
      <c r="K34" s="130"/>
      <c r="L34" s="123"/>
      <c r="M34" s="124"/>
      <c r="N34" s="123"/>
      <c r="O34" s="123"/>
      <c r="P34" s="123"/>
      <c r="Q34" s="123"/>
      <c r="R34" s="123"/>
      <c r="S34" s="123"/>
      <c r="T34" s="123"/>
    </row>
    <row r="35" spans="1:20" s="175" customFormat="1" ht="15.95" customHeight="1">
      <c r="A35" s="250" t="str">
        <f>A6</f>
        <v>Mục C.II.2.11. Gỗ chống nẹp, gỗ sàn</v>
      </c>
      <c r="B35" s="251"/>
      <c r="C35" s="127"/>
      <c r="D35" s="127"/>
      <c r="E35" s="128"/>
      <c r="F35" s="129"/>
      <c r="G35" s="129"/>
      <c r="H35" s="129"/>
      <c r="I35" s="129"/>
      <c r="J35" s="129"/>
      <c r="K35" s="130"/>
      <c r="L35" s="123"/>
      <c r="M35" s="124"/>
      <c r="N35" s="123"/>
      <c r="O35" s="123"/>
      <c r="P35" s="123"/>
      <c r="Q35" s="123"/>
      <c r="R35" s="123"/>
      <c r="S35" s="123"/>
      <c r="T35" s="123"/>
    </row>
    <row r="36" spans="1:20" s="175" customFormat="1" ht="15.95" customHeight="1">
      <c r="A36" s="639">
        <f>A7</f>
        <v>5.3</v>
      </c>
      <c r="B36" s="640"/>
      <c r="C36" s="640"/>
      <c r="D36" s="640"/>
      <c r="E36" s="131" t="str">
        <f>E7</f>
        <v>(m3)</v>
      </c>
      <c r="F36" s="132"/>
      <c r="G36" s="132"/>
      <c r="H36" s="132"/>
      <c r="I36" s="132"/>
      <c r="J36" s="132"/>
      <c r="K36" s="133"/>
      <c r="L36" s="173"/>
      <c r="M36" s="135"/>
      <c r="N36" s="174"/>
      <c r="P36" s="174"/>
    </row>
    <row r="37" spans="1:20" s="5" customFormat="1" ht="13.5" customHeight="1" thickBot="1">
      <c r="A37" s="28"/>
      <c r="B37" s="28"/>
      <c r="C37" s="28"/>
      <c r="D37" s="28"/>
      <c r="E37" s="28"/>
      <c r="F37" s="30"/>
      <c r="G37" s="30"/>
      <c r="H37" s="30"/>
      <c r="I37" s="30"/>
      <c r="J37" s="30"/>
      <c r="K37" s="8"/>
      <c r="L37" s="23"/>
      <c r="M37" s="9"/>
      <c r="N37" s="4"/>
      <c r="O37" s="4"/>
      <c r="P37" s="4"/>
      <c r="R37" s="4"/>
      <c r="S37" s="4"/>
      <c r="T37" s="4"/>
    </row>
    <row r="38" spans="1:20" s="5" customFormat="1" ht="21.6" customHeight="1" thickTop="1">
      <c r="A38" s="576" t="s">
        <v>3</v>
      </c>
      <c r="B38" s="641" t="s">
        <v>84</v>
      </c>
      <c r="C38" s="641"/>
      <c r="D38" s="643" t="s">
        <v>96</v>
      </c>
      <c r="E38" s="643"/>
      <c r="F38" s="643"/>
      <c r="G38" s="643"/>
      <c r="H38" s="641" t="s">
        <v>89</v>
      </c>
      <c r="I38" s="641"/>
      <c r="J38" s="641" t="s">
        <v>85</v>
      </c>
      <c r="K38" s="645"/>
      <c r="L38"/>
      <c r="M38" s="94"/>
      <c r="N38" s="94"/>
      <c r="O38" s="95"/>
      <c r="P38" s="96"/>
    </row>
    <row r="39" spans="1:20" s="5" customFormat="1" ht="21.6" customHeight="1">
      <c r="A39" s="577"/>
      <c r="B39" s="642"/>
      <c r="C39" s="642"/>
      <c r="D39" s="644"/>
      <c r="E39" s="644"/>
      <c r="F39" s="644"/>
      <c r="G39" s="644"/>
      <c r="H39" s="642"/>
      <c r="I39" s="642"/>
      <c r="J39" s="642"/>
      <c r="K39" s="646"/>
      <c r="L39"/>
      <c r="M39" s="97"/>
      <c r="N39" s="97"/>
      <c r="O39" s="98"/>
      <c r="P39" s="99"/>
    </row>
    <row r="40" spans="1:20" s="5" customFormat="1" ht="17.100000000000001" customHeight="1">
      <c r="A40" s="100">
        <v>1</v>
      </c>
      <c r="B40" s="623" t="str">
        <f>"Tháng "&amp;IF(L40&lt;10,0&amp;L40&amp;"/"&amp;M40,L40&amp;"/"&amp;M40)</f>
        <v>Tháng 08/2017</v>
      </c>
      <c r="C40" s="623"/>
      <c r="D40" s="624" t="str">
        <f>N6</f>
        <v>Gỗ chống nẹp, gỗ sàn</v>
      </c>
      <c r="E40" s="624"/>
      <c r="F40" s="624"/>
      <c r="G40" s="624"/>
      <c r="H40" s="625">
        <f t="shared" ref="H40:H63" si="9">+SUMIFS($I$12:$I$16,$B$12:$B$16,"&gt;="&amp;$O40,$B$12:$B$16,"&lt;="&amp;$P40)</f>
        <v>0</v>
      </c>
      <c r="I40" s="625"/>
      <c r="J40" s="623"/>
      <c r="K40" s="626"/>
      <c r="L40">
        <v>8</v>
      </c>
      <c r="M40" s="101">
        <v>2017</v>
      </c>
      <c r="N40" s="97"/>
      <c r="O40" s="103">
        <f t="shared" ref="O40:O64" si="10">DATE(M40,L40,1)</f>
        <v>42948</v>
      </c>
      <c r="P40" s="103">
        <f t="shared" ref="P40:P64" si="11">DATE(M40,L40+1,0)</f>
        <v>42978</v>
      </c>
    </row>
    <row r="41" spans="1:20" s="5" customFormat="1" ht="17.100000000000001" customHeight="1">
      <c r="A41" s="104">
        <v>2</v>
      </c>
      <c r="B41" s="567" t="str">
        <f t="shared" ref="B41:B65" si="12">"Tháng "&amp;IF(L41&lt;10,0&amp;L41&amp;"/"&amp;M41,L41&amp;"/"&amp;M41)</f>
        <v>Tháng 09/2017</v>
      </c>
      <c r="C41" s="567"/>
      <c r="D41" s="568" t="str">
        <f>D40</f>
        <v>Gỗ chống nẹp, gỗ sàn</v>
      </c>
      <c r="E41" s="568"/>
      <c r="F41" s="568"/>
      <c r="G41" s="568"/>
      <c r="H41" s="569">
        <f t="shared" si="9"/>
        <v>0</v>
      </c>
      <c r="I41" s="569"/>
      <c r="J41" s="567"/>
      <c r="K41" s="570"/>
      <c r="L41">
        <v>9</v>
      </c>
      <c r="M41" s="101">
        <v>2017</v>
      </c>
      <c r="N41"/>
      <c r="O41" s="103">
        <f t="shared" si="10"/>
        <v>42979</v>
      </c>
      <c r="P41" s="103">
        <f t="shared" si="11"/>
        <v>43008</v>
      </c>
    </row>
    <row r="42" spans="1:20" s="5" customFormat="1" ht="17.100000000000001" customHeight="1">
      <c r="A42" s="104">
        <f>A41+1</f>
        <v>3</v>
      </c>
      <c r="B42" s="567" t="str">
        <f t="shared" si="12"/>
        <v>Tháng 10/2017</v>
      </c>
      <c r="C42" s="567"/>
      <c r="D42" s="568" t="str">
        <f t="shared" ref="D42:D64" si="13">D41</f>
        <v>Gỗ chống nẹp, gỗ sàn</v>
      </c>
      <c r="E42" s="568"/>
      <c r="F42" s="568"/>
      <c r="G42" s="568"/>
      <c r="H42" s="569">
        <f t="shared" si="9"/>
        <v>0</v>
      </c>
      <c r="I42" s="569"/>
      <c r="J42" s="567"/>
      <c r="K42" s="570"/>
      <c r="L42">
        <v>10</v>
      </c>
      <c r="M42" s="101">
        <v>2017</v>
      </c>
      <c r="N42"/>
      <c r="O42" s="103">
        <f t="shared" si="10"/>
        <v>43009</v>
      </c>
      <c r="P42" s="103">
        <f t="shared" si="11"/>
        <v>43039</v>
      </c>
    </row>
    <row r="43" spans="1:20" s="5" customFormat="1" ht="17.100000000000001" customHeight="1">
      <c r="A43" s="104">
        <f t="shared" ref="A43:A65" si="14">A42+1</f>
        <v>4</v>
      </c>
      <c r="B43" s="567" t="str">
        <f t="shared" si="12"/>
        <v>Tháng 11/2017</v>
      </c>
      <c r="C43" s="567"/>
      <c r="D43" s="568" t="str">
        <f t="shared" si="13"/>
        <v>Gỗ chống nẹp, gỗ sàn</v>
      </c>
      <c r="E43" s="568"/>
      <c r="F43" s="568"/>
      <c r="G43" s="568"/>
      <c r="H43" s="569">
        <f t="shared" si="9"/>
        <v>0</v>
      </c>
      <c r="I43" s="569"/>
      <c r="J43" s="567"/>
      <c r="K43" s="570"/>
      <c r="L43">
        <v>11</v>
      </c>
      <c r="M43" s="101">
        <v>2017</v>
      </c>
      <c r="N43"/>
      <c r="O43" s="103">
        <f t="shared" si="10"/>
        <v>43040</v>
      </c>
      <c r="P43" s="103">
        <f t="shared" si="11"/>
        <v>43069</v>
      </c>
    </row>
    <row r="44" spans="1:20" s="5" customFormat="1" ht="17.100000000000001" customHeight="1">
      <c r="A44" s="104">
        <f t="shared" si="14"/>
        <v>5</v>
      </c>
      <c r="B44" s="567" t="str">
        <f t="shared" si="12"/>
        <v>Tháng 12/2017</v>
      </c>
      <c r="C44" s="567"/>
      <c r="D44" s="568" t="str">
        <f t="shared" si="13"/>
        <v>Gỗ chống nẹp, gỗ sàn</v>
      </c>
      <c r="E44" s="568"/>
      <c r="F44" s="568"/>
      <c r="G44" s="568"/>
      <c r="H44" s="569">
        <f t="shared" si="9"/>
        <v>0</v>
      </c>
      <c r="I44" s="569"/>
      <c r="J44" s="567"/>
      <c r="K44" s="570"/>
      <c r="L44">
        <v>12</v>
      </c>
      <c r="M44" s="101">
        <v>2017</v>
      </c>
      <c r="N44"/>
      <c r="O44" s="103">
        <f t="shared" si="10"/>
        <v>43070</v>
      </c>
      <c r="P44" s="103">
        <f t="shared" si="11"/>
        <v>43100</v>
      </c>
    </row>
    <row r="45" spans="1:20" s="5" customFormat="1" ht="17.100000000000001" customHeight="1">
      <c r="A45" s="104">
        <f t="shared" si="14"/>
        <v>6</v>
      </c>
      <c r="B45" s="567" t="str">
        <f t="shared" si="12"/>
        <v>Tháng 01/2018</v>
      </c>
      <c r="C45" s="567"/>
      <c r="D45" s="568" t="str">
        <f t="shared" si="13"/>
        <v>Gỗ chống nẹp, gỗ sàn</v>
      </c>
      <c r="E45" s="568"/>
      <c r="F45" s="568"/>
      <c r="G45" s="568"/>
      <c r="H45" s="569">
        <f t="shared" si="9"/>
        <v>0</v>
      </c>
      <c r="I45" s="569"/>
      <c r="J45" s="567"/>
      <c r="K45" s="570"/>
      <c r="L45">
        <v>1</v>
      </c>
      <c r="M45" s="101">
        <v>2018</v>
      </c>
      <c r="N45"/>
      <c r="O45" s="103">
        <f t="shared" si="10"/>
        <v>43101</v>
      </c>
      <c r="P45" s="103">
        <f t="shared" si="11"/>
        <v>43131</v>
      </c>
    </row>
    <row r="46" spans="1:20" s="5" customFormat="1" ht="17.100000000000001" customHeight="1">
      <c r="A46" s="104">
        <f t="shared" si="14"/>
        <v>7</v>
      </c>
      <c r="B46" s="567" t="str">
        <f t="shared" si="12"/>
        <v>Tháng 02/2018</v>
      </c>
      <c r="C46" s="567"/>
      <c r="D46" s="568" t="str">
        <f t="shared" si="13"/>
        <v>Gỗ chống nẹp, gỗ sàn</v>
      </c>
      <c r="E46" s="568"/>
      <c r="F46" s="568"/>
      <c r="G46" s="568"/>
      <c r="H46" s="569">
        <f t="shared" si="9"/>
        <v>0</v>
      </c>
      <c r="I46" s="569"/>
      <c r="J46" s="567"/>
      <c r="K46" s="570"/>
      <c r="L46">
        <v>2</v>
      </c>
      <c r="M46" s="101">
        <v>2018</v>
      </c>
      <c r="N46"/>
      <c r="O46" s="103">
        <f t="shared" si="10"/>
        <v>43132</v>
      </c>
      <c r="P46" s="103">
        <f t="shared" si="11"/>
        <v>43159</v>
      </c>
    </row>
    <row r="47" spans="1:20" s="5" customFormat="1" ht="17.100000000000001" customHeight="1">
      <c r="A47" s="104">
        <f t="shared" si="14"/>
        <v>8</v>
      </c>
      <c r="B47" s="567" t="str">
        <f t="shared" si="12"/>
        <v>Tháng 03/2018</v>
      </c>
      <c r="C47" s="567"/>
      <c r="D47" s="568" t="str">
        <f t="shared" si="13"/>
        <v>Gỗ chống nẹp, gỗ sàn</v>
      </c>
      <c r="E47" s="568"/>
      <c r="F47" s="568"/>
      <c r="G47" s="568"/>
      <c r="H47" s="569">
        <f t="shared" si="9"/>
        <v>0</v>
      </c>
      <c r="I47" s="569"/>
      <c r="J47" s="567"/>
      <c r="K47" s="570"/>
      <c r="L47">
        <v>3</v>
      </c>
      <c r="M47" s="101">
        <v>2018</v>
      </c>
      <c r="N47"/>
      <c r="O47" s="103">
        <f t="shared" si="10"/>
        <v>43160</v>
      </c>
      <c r="P47" s="103">
        <f t="shared" si="11"/>
        <v>43190</v>
      </c>
    </row>
    <row r="48" spans="1:20" s="5" customFormat="1" ht="17.100000000000001" customHeight="1">
      <c r="A48" s="104">
        <f t="shared" si="14"/>
        <v>9</v>
      </c>
      <c r="B48" s="567" t="str">
        <f t="shared" si="12"/>
        <v>Tháng 04/2018</v>
      </c>
      <c r="C48" s="567"/>
      <c r="D48" s="568" t="str">
        <f t="shared" si="13"/>
        <v>Gỗ chống nẹp, gỗ sàn</v>
      </c>
      <c r="E48" s="568"/>
      <c r="F48" s="568"/>
      <c r="G48" s="568"/>
      <c r="H48" s="569">
        <f t="shared" si="9"/>
        <v>0</v>
      </c>
      <c r="I48" s="569"/>
      <c r="J48" s="567"/>
      <c r="K48" s="570"/>
      <c r="L48">
        <v>4</v>
      </c>
      <c r="M48" s="101">
        <v>2018</v>
      </c>
      <c r="N48"/>
      <c r="O48" s="103">
        <f t="shared" si="10"/>
        <v>43191</v>
      </c>
      <c r="P48" s="103">
        <f t="shared" si="11"/>
        <v>43220</v>
      </c>
    </row>
    <row r="49" spans="1:16" s="5" customFormat="1" ht="17.100000000000001" customHeight="1">
      <c r="A49" s="104">
        <f t="shared" si="14"/>
        <v>10</v>
      </c>
      <c r="B49" s="567" t="str">
        <f t="shared" si="12"/>
        <v>Tháng 05/2018</v>
      </c>
      <c r="C49" s="567"/>
      <c r="D49" s="568" t="str">
        <f t="shared" si="13"/>
        <v>Gỗ chống nẹp, gỗ sàn</v>
      </c>
      <c r="E49" s="568"/>
      <c r="F49" s="568"/>
      <c r="G49" s="568"/>
      <c r="H49" s="569">
        <f t="shared" si="9"/>
        <v>0</v>
      </c>
      <c r="I49" s="569"/>
      <c r="J49" s="567"/>
      <c r="K49" s="570"/>
      <c r="L49">
        <v>5</v>
      </c>
      <c r="M49" s="101">
        <v>2018</v>
      </c>
      <c r="N49"/>
      <c r="O49" s="103">
        <f t="shared" si="10"/>
        <v>43221</v>
      </c>
      <c r="P49" s="103">
        <f t="shared" si="11"/>
        <v>43251</v>
      </c>
    </row>
    <row r="50" spans="1:16" s="5" customFormat="1" ht="17.100000000000001" customHeight="1">
      <c r="A50" s="104">
        <f t="shared" si="14"/>
        <v>11</v>
      </c>
      <c r="B50" s="567" t="str">
        <f t="shared" si="12"/>
        <v>Tháng 06/2018</v>
      </c>
      <c r="C50" s="567"/>
      <c r="D50" s="568" t="str">
        <f t="shared" si="13"/>
        <v>Gỗ chống nẹp, gỗ sàn</v>
      </c>
      <c r="E50" s="568"/>
      <c r="F50" s="568"/>
      <c r="G50" s="568"/>
      <c r="H50" s="569">
        <f t="shared" si="9"/>
        <v>0</v>
      </c>
      <c r="I50" s="569"/>
      <c r="J50" s="567"/>
      <c r="K50" s="570"/>
      <c r="L50">
        <v>6</v>
      </c>
      <c r="M50" s="101">
        <v>2018</v>
      </c>
      <c r="N50"/>
      <c r="O50" s="103">
        <f t="shared" si="10"/>
        <v>43252</v>
      </c>
      <c r="P50" s="103">
        <f t="shared" si="11"/>
        <v>43281</v>
      </c>
    </row>
    <row r="51" spans="1:16" s="5" customFormat="1" ht="17.100000000000001" customHeight="1">
      <c r="A51" s="104">
        <f t="shared" si="14"/>
        <v>12</v>
      </c>
      <c r="B51" s="567" t="str">
        <f t="shared" si="12"/>
        <v>Tháng 07/2018</v>
      </c>
      <c r="C51" s="567"/>
      <c r="D51" s="568" t="str">
        <f t="shared" si="13"/>
        <v>Gỗ chống nẹp, gỗ sàn</v>
      </c>
      <c r="E51" s="568"/>
      <c r="F51" s="568"/>
      <c r="G51" s="568"/>
      <c r="H51" s="569">
        <f t="shared" si="9"/>
        <v>0</v>
      </c>
      <c r="I51" s="569"/>
      <c r="J51" s="567"/>
      <c r="K51" s="570"/>
      <c r="L51">
        <v>7</v>
      </c>
      <c r="M51" s="101">
        <v>2018</v>
      </c>
      <c r="N51"/>
      <c r="O51" s="103">
        <f t="shared" si="10"/>
        <v>43282</v>
      </c>
      <c r="P51" s="103">
        <f t="shared" si="11"/>
        <v>43312</v>
      </c>
    </row>
    <row r="52" spans="1:16" s="5" customFormat="1" ht="17.100000000000001" customHeight="1">
      <c r="A52" s="104">
        <f t="shared" si="14"/>
        <v>13</v>
      </c>
      <c r="B52" s="567" t="str">
        <f t="shared" si="12"/>
        <v>Tháng 08/2018</v>
      </c>
      <c r="C52" s="567"/>
      <c r="D52" s="568" t="str">
        <f t="shared" si="13"/>
        <v>Gỗ chống nẹp, gỗ sàn</v>
      </c>
      <c r="E52" s="568"/>
      <c r="F52" s="568"/>
      <c r="G52" s="568"/>
      <c r="H52" s="569">
        <f t="shared" si="9"/>
        <v>2.6999999999999997</v>
      </c>
      <c r="I52" s="569"/>
      <c r="J52" s="567"/>
      <c r="K52" s="570"/>
      <c r="L52">
        <v>8</v>
      </c>
      <c r="M52" s="101">
        <v>2018</v>
      </c>
      <c r="N52"/>
      <c r="O52" s="103">
        <f t="shared" si="10"/>
        <v>43313</v>
      </c>
      <c r="P52" s="103">
        <f t="shared" si="11"/>
        <v>43343</v>
      </c>
    </row>
    <row r="53" spans="1:16" s="5" customFormat="1" ht="17.100000000000001" customHeight="1">
      <c r="A53" s="104">
        <f t="shared" si="14"/>
        <v>14</v>
      </c>
      <c r="B53" s="567" t="str">
        <f t="shared" si="12"/>
        <v>Tháng 09/2018</v>
      </c>
      <c r="C53" s="567"/>
      <c r="D53" s="568" t="str">
        <f t="shared" si="13"/>
        <v>Gỗ chống nẹp, gỗ sàn</v>
      </c>
      <c r="E53" s="568"/>
      <c r="F53" s="568"/>
      <c r="G53" s="568"/>
      <c r="H53" s="569">
        <f t="shared" si="9"/>
        <v>2.6</v>
      </c>
      <c r="I53" s="569"/>
      <c r="J53" s="567"/>
      <c r="K53" s="570"/>
      <c r="L53">
        <v>9</v>
      </c>
      <c r="M53" s="101">
        <v>2018</v>
      </c>
      <c r="N53"/>
      <c r="O53" s="103">
        <f t="shared" si="10"/>
        <v>43344</v>
      </c>
      <c r="P53" s="103">
        <f t="shared" si="11"/>
        <v>43373</v>
      </c>
    </row>
    <row r="54" spans="1:16" s="5" customFormat="1" ht="17.100000000000001" customHeight="1">
      <c r="A54" s="104">
        <f t="shared" si="14"/>
        <v>15</v>
      </c>
      <c r="B54" s="567" t="str">
        <f t="shared" si="12"/>
        <v>Tháng 10/2018</v>
      </c>
      <c r="C54" s="567"/>
      <c r="D54" s="568" t="str">
        <f t="shared" si="13"/>
        <v>Gỗ chống nẹp, gỗ sàn</v>
      </c>
      <c r="E54" s="568"/>
      <c r="F54" s="568"/>
      <c r="G54" s="568"/>
      <c r="H54" s="569">
        <f t="shared" si="9"/>
        <v>0</v>
      </c>
      <c r="I54" s="569"/>
      <c r="J54" s="567"/>
      <c r="K54" s="570"/>
      <c r="L54">
        <v>10</v>
      </c>
      <c r="M54" s="101">
        <v>2018</v>
      </c>
      <c r="N54"/>
      <c r="O54" s="103">
        <f t="shared" si="10"/>
        <v>43374</v>
      </c>
      <c r="P54" s="103">
        <f t="shared" si="11"/>
        <v>43404</v>
      </c>
    </row>
    <row r="55" spans="1:16" s="5" customFormat="1" ht="17.100000000000001" customHeight="1">
      <c r="A55" s="104">
        <f t="shared" si="14"/>
        <v>16</v>
      </c>
      <c r="B55" s="567" t="str">
        <f t="shared" si="12"/>
        <v>Tháng 11/2018</v>
      </c>
      <c r="C55" s="567"/>
      <c r="D55" s="568" t="str">
        <f t="shared" si="13"/>
        <v>Gỗ chống nẹp, gỗ sàn</v>
      </c>
      <c r="E55" s="568"/>
      <c r="F55" s="568"/>
      <c r="G55" s="568"/>
      <c r="H55" s="569">
        <f t="shared" si="9"/>
        <v>0</v>
      </c>
      <c r="I55" s="569"/>
      <c r="J55" s="567"/>
      <c r="K55" s="570"/>
      <c r="L55">
        <v>11</v>
      </c>
      <c r="M55" s="101">
        <v>2018</v>
      </c>
      <c r="N55"/>
      <c r="O55" s="103">
        <f t="shared" si="10"/>
        <v>43405</v>
      </c>
      <c r="P55" s="103">
        <f t="shared" si="11"/>
        <v>43434</v>
      </c>
    </row>
    <row r="56" spans="1:16" s="5" customFormat="1" ht="17.100000000000001" customHeight="1">
      <c r="A56" s="104">
        <f t="shared" si="14"/>
        <v>17</v>
      </c>
      <c r="B56" s="567" t="str">
        <f t="shared" si="12"/>
        <v>Tháng 12/2018</v>
      </c>
      <c r="C56" s="567"/>
      <c r="D56" s="568" t="str">
        <f t="shared" si="13"/>
        <v>Gỗ chống nẹp, gỗ sàn</v>
      </c>
      <c r="E56" s="568"/>
      <c r="F56" s="568"/>
      <c r="G56" s="568"/>
      <c r="H56" s="569">
        <f t="shared" si="9"/>
        <v>0</v>
      </c>
      <c r="I56" s="569"/>
      <c r="J56" s="567"/>
      <c r="K56" s="570"/>
      <c r="L56">
        <v>12</v>
      </c>
      <c r="M56" s="101">
        <v>2018</v>
      </c>
      <c r="N56"/>
      <c r="O56" s="103">
        <f t="shared" si="10"/>
        <v>43435</v>
      </c>
      <c r="P56" s="103">
        <f t="shared" si="11"/>
        <v>43465</v>
      </c>
    </row>
    <row r="57" spans="1:16" s="5" customFormat="1" ht="17.100000000000001" customHeight="1">
      <c r="A57" s="104">
        <f t="shared" si="14"/>
        <v>18</v>
      </c>
      <c r="B57" s="567" t="str">
        <f t="shared" si="12"/>
        <v>Tháng 01/2019</v>
      </c>
      <c r="C57" s="567"/>
      <c r="D57" s="568" t="str">
        <f t="shared" si="13"/>
        <v>Gỗ chống nẹp, gỗ sàn</v>
      </c>
      <c r="E57" s="568"/>
      <c r="F57" s="568"/>
      <c r="G57" s="568"/>
      <c r="H57" s="569">
        <f t="shared" si="9"/>
        <v>0</v>
      </c>
      <c r="I57" s="569"/>
      <c r="J57" s="567"/>
      <c r="K57" s="570"/>
      <c r="L57">
        <v>1</v>
      </c>
      <c r="M57" s="101">
        <v>2019</v>
      </c>
      <c r="N57"/>
      <c r="O57" s="103">
        <f t="shared" si="10"/>
        <v>43466</v>
      </c>
      <c r="P57" s="103">
        <f t="shared" si="11"/>
        <v>43496</v>
      </c>
    </row>
    <row r="58" spans="1:16" s="5" customFormat="1" ht="17.100000000000001" customHeight="1">
      <c r="A58" s="104">
        <f t="shared" si="14"/>
        <v>19</v>
      </c>
      <c r="B58" s="567" t="str">
        <f t="shared" si="12"/>
        <v>Tháng 02/2019</v>
      </c>
      <c r="C58" s="567"/>
      <c r="D58" s="568" t="str">
        <f t="shared" si="13"/>
        <v>Gỗ chống nẹp, gỗ sàn</v>
      </c>
      <c r="E58" s="568"/>
      <c r="F58" s="568"/>
      <c r="G58" s="568"/>
      <c r="H58" s="569">
        <f t="shared" si="9"/>
        <v>0</v>
      </c>
      <c r="I58" s="569"/>
      <c r="J58" s="567"/>
      <c r="K58" s="570"/>
      <c r="L58">
        <v>2</v>
      </c>
      <c r="M58" s="101">
        <v>2019</v>
      </c>
      <c r="N58"/>
      <c r="O58" s="103">
        <f t="shared" si="10"/>
        <v>43497</v>
      </c>
      <c r="P58" s="103">
        <f t="shared" si="11"/>
        <v>43524</v>
      </c>
    </row>
    <row r="59" spans="1:16" s="5" customFormat="1" ht="17.100000000000001" customHeight="1">
      <c r="A59" s="104">
        <f t="shared" si="14"/>
        <v>20</v>
      </c>
      <c r="B59" s="567" t="str">
        <f t="shared" si="12"/>
        <v>Tháng 03/2019</v>
      </c>
      <c r="C59" s="567"/>
      <c r="D59" s="568" t="str">
        <f t="shared" si="13"/>
        <v>Gỗ chống nẹp, gỗ sàn</v>
      </c>
      <c r="E59" s="568"/>
      <c r="F59" s="568"/>
      <c r="G59" s="568"/>
      <c r="H59" s="569">
        <f t="shared" si="9"/>
        <v>0</v>
      </c>
      <c r="I59" s="569"/>
      <c r="J59" s="567"/>
      <c r="K59" s="570"/>
      <c r="L59">
        <v>3</v>
      </c>
      <c r="M59" s="101">
        <v>2019</v>
      </c>
      <c r="N59"/>
      <c r="O59" s="103">
        <f t="shared" si="10"/>
        <v>43525</v>
      </c>
      <c r="P59" s="103">
        <f t="shared" si="11"/>
        <v>43555</v>
      </c>
    </row>
    <row r="60" spans="1:16" s="5" customFormat="1" ht="17.100000000000001" customHeight="1">
      <c r="A60" s="104">
        <f t="shared" si="14"/>
        <v>21</v>
      </c>
      <c r="B60" s="567" t="str">
        <f t="shared" si="12"/>
        <v>Tháng 04/2019</v>
      </c>
      <c r="C60" s="567"/>
      <c r="D60" s="568" t="str">
        <f t="shared" si="13"/>
        <v>Gỗ chống nẹp, gỗ sàn</v>
      </c>
      <c r="E60" s="568"/>
      <c r="F60" s="568"/>
      <c r="G60" s="568"/>
      <c r="H60" s="569">
        <f t="shared" si="9"/>
        <v>0</v>
      </c>
      <c r="I60" s="569"/>
      <c r="J60" s="567"/>
      <c r="K60" s="570"/>
      <c r="L60">
        <v>4</v>
      </c>
      <c r="M60" s="101">
        <v>2019</v>
      </c>
      <c r="N60"/>
      <c r="O60" s="103">
        <f t="shared" si="10"/>
        <v>43556</v>
      </c>
      <c r="P60" s="103">
        <f t="shared" si="11"/>
        <v>43585</v>
      </c>
    </row>
    <row r="61" spans="1:16" s="5" customFormat="1" ht="17.100000000000001" customHeight="1">
      <c r="A61" s="104">
        <f t="shared" si="14"/>
        <v>22</v>
      </c>
      <c r="B61" s="567" t="str">
        <f t="shared" si="12"/>
        <v>Tháng 05/2019</v>
      </c>
      <c r="C61" s="567"/>
      <c r="D61" s="568" t="str">
        <f t="shared" si="13"/>
        <v>Gỗ chống nẹp, gỗ sàn</v>
      </c>
      <c r="E61" s="568"/>
      <c r="F61" s="568"/>
      <c r="G61" s="568"/>
      <c r="H61" s="569">
        <f t="shared" si="9"/>
        <v>0</v>
      </c>
      <c r="I61" s="569"/>
      <c r="J61" s="567"/>
      <c r="K61" s="570"/>
      <c r="L61">
        <v>5</v>
      </c>
      <c r="M61" s="101">
        <v>2019</v>
      </c>
      <c r="N61"/>
      <c r="O61" s="103">
        <f t="shared" si="10"/>
        <v>43586</v>
      </c>
      <c r="P61" s="103">
        <f t="shared" si="11"/>
        <v>43616</v>
      </c>
    </row>
    <row r="62" spans="1:16" s="5" customFormat="1" ht="17.100000000000001" customHeight="1">
      <c r="A62" s="104">
        <f t="shared" si="14"/>
        <v>23</v>
      </c>
      <c r="B62" s="567" t="str">
        <f t="shared" si="12"/>
        <v>Tháng 06/2019</v>
      </c>
      <c r="C62" s="567"/>
      <c r="D62" s="568" t="str">
        <f t="shared" si="13"/>
        <v>Gỗ chống nẹp, gỗ sàn</v>
      </c>
      <c r="E62" s="568"/>
      <c r="F62" s="568"/>
      <c r="G62" s="568"/>
      <c r="H62" s="569">
        <f t="shared" si="9"/>
        <v>0</v>
      </c>
      <c r="I62" s="569"/>
      <c r="J62" s="567"/>
      <c r="K62" s="570"/>
      <c r="L62">
        <v>6</v>
      </c>
      <c r="M62" s="101">
        <v>2019</v>
      </c>
      <c r="N62"/>
      <c r="O62" s="103">
        <f t="shared" si="10"/>
        <v>43617</v>
      </c>
      <c r="P62" s="103">
        <f t="shared" si="11"/>
        <v>43646</v>
      </c>
    </row>
    <row r="63" spans="1:16" s="5" customFormat="1" ht="17.100000000000001" customHeight="1">
      <c r="A63" s="104">
        <f t="shared" si="14"/>
        <v>24</v>
      </c>
      <c r="B63" s="567" t="str">
        <f t="shared" si="12"/>
        <v>Tháng 07/2019</v>
      </c>
      <c r="C63" s="567"/>
      <c r="D63" s="568" t="str">
        <f t="shared" si="13"/>
        <v>Gỗ chống nẹp, gỗ sàn</v>
      </c>
      <c r="E63" s="568"/>
      <c r="F63" s="568"/>
      <c r="G63" s="568"/>
      <c r="H63" s="569">
        <f t="shared" si="9"/>
        <v>0</v>
      </c>
      <c r="I63" s="569"/>
      <c r="J63" s="567"/>
      <c r="K63" s="570"/>
      <c r="L63">
        <v>7</v>
      </c>
      <c r="M63" s="101">
        <v>2019</v>
      </c>
      <c r="N63"/>
      <c r="O63" s="103">
        <f t="shared" si="10"/>
        <v>43647</v>
      </c>
      <c r="P63" s="103">
        <f t="shared" si="11"/>
        <v>43677</v>
      </c>
    </row>
    <row r="64" spans="1:16" s="5" customFormat="1" ht="17.100000000000001" customHeight="1">
      <c r="A64" s="104">
        <f t="shared" si="14"/>
        <v>25</v>
      </c>
      <c r="B64" s="567" t="str">
        <f t="shared" si="12"/>
        <v>Tháng 08/2019</v>
      </c>
      <c r="C64" s="567"/>
      <c r="D64" s="568" t="str">
        <f t="shared" si="13"/>
        <v>Gỗ chống nẹp, gỗ sàn</v>
      </c>
      <c r="E64" s="568"/>
      <c r="F64" s="568"/>
      <c r="G64" s="568"/>
      <c r="H64" s="569">
        <f t="shared" ref="H64:H65" si="15">+SUMIFS($I$12:$I$35,$B$12:$B$35,"&gt;="&amp;$O64,$B$12:$B$35,"&lt;="&amp;$P64)</f>
        <v>0</v>
      </c>
      <c r="I64" s="569"/>
      <c r="J64" s="567"/>
      <c r="K64" s="570"/>
      <c r="L64">
        <v>8</v>
      </c>
      <c r="M64" s="101">
        <v>2019</v>
      </c>
      <c r="N64"/>
      <c r="O64" s="103">
        <f t="shared" si="10"/>
        <v>43678</v>
      </c>
      <c r="P64" s="103">
        <f t="shared" si="11"/>
        <v>43708</v>
      </c>
    </row>
    <row r="65" spans="1:20" s="5" customFormat="1" ht="17.100000000000001" customHeight="1">
      <c r="A65" s="104">
        <f t="shared" si="14"/>
        <v>26</v>
      </c>
      <c r="B65" s="616" t="str">
        <f t="shared" si="12"/>
        <v>Tháng 09/2019</v>
      </c>
      <c r="C65" s="616"/>
      <c r="D65" s="652" t="str">
        <f>D63</f>
        <v>Gỗ chống nẹp, gỗ sàn</v>
      </c>
      <c r="E65" s="652"/>
      <c r="F65" s="652"/>
      <c r="G65" s="652"/>
      <c r="H65" s="615">
        <f t="shared" si="15"/>
        <v>0</v>
      </c>
      <c r="I65" s="615"/>
      <c r="J65" s="616"/>
      <c r="K65" s="617"/>
      <c r="L65">
        <v>9</v>
      </c>
      <c r="M65" s="101">
        <v>2019</v>
      </c>
      <c r="N65"/>
      <c r="O65" s="103">
        <f>DATE(M65,L65,1)</f>
        <v>43709</v>
      </c>
      <c r="P65" s="103">
        <f>DATE(M65,L65+1,0)</f>
        <v>43738</v>
      </c>
    </row>
    <row r="66" spans="1:20" s="5" customFormat="1" ht="21.6" customHeight="1" thickBot="1">
      <c r="A66" s="618" t="s">
        <v>86</v>
      </c>
      <c r="B66" s="619"/>
      <c r="C66" s="619"/>
      <c r="D66" s="619"/>
      <c r="E66" s="619"/>
      <c r="F66" s="619"/>
      <c r="G66" s="620"/>
      <c r="H66" s="621">
        <f t="shared" ref="H66" si="16">SUM(H40:I65)</f>
        <v>5.3</v>
      </c>
      <c r="I66" s="622"/>
      <c r="J66" s="621"/>
      <c r="K66" s="622"/>
      <c r="L66"/>
      <c r="M66"/>
      <c r="N66"/>
      <c r="O66"/>
      <c r="P66"/>
    </row>
    <row r="67" spans="1:20" s="5" customFormat="1" ht="18" customHeight="1" thickTop="1" thickBot="1">
      <c r="A67" s="105"/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4"/>
      <c r="M67" s="4"/>
      <c r="N67" s="4"/>
      <c r="O67" s="4"/>
      <c r="P67" s="20"/>
    </row>
    <row r="68" spans="1:20" s="5" customFormat="1" ht="13.9" customHeight="1" thickTop="1">
      <c r="A68" s="647" t="s">
        <v>68</v>
      </c>
      <c r="B68" s="648"/>
      <c r="C68" s="648"/>
      <c r="D68" s="648"/>
      <c r="E68" s="648"/>
      <c r="F68" s="649" t="s">
        <v>69</v>
      </c>
      <c r="G68" s="649"/>
      <c r="H68" s="649"/>
      <c r="I68" s="650"/>
      <c r="J68" s="650"/>
      <c r="K68" s="651"/>
      <c r="L68" s="4"/>
      <c r="M68" s="4"/>
      <c r="N68" s="4"/>
      <c r="O68" s="4"/>
      <c r="P68" s="4"/>
    </row>
    <row r="69" spans="1:20" s="5" customFormat="1" ht="13.9" customHeight="1">
      <c r="A69" s="583" t="s">
        <v>5</v>
      </c>
      <c r="B69" s="584"/>
      <c r="C69" s="584"/>
      <c r="D69" s="584"/>
      <c r="E69" s="584"/>
      <c r="F69" s="585" t="s">
        <v>6</v>
      </c>
      <c r="G69" s="585"/>
      <c r="H69" s="585"/>
      <c r="I69" s="586"/>
      <c r="J69" s="586"/>
      <c r="K69" s="587"/>
      <c r="L69" s="4"/>
      <c r="M69" s="4"/>
      <c r="N69" s="4"/>
      <c r="O69" s="4"/>
      <c r="P69" s="4"/>
    </row>
    <row r="70" spans="1:20" s="5" customFormat="1" ht="13.9" customHeight="1">
      <c r="A70" s="583" t="s">
        <v>836</v>
      </c>
      <c r="B70" s="584"/>
      <c r="C70" s="584"/>
      <c r="D70" s="584"/>
      <c r="E70" s="584"/>
      <c r="F70" s="590" t="s">
        <v>837</v>
      </c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>
      <c r="A73" s="583"/>
      <c r="B73" s="584"/>
      <c r="C73" s="584"/>
      <c r="D73" s="584"/>
      <c r="E73" s="584"/>
      <c r="F73" s="590"/>
      <c r="G73" s="590"/>
      <c r="H73" s="590"/>
      <c r="I73" s="591"/>
      <c r="J73" s="591"/>
      <c r="K73" s="592"/>
      <c r="L73" s="4"/>
      <c r="M73" s="4"/>
      <c r="N73" s="4"/>
      <c r="O73" s="4"/>
      <c r="P73" s="4"/>
    </row>
    <row r="74" spans="1:20" s="5" customFormat="1" ht="13.9" customHeight="1">
      <c r="A74" s="583"/>
      <c r="B74" s="584"/>
      <c r="C74" s="584"/>
      <c r="D74" s="584"/>
      <c r="E74" s="584"/>
      <c r="F74" s="590"/>
      <c r="G74" s="590"/>
      <c r="H74" s="590"/>
      <c r="I74" s="591"/>
      <c r="J74" s="591"/>
      <c r="K74" s="592"/>
      <c r="L74" s="4"/>
      <c r="M74" s="4"/>
      <c r="N74" s="4"/>
      <c r="O74" s="4"/>
      <c r="P74" s="4"/>
    </row>
    <row r="75" spans="1:20" s="5" customFormat="1" ht="13.9" customHeight="1">
      <c r="A75" s="583"/>
      <c r="B75" s="584"/>
      <c r="C75" s="584"/>
      <c r="D75" s="584"/>
      <c r="E75" s="584"/>
      <c r="F75" s="590"/>
      <c r="G75" s="590"/>
      <c r="H75" s="590"/>
      <c r="I75" s="591"/>
      <c r="J75" s="591"/>
      <c r="K75" s="592"/>
      <c r="L75" s="4"/>
      <c r="M75" s="4"/>
      <c r="N75" s="4"/>
      <c r="O75" s="4"/>
      <c r="P75" s="4"/>
    </row>
    <row r="76" spans="1:20" s="5" customFormat="1" ht="13.9" customHeight="1" thickBot="1">
      <c r="A76" s="588"/>
      <c r="B76" s="589"/>
      <c r="C76" s="589"/>
      <c r="D76" s="589"/>
      <c r="E76" s="589"/>
      <c r="F76" s="593"/>
      <c r="G76" s="593"/>
      <c r="H76" s="593"/>
      <c r="I76" s="594"/>
      <c r="J76" s="594"/>
      <c r="K76" s="595"/>
      <c r="L76" s="4"/>
      <c r="M76" s="4"/>
      <c r="N76" s="4"/>
      <c r="O76" s="4"/>
      <c r="P76" s="4"/>
    </row>
    <row r="77" spans="1:20" s="5" customFormat="1" ht="15.75" thickTop="1">
      <c r="A77" s="4"/>
      <c r="B77" s="12"/>
      <c r="C77" s="10"/>
      <c r="D77" s="10"/>
      <c r="E77" s="10"/>
      <c r="F77" s="13"/>
      <c r="G77" s="13"/>
      <c r="H77" s="13"/>
      <c r="I77" s="13"/>
      <c r="J77" s="13"/>
      <c r="K77" s="4"/>
      <c r="L77" s="4"/>
      <c r="M77" s="4"/>
      <c r="N77" s="4"/>
      <c r="O77" s="4"/>
      <c r="P77" s="4"/>
      <c r="R77" s="4"/>
      <c r="S77" s="4"/>
      <c r="T77" s="4"/>
    </row>
  </sheetData>
  <mergeCells count="150">
    <mergeCell ref="A68:E68"/>
    <mergeCell ref="F68:K68"/>
    <mergeCell ref="A69:E69"/>
    <mergeCell ref="F69:K69"/>
    <mergeCell ref="A70:E76"/>
    <mergeCell ref="F70:K76"/>
    <mergeCell ref="B64:C64"/>
    <mergeCell ref="D64:G64"/>
    <mergeCell ref="H64:I64"/>
    <mergeCell ref="J64:K64"/>
    <mergeCell ref="A66:G66"/>
    <mergeCell ref="H66:I66"/>
    <mergeCell ref="J66:K66"/>
    <mergeCell ref="B65:C65"/>
    <mergeCell ref="D65:G65"/>
    <mergeCell ref="H65:I65"/>
    <mergeCell ref="J65:K65"/>
    <mergeCell ref="B62:C62"/>
    <mergeCell ref="D62:G62"/>
    <mergeCell ref="H62:I62"/>
    <mergeCell ref="J62:K62"/>
    <mergeCell ref="B63:C63"/>
    <mergeCell ref="D63:G63"/>
    <mergeCell ref="H63:I63"/>
    <mergeCell ref="J63:K63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0:C40"/>
    <mergeCell ref="D40:G40"/>
    <mergeCell ref="H40:I40"/>
    <mergeCell ref="J40:K40"/>
    <mergeCell ref="B41:C41"/>
    <mergeCell ref="D41:G41"/>
    <mergeCell ref="H41:I41"/>
    <mergeCell ref="J41:K41"/>
    <mergeCell ref="A33:K33"/>
    <mergeCell ref="A36:D36"/>
    <mergeCell ref="A38:A39"/>
    <mergeCell ref="B38:C39"/>
    <mergeCell ref="D38:G39"/>
    <mergeCell ref="H38:I39"/>
    <mergeCell ref="J38:K39"/>
    <mergeCell ref="A21:E27"/>
    <mergeCell ref="F21:K27"/>
    <mergeCell ref="A29:K29"/>
    <mergeCell ref="A30:K30"/>
    <mergeCell ref="A31:K31"/>
    <mergeCell ref="A32:K32"/>
    <mergeCell ref="C15:E15"/>
    <mergeCell ref="C16:E16"/>
    <mergeCell ref="A17:E17"/>
    <mergeCell ref="A19:E19"/>
    <mergeCell ref="F19:K19"/>
    <mergeCell ref="A20:E20"/>
    <mergeCell ref="F20:K20"/>
    <mergeCell ref="I9:I11"/>
    <mergeCell ref="J9:J11"/>
    <mergeCell ref="K9:K11"/>
    <mergeCell ref="C12:E12"/>
    <mergeCell ref="C13:E13"/>
    <mergeCell ref="C14:E14"/>
    <mergeCell ref="K12:K15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8" max="10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3">
    <tabColor rgb="FF92D050"/>
  </sheetPr>
  <dimension ref="A1:T74"/>
  <sheetViews>
    <sheetView view="pageBreakPreview" topLeftCell="A58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10" width="9.7109375" style="13" customWidth="1"/>
    <col min="11" max="11" width="6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C.III.1. Mặt bằng công trường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373</v>
      </c>
      <c r="N5" s="245" t="str">
        <f>'PHAN KHAI'!C171</f>
        <v>Mặt bằng công trường</v>
      </c>
      <c r="Q5" s="17"/>
    </row>
    <row r="6" spans="1:20" s="16" customFormat="1" ht="15.75" customHeight="1">
      <c r="A6" s="91" t="str">
        <f>L6&amp;M6&amp;". "&amp;N6</f>
        <v>Mục C.III.1.1. San ủi mặt bằng (phát quang)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C.III.1.</v>
      </c>
      <c r="M6" s="16">
        <v>1</v>
      </c>
      <c r="N6" s="245" t="str">
        <f>THKLQT!C172</f>
        <v>San ủi mặt bằng (phát quang)</v>
      </c>
      <c r="Q6" s="17"/>
    </row>
    <row r="7" spans="1:20" s="178" customFormat="1" ht="18.75" customHeight="1">
      <c r="A7" s="634">
        <f>I14</f>
        <v>1351</v>
      </c>
      <c r="B7" s="635"/>
      <c r="C7" s="635"/>
      <c r="D7" s="635"/>
      <c r="E7" s="106" t="str">
        <f>"("&amp;L7&amp;")"</f>
        <v>(m2)</v>
      </c>
      <c r="F7" s="113"/>
      <c r="G7" s="113"/>
      <c r="H7" s="113"/>
      <c r="I7" s="113"/>
      <c r="J7" s="113"/>
      <c r="K7" s="114"/>
      <c r="L7" s="26" t="str">
        <f>THKLQT!D172</f>
        <v>m2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43266</v>
      </c>
      <c r="C12" s="571" t="str">
        <f>T12</f>
        <v xml:space="preserve">San ủi mặt bằng (phát quang) </v>
      </c>
      <c r="D12" s="572"/>
      <c r="E12" s="573"/>
      <c r="F12" s="2">
        <f>P12</f>
        <v>1351</v>
      </c>
      <c r="G12" s="1">
        <f>P12</f>
        <v>1351</v>
      </c>
      <c r="H12" s="31">
        <f>P12</f>
        <v>1351</v>
      </c>
      <c r="I12" s="107">
        <f>P12</f>
        <v>1351</v>
      </c>
      <c r="J12" s="107">
        <f>P12</f>
        <v>1351</v>
      </c>
      <c r="K12" s="82"/>
      <c r="N12" s="118"/>
      <c r="O12" s="118"/>
      <c r="P12" s="88">
        <v>1351</v>
      </c>
      <c r="Q12" s="89">
        <v>43266</v>
      </c>
      <c r="R12" s="88"/>
      <c r="S12" s="88" t="e">
        <f>VLOOKUP($S$11,hamchuigoi3,M12,0)</f>
        <v>#VALUE!</v>
      </c>
      <c r="T12" s="3" t="str">
        <f>$N$6&amp;" "&amp;O12</f>
        <v xml:space="preserve">San ủi mặt bằng (phát quang)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1351</v>
      </c>
      <c r="G14" s="79">
        <f>ROUND(SUM(G12:G13),2)</f>
        <v>1351</v>
      </c>
      <c r="H14" s="79">
        <f>ROUND(SUM(H12:H13),2)</f>
        <v>1351</v>
      </c>
      <c r="I14" s="79">
        <f>ROUND(SUM(I12:I13),2)</f>
        <v>1351</v>
      </c>
      <c r="J14" s="79">
        <f>ROUND(SUM(J12:J13),2)</f>
        <v>1351</v>
      </c>
      <c r="K14" s="80"/>
      <c r="N14" s="118"/>
      <c r="O14" s="118"/>
      <c r="P14" s="90">
        <f>SUM(P12:P12)</f>
        <v>1351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C.III.1. Mặt bằng công trường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C.III.1.1. San ủi mặt bằng (phát quang)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1351</v>
      </c>
      <c r="B33" s="640"/>
      <c r="C33" s="640"/>
      <c r="D33" s="640"/>
      <c r="E33" s="131" t="str">
        <f>E7</f>
        <v>(m2)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San ủi mặt bằng (phát quang)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San ủi mặt bằng (phát quang)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San ủi mặt bằng (phát quang)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San ủi mặt bằng (phát quang)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San ủi mặt bằng (phát quang)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San ủi mặt bằng (phát quang)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San ủi mặt bằng (phát quang)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San ủi mặt bằng (phát quang)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San ủi mặt bằng (phát quang)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San ủi mặt bằng (phát quang)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San ủi mặt bằng (phát quang)</v>
      </c>
      <c r="E47" s="568"/>
      <c r="F47" s="568"/>
      <c r="G47" s="568"/>
      <c r="H47" s="569">
        <f t="shared" si="0"/>
        <v>1351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San ủi mặt bằng (phát quang)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San ủi mặt bằng (phát quang)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San ủi mặt bằng (phát quang)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San ủi mặt bằng (phát quang)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San ủi mặt bằng (phát quang)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San ủi mặt bằng (phát quang)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San ủi mặt bằng (phát quang)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San ủi mặt bằng (phát quang)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San ủi mặt bằng (phát quang)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San ủi mặt bằng (phát quang)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San ủi mặt bằng (phát quang)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San ủi mặt bằng (phát quang)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San ủi mặt bằng (phát quang)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San ủi mặt bằng (phát quang)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San ủi mặt bằng (phát quang)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1351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4">
    <tabColor rgb="FF92D050"/>
  </sheetPr>
  <dimension ref="A1:T74"/>
  <sheetViews>
    <sheetView view="pageBreakPreview" topLeftCell="A61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C.III.1. Mặt bằng công trường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373</v>
      </c>
      <c r="N5" s="245" t="str">
        <f>'PHAN KHAI'!C171</f>
        <v>Mặt bằng công trường</v>
      </c>
      <c r="Q5" s="17"/>
    </row>
    <row r="6" spans="1:20" s="16" customFormat="1" ht="15.75" customHeight="1">
      <c r="A6" s="91" t="str">
        <f>L6&amp;M6&amp;". "&amp;N6</f>
        <v xml:space="preserve">Mục C.III.1.1. Đào đất hữu cơ 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C.III.1.</v>
      </c>
      <c r="M6" s="16">
        <v>1</v>
      </c>
      <c r="N6" s="245" t="str">
        <f>THKLQT!C173</f>
        <v xml:space="preserve">Đào đất hữu cơ </v>
      </c>
      <c r="Q6" s="17"/>
    </row>
    <row r="7" spans="1:20" s="178" customFormat="1" ht="18.75" customHeight="1">
      <c r="A7" s="634">
        <f>I14</f>
        <v>198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THKLQT!D173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outlineLevel="2">
      <c r="A12" s="81">
        <f>SUBTOTAL(103,$B$12:B12)</f>
        <v>1</v>
      </c>
      <c r="B12" s="78">
        <f>Q12</f>
        <v>43266</v>
      </c>
      <c r="C12" s="571" t="str">
        <f>T12</f>
        <v xml:space="preserve">Đào đất hữu cơ  </v>
      </c>
      <c r="D12" s="572"/>
      <c r="E12" s="573"/>
      <c r="F12" s="2">
        <f>P12</f>
        <v>198</v>
      </c>
      <c r="G12" s="1">
        <f>P12</f>
        <v>198</v>
      </c>
      <c r="H12" s="297">
        <f>P12</f>
        <v>198</v>
      </c>
      <c r="I12" s="107">
        <f>P12</f>
        <v>198</v>
      </c>
      <c r="J12" s="107">
        <f>P12</f>
        <v>198</v>
      </c>
      <c r="K12" s="296" t="s">
        <v>677</v>
      </c>
      <c r="N12" s="118"/>
      <c r="O12" s="118"/>
      <c r="P12" s="88">
        <v>198</v>
      </c>
      <c r="Q12" s="89">
        <v>43266</v>
      </c>
      <c r="R12" s="88"/>
      <c r="S12" s="88" t="e">
        <f>VLOOKUP($S$11,hamchuigoi3,M12,0)</f>
        <v>#VALUE!</v>
      </c>
      <c r="T12" s="3" t="str">
        <f>$N$6&amp;" "&amp;O12</f>
        <v xml:space="preserve">Đào đất hữu cơ 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198</v>
      </c>
      <c r="G14" s="79">
        <f>ROUND(SUM(G12:G13),2)</f>
        <v>198</v>
      </c>
      <c r="H14" s="79">
        <f>ROUND(SUM(H12:H13),2)</f>
        <v>198</v>
      </c>
      <c r="I14" s="79">
        <f>ROUND(SUM(I12:I13),2)</f>
        <v>198</v>
      </c>
      <c r="J14" s="79">
        <f>ROUND(SUM(J12:J13),2)</f>
        <v>198</v>
      </c>
      <c r="K14" s="80"/>
      <c r="N14" s="118"/>
      <c r="O14" s="118"/>
      <c r="P14" s="90">
        <f>SUM(P12:P12)</f>
        <v>198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C.III.1. Mặt bằng công trường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 xml:space="preserve">Mục C.III.1.1. Đào đất hữu cơ 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198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 xml:space="preserve">Đào đất hữu cơ 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 xml:space="preserve">Đào đất hữu cơ 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 xml:space="preserve">Đào đất hữu cơ 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 xml:space="preserve">Đào đất hữu cơ 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 xml:space="preserve">Đào đất hữu cơ 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 xml:space="preserve">Đào đất hữu cơ 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 xml:space="preserve">Đào đất hữu cơ 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 xml:space="preserve">Đào đất hữu cơ 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 xml:space="preserve">Đào đất hữu cơ 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 xml:space="preserve">Đào đất hữu cơ 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 xml:space="preserve">Đào đất hữu cơ </v>
      </c>
      <c r="E47" s="568"/>
      <c r="F47" s="568"/>
      <c r="G47" s="568"/>
      <c r="H47" s="569">
        <f t="shared" si="0"/>
        <v>198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 xml:space="preserve">Đào đất hữu cơ 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 xml:space="preserve">Đào đất hữu cơ 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 xml:space="preserve">Đào đất hữu cơ 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 xml:space="preserve">Đào đất hữu cơ 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 xml:space="preserve">Đào đất hữu cơ 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 xml:space="preserve">Đào đất hữu cơ 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 xml:space="preserve">Đào đất hữu cơ 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 xml:space="preserve">Đào đất hữu cơ 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 xml:space="preserve">Đào đất hữu cơ 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 xml:space="preserve">Đào đất hữu cơ 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 xml:space="preserve">Đào đất hữu cơ 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 xml:space="preserve">Đào đất hữu cơ 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 xml:space="preserve">Đào đất hữu cơ 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 xml:space="preserve">Đào đất hữu cơ 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 xml:space="preserve">Đào đất hữu cơ 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198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5">
    <tabColor rgb="FF92D050"/>
  </sheetPr>
  <dimension ref="A1:T74"/>
  <sheetViews>
    <sheetView view="pageBreakPreview" topLeftCell="A55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2.140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C.III.1. Mặt bằng công trường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373</v>
      </c>
      <c r="N5" s="245" t="str">
        <f>'PHAN KHAI'!C171</f>
        <v>Mặt bằng công trường</v>
      </c>
      <c r="Q5" s="17"/>
    </row>
    <row r="6" spans="1:20" s="16" customFormat="1" ht="15.75" customHeight="1">
      <c r="A6" s="91" t="str">
        <f>L6&amp;M6&amp;". "&amp;N6</f>
        <v>Mục C.III.1.4. Đắp đất K90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C.III.1.</v>
      </c>
      <c r="M6" s="16">
        <v>4</v>
      </c>
      <c r="N6" s="245" t="str">
        <f>THKLQT!C175</f>
        <v>Đắp đất K90</v>
      </c>
      <c r="Q6" s="17"/>
    </row>
    <row r="7" spans="1:20" s="178" customFormat="1" ht="18.75" customHeight="1">
      <c r="A7" s="634">
        <f>I14</f>
        <v>1195.83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THKLQT!D175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38.25" outlineLevel="2">
      <c r="A12" s="81">
        <f>SUBTOTAL(103,$B$12:B12)</f>
        <v>1</v>
      </c>
      <c r="B12" s="78">
        <f>Q12</f>
        <v>43268</v>
      </c>
      <c r="C12" s="571" t="str">
        <f>T12</f>
        <v xml:space="preserve">Đắp đất K90 </v>
      </c>
      <c r="D12" s="572"/>
      <c r="E12" s="573"/>
      <c r="F12" s="2">
        <f>P12</f>
        <v>1195.83</v>
      </c>
      <c r="G12" s="1">
        <f>P12</f>
        <v>1195.83</v>
      </c>
      <c r="H12" s="297">
        <f>P12</f>
        <v>1195.83</v>
      </c>
      <c r="I12" s="107">
        <f>P12</f>
        <v>1195.83</v>
      </c>
      <c r="J12" s="107">
        <f>P12</f>
        <v>1195.83</v>
      </c>
      <c r="K12" s="296" t="s">
        <v>702</v>
      </c>
      <c r="N12" s="118"/>
      <c r="O12" s="118"/>
      <c r="P12" s="88">
        <v>1195.83</v>
      </c>
      <c r="Q12" s="89">
        <v>43268</v>
      </c>
      <c r="R12" s="88"/>
      <c r="S12" s="88" t="e">
        <f>VLOOKUP($S$11,hamchuigoi3,M12,0)</f>
        <v>#VALUE!</v>
      </c>
      <c r="T12" s="3" t="str">
        <f>$N$6&amp;" "&amp;O12</f>
        <v xml:space="preserve">Đắp đất K90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1195.83</v>
      </c>
      <c r="G14" s="79">
        <f>ROUND(SUM(G12:G13),2)</f>
        <v>1195.83</v>
      </c>
      <c r="H14" s="79">
        <f>ROUND(SUM(H12:H13),2)</f>
        <v>1195.83</v>
      </c>
      <c r="I14" s="79">
        <f>ROUND(SUM(I12:I13),2)</f>
        <v>1195.83</v>
      </c>
      <c r="J14" s="79">
        <f>ROUND(SUM(J12:J13),2)</f>
        <v>1195.83</v>
      </c>
      <c r="K14" s="80"/>
      <c r="N14" s="118"/>
      <c r="O14" s="118"/>
      <c r="P14" s="90">
        <f>SUM(P12:P12)</f>
        <v>1195.83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C.III.1. Mặt bằng công trường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C.III.1.4. Đắp đất K90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1195.83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Đắp đất K90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Đắp đất K90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Đắp đất K90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Đắp đất K90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Đắp đất K90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Đắp đất K90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Đắp đất K90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Đắp đất K90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Đắp đất K90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Đắp đất K90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Đắp đất K90</v>
      </c>
      <c r="E47" s="568"/>
      <c r="F47" s="568"/>
      <c r="G47" s="568"/>
      <c r="H47" s="569">
        <f t="shared" si="0"/>
        <v>1195.83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Đắp đất K90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Đắp đất K90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Đắp đất K90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Đắp đất K90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Đắp đất K90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Đắp đất K90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Đắp đất K90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Đắp đất K90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Đắp đất K90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Đắp đất K90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Đắp đất K90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Đắp đất K90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Đắp đất K90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Đắp đất K90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Đắp đất K90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1195.83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>
    <tabColor rgb="FF92D050"/>
  </sheetPr>
  <dimension ref="A1:T74"/>
  <sheetViews>
    <sheetView view="pageBreakPreview" topLeftCell="A61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1.42578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C.III.1. Mặt bằng công trường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373</v>
      </c>
      <c r="N5" s="245" t="str">
        <f>'PHAN KHAI'!C171</f>
        <v>Mặt bằng công trường</v>
      </c>
      <c r="Q5" s="17"/>
    </row>
    <row r="6" spans="1:20" s="16" customFormat="1" ht="15.75" customHeight="1">
      <c r="A6" s="91" t="str">
        <f>L6&amp;M6&amp;". "&amp;N6</f>
        <v>Mục C.III.1.5. Đá dăm mặt bằng thi công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C.III.1.</v>
      </c>
      <c r="M6" s="16">
        <v>5</v>
      </c>
      <c r="N6" s="245" t="str">
        <f>THKLQT!C177</f>
        <v>Đá dăm mặt bằng thi công</v>
      </c>
      <c r="Q6" s="17"/>
    </row>
    <row r="7" spans="1:20" s="178" customFormat="1" ht="18.75" customHeight="1">
      <c r="A7" s="634">
        <f>I14</f>
        <v>148.94999999999999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THKLQT!D177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25.5" outlineLevel="2">
      <c r="A12" s="81">
        <f>SUBTOTAL(103,$B$12:B12)</f>
        <v>1</v>
      </c>
      <c r="B12" s="78">
        <f>Q12</f>
        <v>43269</v>
      </c>
      <c r="C12" s="571" t="str">
        <f>T12</f>
        <v xml:space="preserve">Đá dăm mặt bằng thi công </v>
      </c>
      <c r="D12" s="572"/>
      <c r="E12" s="573"/>
      <c r="F12" s="2">
        <f>P12</f>
        <v>148.94999999999999</v>
      </c>
      <c r="G12" s="1">
        <f>P12</f>
        <v>148.94999999999999</v>
      </c>
      <c r="H12" s="297">
        <f>P12</f>
        <v>148.94999999999999</v>
      </c>
      <c r="I12" s="107">
        <f>P12</f>
        <v>148.94999999999999</v>
      </c>
      <c r="J12" s="107">
        <f>P12</f>
        <v>148.94999999999999</v>
      </c>
      <c r="K12" s="296" t="s">
        <v>703</v>
      </c>
      <c r="N12" s="118"/>
      <c r="O12" s="118"/>
      <c r="P12" s="88">
        <v>148.94999999999999</v>
      </c>
      <c r="Q12" s="89">
        <v>43269</v>
      </c>
      <c r="R12" s="88"/>
      <c r="S12" s="88" t="e">
        <f>VLOOKUP($S$11,hamchuigoi3,M12,0)</f>
        <v>#VALUE!</v>
      </c>
      <c r="T12" s="3" t="str">
        <f>$N$6&amp;" "&amp;O12</f>
        <v xml:space="preserve">Đá dăm mặt bằng thi công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148.94999999999999</v>
      </c>
      <c r="G14" s="79">
        <f>ROUND(SUM(G12:G13),2)</f>
        <v>148.94999999999999</v>
      </c>
      <c r="H14" s="79">
        <f>ROUND(SUM(H12:H13),2)</f>
        <v>148.94999999999999</v>
      </c>
      <c r="I14" s="79">
        <f>ROUND(SUM(I12:I13),2)</f>
        <v>148.94999999999999</v>
      </c>
      <c r="J14" s="79">
        <f>ROUND(SUM(J12:J13),2)</f>
        <v>148.94999999999999</v>
      </c>
      <c r="K14" s="80"/>
      <c r="N14" s="118"/>
      <c r="O14" s="118"/>
      <c r="P14" s="90">
        <f>SUM(P12:P12)</f>
        <v>148.94999999999999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C.III.1. Mặt bằng công trường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C.III.1.5. Đá dăm mặt bằng thi công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148.94999999999999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Đá dăm mặt bằng thi công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Đá dăm mặt bằng thi công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Đá dăm mặt bằng thi công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Đá dăm mặt bằng thi công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Đá dăm mặt bằng thi công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Đá dăm mặt bằng thi công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Đá dăm mặt bằng thi công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Đá dăm mặt bằng thi công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Đá dăm mặt bằng thi công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Đá dăm mặt bằng thi công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Đá dăm mặt bằng thi công</v>
      </c>
      <c r="E47" s="568"/>
      <c r="F47" s="568"/>
      <c r="G47" s="568"/>
      <c r="H47" s="569">
        <f t="shared" si="0"/>
        <v>148.94999999999999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Đá dăm mặt bằng thi công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Đá dăm mặt bằng thi công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Đá dăm mặt bằng thi công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Đá dăm mặt bằng thi công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Đá dăm mặt bằng thi công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Đá dăm mặt bằng thi công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Đá dăm mặt bằng thi công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Đá dăm mặt bằng thi công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Đá dăm mặt bằng thi công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Đá dăm mặt bằng thi công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Đá dăm mặt bằng thi công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Đá dăm mặt bằng thi công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Đá dăm mặt bằng thi công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Đá dăm mặt bằng thi công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Đá dăm mặt bằng thi công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148.94999999999999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26:K26"/>
    <mergeCell ref="A27:K27"/>
    <mergeCell ref="A28:K28"/>
    <mergeCell ref="A29:K29"/>
    <mergeCell ref="A30:K30"/>
    <mergeCell ref="A33:D33"/>
    <mergeCell ref="A14:E14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7">
    <tabColor rgb="FF92D050"/>
  </sheetPr>
  <dimension ref="A1:T74"/>
  <sheetViews>
    <sheetView view="pageBreakPreview" topLeftCell="A61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3.57031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C.III.1. Mặt bằng công trường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373</v>
      </c>
      <c r="N5" s="245" t="str">
        <f>'PHAN KHAI'!C171</f>
        <v>Mặt bằng công trường</v>
      </c>
      <c r="Q5" s="17"/>
    </row>
    <row r="6" spans="1:20" s="16" customFormat="1" ht="15.75" customHeight="1">
      <c r="A6" s="91" t="str">
        <f>L6&amp;M6&amp;". "&amp;N6</f>
        <v>Mục C.III.1.6. Bê tông nền 10MPa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C.III.1.</v>
      </c>
      <c r="M6" s="16">
        <v>6</v>
      </c>
      <c r="N6" s="245" t="str">
        <f>THKLQT!C178</f>
        <v>Bê tông nền 10MPa</v>
      </c>
      <c r="Q6" s="17"/>
    </row>
    <row r="7" spans="1:20" s="178" customFormat="1" ht="18.75" customHeight="1">
      <c r="A7" s="634">
        <f>I14</f>
        <v>31.1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THKLQT!D178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48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43277</v>
      </c>
      <c r="C12" s="571" t="str">
        <f>T12</f>
        <v xml:space="preserve">Bê tông nền 10MPa </v>
      </c>
      <c r="D12" s="572"/>
      <c r="E12" s="573"/>
      <c r="F12" s="2">
        <f>P12</f>
        <v>31.1</v>
      </c>
      <c r="G12" s="1">
        <f>P12</f>
        <v>31.1</v>
      </c>
      <c r="H12" s="295">
        <f>P12</f>
        <v>31.1</v>
      </c>
      <c r="I12" s="107">
        <f>P12</f>
        <v>31.1</v>
      </c>
      <c r="J12" s="107">
        <f>P12</f>
        <v>31.1</v>
      </c>
      <c r="K12" s="82"/>
      <c r="N12" s="118"/>
      <c r="O12" s="118"/>
      <c r="P12" s="88">
        <v>31.1</v>
      </c>
      <c r="Q12" s="89">
        <v>43277</v>
      </c>
      <c r="R12" s="88"/>
      <c r="S12" s="88" t="e">
        <f>VLOOKUP($S$11,hamchuigoi3,M12,0)</f>
        <v>#VALUE!</v>
      </c>
      <c r="T12" s="3" t="str">
        <f>$N$6&amp;" "&amp;O12</f>
        <v xml:space="preserve">Bê tông nền 10MPa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31.1</v>
      </c>
      <c r="G14" s="79">
        <f>ROUND(SUM(G12:G13),2)</f>
        <v>31.1</v>
      </c>
      <c r="H14" s="79">
        <f>ROUND(SUM(H12:H13),2)</f>
        <v>31.1</v>
      </c>
      <c r="I14" s="79">
        <f>ROUND(SUM(I12:I13),2)</f>
        <v>31.1</v>
      </c>
      <c r="J14" s="79">
        <f>ROUND(SUM(J12:J13),2)</f>
        <v>31.1</v>
      </c>
      <c r="K14" s="80"/>
      <c r="N14" s="118"/>
      <c r="O14" s="118"/>
      <c r="P14" s="90">
        <f>SUM(P12:P12)</f>
        <v>31.1</v>
      </c>
    </row>
    <row r="15" spans="1:20" s="175" customFormat="1" ht="18" customHeight="1" thickTop="1" thickBot="1">
      <c r="A15" s="249"/>
      <c r="B15" s="249"/>
      <c r="C15" s="249"/>
      <c r="D15" s="249"/>
      <c r="E15" s="249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49"/>
      <c r="B25" s="249"/>
      <c r="C25" s="249"/>
      <c r="D25" s="249"/>
      <c r="E25" s="249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50" t="str">
        <f>A5</f>
        <v>Hạng mục C.III.1. Mặt bằng công trường</v>
      </c>
      <c r="B31" s="251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50" t="str">
        <f>A6</f>
        <v>Mục C.III.1.6. Bê tông nền 10MPa</v>
      </c>
      <c r="B32" s="251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31.1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Bê tông nền 10MPa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Bê tông nền 10MPa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Bê tông nền 10MPa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Bê tông nền 10MPa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Bê tông nền 10MPa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Bê tông nền 10MPa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Bê tông nền 10MPa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Bê tông nền 10MPa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Bê tông nền 10MPa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Bê tông nền 10MPa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Bê tông nền 10MPa</v>
      </c>
      <c r="E47" s="568"/>
      <c r="F47" s="568"/>
      <c r="G47" s="568"/>
      <c r="H47" s="569">
        <f t="shared" si="0"/>
        <v>31.1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Bê tông nền 10MPa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Bê tông nền 10MPa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Bê tông nền 10MPa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Bê tông nền 10MPa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Bê tông nền 10MPa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Bê tông nền 10MPa</v>
      </c>
      <c r="E53" s="568"/>
      <c r="F53" s="568"/>
      <c r="G53" s="568"/>
      <c r="H53" s="569">
        <f t="shared" si="0"/>
        <v>0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Bê tông nền 10MPa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Bê tông nền 10MPa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Bê tông nền 10MPa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Bê tông nền 10MPa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Bê tông nền 10MPa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Bê tông nền 10MPa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Bê tông nền 10MPa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Bê tông nền 10MPa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Bê tông nền 10MPa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31.1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A67:E73"/>
    <mergeCell ref="F67:K73"/>
    <mergeCell ref="A63:G63"/>
    <mergeCell ref="H63:I63"/>
    <mergeCell ref="J63:K63"/>
    <mergeCell ref="A65:E65"/>
    <mergeCell ref="F65:K65"/>
    <mergeCell ref="A66:E66"/>
    <mergeCell ref="F66:K66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B62:C62"/>
    <mergeCell ref="D62:G62"/>
    <mergeCell ref="H62:I62"/>
    <mergeCell ref="J62:K62"/>
    <mergeCell ref="I9:I11"/>
    <mergeCell ref="J9:J11"/>
    <mergeCell ref="K9:K11"/>
    <mergeCell ref="C12:E12"/>
    <mergeCell ref="C13:E13"/>
    <mergeCell ref="A14:E14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78">
    <tabColor rgb="FF92D050"/>
  </sheetPr>
  <dimension ref="A1:T74"/>
  <sheetViews>
    <sheetView view="pageBreakPreview" topLeftCell="A58" zoomScaleSheetLayoutView="100" workbookViewId="0">
      <selection activeCell="A67" sqref="A67:K73"/>
    </sheetView>
  </sheetViews>
  <sheetFormatPr defaultRowHeight="15" outlineLevelRow="2"/>
  <cols>
    <col min="1" max="1" width="4.7109375" style="4" customWidth="1"/>
    <col min="2" max="2" width="10.7109375" style="12" customWidth="1"/>
    <col min="3" max="3" width="11.85546875" style="10" customWidth="1"/>
    <col min="4" max="4" width="8.7109375" style="10" customWidth="1"/>
    <col min="5" max="5" width="19.5703125" style="10" customWidth="1"/>
    <col min="6" max="9" width="9.7109375" style="13" customWidth="1"/>
    <col min="10" max="10" width="9.7109375" style="13" hidden="1" customWidth="1"/>
    <col min="11" max="11" width="10.28515625" style="4" customWidth="1"/>
    <col min="12" max="12" width="9.7109375" style="4" customWidth="1"/>
    <col min="13" max="13" width="12.85546875" style="4" customWidth="1"/>
    <col min="14" max="14" width="11.7109375" style="4" customWidth="1"/>
    <col min="15" max="15" width="10.5703125" style="4" bestFit="1" customWidth="1"/>
    <col min="16" max="16" width="10.28515625" style="4" customWidth="1"/>
    <col min="17" max="17" width="10.140625" style="5" customWidth="1"/>
    <col min="18" max="19" width="9.140625" style="4"/>
    <col min="20" max="20" width="18.42578125" style="4" customWidth="1"/>
    <col min="21" max="246" width="9.140625" style="4"/>
    <col min="247" max="247" width="6.7109375" style="4" customWidth="1"/>
    <col min="248" max="248" width="7.85546875" style="4" customWidth="1"/>
    <col min="249" max="249" width="12.140625" style="4" customWidth="1"/>
    <col min="250" max="250" width="10.28515625" style="4" customWidth="1"/>
    <col min="251" max="251" width="8.28515625" style="4" customWidth="1"/>
    <col min="252" max="252" width="8.7109375" style="4" customWidth="1"/>
    <col min="253" max="253" width="9.85546875" style="4" customWidth="1"/>
    <col min="254" max="254" width="8.85546875" style="4" customWidth="1"/>
    <col min="255" max="255" width="8.7109375" style="4" customWidth="1"/>
    <col min="256" max="256" width="9.28515625" style="4" customWidth="1"/>
    <col min="257" max="257" width="8.85546875" style="4" customWidth="1"/>
    <col min="258" max="258" width="8.7109375" style="4" customWidth="1"/>
    <col min="259" max="259" width="9.5703125" style="4" customWidth="1"/>
    <col min="260" max="260" width="8.85546875" style="4" customWidth="1"/>
    <col min="261" max="261" width="11.140625" style="4" customWidth="1"/>
    <col min="262" max="262" width="10.140625" style="4" customWidth="1"/>
    <col min="263" max="263" width="13.7109375" style="4" customWidth="1"/>
    <col min="264" max="264" width="10.140625" style="4" customWidth="1"/>
    <col min="265" max="265" width="11" style="4" customWidth="1"/>
    <col min="266" max="266" width="11.7109375" style="4" customWidth="1"/>
    <col min="267" max="267" width="12.28515625" style="4" customWidth="1"/>
    <col min="268" max="268" width="9.7109375" style="4" customWidth="1"/>
    <col min="269" max="269" width="12.85546875" style="4" customWidth="1"/>
    <col min="270" max="270" width="9.28515625" style="4" customWidth="1"/>
    <col min="271" max="502" width="9.140625" style="4"/>
    <col min="503" max="503" width="6.7109375" style="4" customWidth="1"/>
    <col min="504" max="504" width="7.85546875" style="4" customWidth="1"/>
    <col min="505" max="505" width="12.140625" style="4" customWidth="1"/>
    <col min="506" max="506" width="10.28515625" style="4" customWidth="1"/>
    <col min="507" max="507" width="8.28515625" style="4" customWidth="1"/>
    <col min="508" max="508" width="8.7109375" style="4" customWidth="1"/>
    <col min="509" max="509" width="9.85546875" style="4" customWidth="1"/>
    <col min="510" max="510" width="8.85546875" style="4" customWidth="1"/>
    <col min="511" max="511" width="8.7109375" style="4" customWidth="1"/>
    <col min="512" max="512" width="9.28515625" style="4" customWidth="1"/>
    <col min="513" max="513" width="8.85546875" style="4" customWidth="1"/>
    <col min="514" max="514" width="8.7109375" style="4" customWidth="1"/>
    <col min="515" max="515" width="9.5703125" style="4" customWidth="1"/>
    <col min="516" max="516" width="8.85546875" style="4" customWidth="1"/>
    <col min="517" max="517" width="11.140625" style="4" customWidth="1"/>
    <col min="518" max="518" width="10.140625" style="4" customWidth="1"/>
    <col min="519" max="519" width="13.7109375" style="4" customWidth="1"/>
    <col min="520" max="520" width="10.140625" style="4" customWidth="1"/>
    <col min="521" max="521" width="11" style="4" customWidth="1"/>
    <col min="522" max="522" width="11.7109375" style="4" customWidth="1"/>
    <col min="523" max="523" width="12.28515625" style="4" customWidth="1"/>
    <col min="524" max="524" width="9.7109375" style="4" customWidth="1"/>
    <col min="525" max="525" width="12.85546875" style="4" customWidth="1"/>
    <col min="526" max="526" width="9.28515625" style="4" customWidth="1"/>
    <col min="527" max="758" width="9.140625" style="4"/>
    <col min="759" max="759" width="6.7109375" style="4" customWidth="1"/>
    <col min="760" max="760" width="7.85546875" style="4" customWidth="1"/>
    <col min="761" max="761" width="12.140625" style="4" customWidth="1"/>
    <col min="762" max="762" width="10.28515625" style="4" customWidth="1"/>
    <col min="763" max="763" width="8.28515625" style="4" customWidth="1"/>
    <col min="764" max="764" width="8.7109375" style="4" customWidth="1"/>
    <col min="765" max="765" width="9.85546875" style="4" customWidth="1"/>
    <col min="766" max="766" width="8.85546875" style="4" customWidth="1"/>
    <col min="767" max="767" width="8.7109375" style="4" customWidth="1"/>
    <col min="768" max="768" width="9.28515625" style="4" customWidth="1"/>
    <col min="769" max="769" width="8.85546875" style="4" customWidth="1"/>
    <col min="770" max="770" width="8.7109375" style="4" customWidth="1"/>
    <col min="771" max="771" width="9.5703125" style="4" customWidth="1"/>
    <col min="772" max="772" width="8.85546875" style="4" customWidth="1"/>
    <col min="773" max="773" width="11.140625" style="4" customWidth="1"/>
    <col min="774" max="774" width="10.140625" style="4" customWidth="1"/>
    <col min="775" max="775" width="13.7109375" style="4" customWidth="1"/>
    <col min="776" max="776" width="10.140625" style="4" customWidth="1"/>
    <col min="777" max="777" width="11" style="4" customWidth="1"/>
    <col min="778" max="778" width="11.7109375" style="4" customWidth="1"/>
    <col min="779" max="779" width="12.28515625" style="4" customWidth="1"/>
    <col min="780" max="780" width="9.7109375" style="4" customWidth="1"/>
    <col min="781" max="781" width="12.85546875" style="4" customWidth="1"/>
    <col min="782" max="782" width="9.28515625" style="4" customWidth="1"/>
    <col min="783" max="1014" width="9.140625" style="4"/>
    <col min="1015" max="1015" width="6.7109375" style="4" customWidth="1"/>
    <col min="1016" max="1016" width="7.85546875" style="4" customWidth="1"/>
    <col min="1017" max="1017" width="12.140625" style="4" customWidth="1"/>
    <col min="1018" max="1018" width="10.28515625" style="4" customWidth="1"/>
    <col min="1019" max="1019" width="8.28515625" style="4" customWidth="1"/>
    <col min="1020" max="1020" width="8.7109375" style="4" customWidth="1"/>
    <col min="1021" max="1021" width="9.85546875" style="4" customWidth="1"/>
    <col min="1022" max="1022" width="8.85546875" style="4" customWidth="1"/>
    <col min="1023" max="1023" width="8.7109375" style="4" customWidth="1"/>
    <col min="1024" max="1024" width="9.28515625" style="4" customWidth="1"/>
    <col min="1025" max="1025" width="8.85546875" style="4" customWidth="1"/>
    <col min="1026" max="1026" width="8.7109375" style="4" customWidth="1"/>
    <col min="1027" max="1027" width="9.5703125" style="4" customWidth="1"/>
    <col min="1028" max="1028" width="8.85546875" style="4" customWidth="1"/>
    <col min="1029" max="1029" width="11.140625" style="4" customWidth="1"/>
    <col min="1030" max="1030" width="10.140625" style="4" customWidth="1"/>
    <col min="1031" max="1031" width="13.7109375" style="4" customWidth="1"/>
    <col min="1032" max="1032" width="10.140625" style="4" customWidth="1"/>
    <col min="1033" max="1033" width="11" style="4" customWidth="1"/>
    <col min="1034" max="1034" width="11.7109375" style="4" customWidth="1"/>
    <col min="1035" max="1035" width="12.28515625" style="4" customWidth="1"/>
    <col min="1036" max="1036" width="9.7109375" style="4" customWidth="1"/>
    <col min="1037" max="1037" width="12.85546875" style="4" customWidth="1"/>
    <col min="1038" max="1038" width="9.28515625" style="4" customWidth="1"/>
    <col min="1039" max="1270" width="9.140625" style="4"/>
    <col min="1271" max="1271" width="6.7109375" style="4" customWidth="1"/>
    <col min="1272" max="1272" width="7.85546875" style="4" customWidth="1"/>
    <col min="1273" max="1273" width="12.140625" style="4" customWidth="1"/>
    <col min="1274" max="1274" width="10.28515625" style="4" customWidth="1"/>
    <col min="1275" max="1275" width="8.28515625" style="4" customWidth="1"/>
    <col min="1276" max="1276" width="8.7109375" style="4" customWidth="1"/>
    <col min="1277" max="1277" width="9.85546875" style="4" customWidth="1"/>
    <col min="1278" max="1278" width="8.85546875" style="4" customWidth="1"/>
    <col min="1279" max="1279" width="8.7109375" style="4" customWidth="1"/>
    <col min="1280" max="1280" width="9.28515625" style="4" customWidth="1"/>
    <col min="1281" max="1281" width="8.85546875" style="4" customWidth="1"/>
    <col min="1282" max="1282" width="8.7109375" style="4" customWidth="1"/>
    <col min="1283" max="1283" width="9.5703125" style="4" customWidth="1"/>
    <col min="1284" max="1284" width="8.85546875" style="4" customWidth="1"/>
    <col min="1285" max="1285" width="11.140625" style="4" customWidth="1"/>
    <col min="1286" max="1286" width="10.140625" style="4" customWidth="1"/>
    <col min="1287" max="1287" width="13.7109375" style="4" customWidth="1"/>
    <col min="1288" max="1288" width="10.140625" style="4" customWidth="1"/>
    <col min="1289" max="1289" width="11" style="4" customWidth="1"/>
    <col min="1290" max="1290" width="11.7109375" style="4" customWidth="1"/>
    <col min="1291" max="1291" width="12.28515625" style="4" customWidth="1"/>
    <col min="1292" max="1292" width="9.7109375" style="4" customWidth="1"/>
    <col min="1293" max="1293" width="12.85546875" style="4" customWidth="1"/>
    <col min="1294" max="1294" width="9.28515625" style="4" customWidth="1"/>
    <col min="1295" max="1526" width="9.140625" style="4"/>
    <col min="1527" max="1527" width="6.7109375" style="4" customWidth="1"/>
    <col min="1528" max="1528" width="7.85546875" style="4" customWidth="1"/>
    <col min="1529" max="1529" width="12.140625" style="4" customWidth="1"/>
    <col min="1530" max="1530" width="10.28515625" style="4" customWidth="1"/>
    <col min="1531" max="1531" width="8.28515625" style="4" customWidth="1"/>
    <col min="1532" max="1532" width="8.7109375" style="4" customWidth="1"/>
    <col min="1533" max="1533" width="9.85546875" style="4" customWidth="1"/>
    <col min="1534" max="1534" width="8.85546875" style="4" customWidth="1"/>
    <col min="1535" max="1535" width="8.7109375" style="4" customWidth="1"/>
    <col min="1536" max="1536" width="9.28515625" style="4" customWidth="1"/>
    <col min="1537" max="1537" width="8.85546875" style="4" customWidth="1"/>
    <col min="1538" max="1538" width="8.7109375" style="4" customWidth="1"/>
    <col min="1539" max="1539" width="9.5703125" style="4" customWidth="1"/>
    <col min="1540" max="1540" width="8.85546875" style="4" customWidth="1"/>
    <col min="1541" max="1541" width="11.140625" style="4" customWidth="1"/>
    <col min="1542" max="1542" width="10.140625" style="4" customWidth="1"/>
    <col min="1543" max="1543" width="13.7109375" style="4" customWidth="1"/>
    <col min="1544" max="1544" width="10.140625" style="4" customWidth="1"/>
    <col min="1545" max="1545" width="11" style="4" customWidth="1"/>
    <col min="1546" max="1546" width="11.7109375" style="4" customWidth="1"/>
    <col min="1547" max="1547" width="12.28515625" style="4" customWidth="1"/>
    <col min="1548" max="1548" width="9.7109375" style="4" customWidth="1"/>
    <col min="1549" max="1549" width="12.85546875" style="4" customWidth="1"/>
    <col min="1550" max="1550" width="9.28515625" style="4" customWidth="1"/>
    <col min="1551" max="1782" width="9.140625" style="4"/>
    <col min="1783" max="1783" width="6.7109375" style="4" customWidth="1"/>
    <col min="1784" max="1784" width="7.85546875" style="4" customWidth="1"/>
    <col min="1785" max="1785" width="12.140625" style="4" customWidth="1"/>
    <col min="1786" max="1786" width="10.28515625" style="4" customWidth="1"/>
    <col min="1787" max="1787" width="8.28515625" style="4" customWidth="1"/>
    <col min="1788" max="1788" width="8.7109375" style="4" customWidth="1"/>
    <col min="1789" max="1789" width="9.85546875" style="4" customWidth="1"/>
    <col min="1790" max="1790" width="8.85546875" style="4" customWidth="1"/>
    <col min="1791" max="1791" width="8.7109375" style="4" customWidth="1"/>
    <col min="1792" max="1792" width="9.28515625" style="4" customWidth="1"/>
    <col min="1793" max="1793" width="8.85546875" style="4" customWidth="1"/>
    <col min="1794" max="1794" width="8.7109375" style="4" customWidth="1"/>
    <col min="1795" max="1795" width="9.5703125" style="4" customWidth="1"/>
    <col min="1796" max="1796" width="8.85546875" style="4" customWidth="1"/>
    <col min="1797" max="1797" width="11.140625" style="4" customWidth="1"/>
    <col min="1798" max="1798" width="10.140625" style="4" customWidth="1"/>
    <col min="1799" max="1799" width="13.7109375" style="4" customWidth="1"/>
    <col min="1800" max="1800" width="10.140625" style="4" customWidth="1"/>
    <col min="1801" max="1801" width="11" style="4" customWidth="1"/>
    <col min="1802" max="1802" width="11.7109375" style="4" customWidth="1"/>
    <col min="1803" max="1803" width="12.28515625" style="4" customWidth="1"/>
    <col min="1804" max="1804" width="9.7109375" style="4" customWidth="1"/>
    <col min="1805" max="1805" width="12.85546875" style="4" customWidth="1"/>
    <col min="1806" max="1806" width="9.28515625" style="4" customWidth="1"/>
    <col min="1807" max="2038" width="9.140625" style="4"/>
    <col min="2039" max="2039" width="6.7109375" style="4" customWidth="1"/>
    <col min="2040" max="2040" width="7.85546875" style="4" customWidth="1"/>
    <col min="2041" max="2041" width="12.140625" style="4" customWidth="1"/>
    <col min="2042" max="2042" width="10.28515625" style="4" customWidth="1"/>
    <col min="2043" max="2043" width="8.28515625" style="4" customWidth="1"/>
    <col min="2044" max="2044" width="8.7109375" style="4" customWidth="1"/>
    <col min="2045" max="2045" width="9.85546875" style="4" customWidth="1"/>
    <col min="2046" max="2046" width="8.85546875" style="4" customWidth="1"/>
    <col min="2047" max="2047" width="8.7109375" style="4" customWidth="1"/>
    <col min="2048" max="2048" width="9.28515625" style="4" customWidth="1"/>
    <col min="2049" max="2049" width="8.85546875" style="4" customWidth="1"/>
    <col min="2050" max="2050" width="8.7109375" style="4" customWidth="1"/>
    <col min="2051" max="2051" width="9.5703125" style="4" customWidth="1"/>
    <col min="2052" max="2052" width="8.85546875" style="4" customWidth="1"/>
    <col min="2053" max="2053" width="11.140625" style="4" customWidth="1"/>
    <col min="2054" max="2054" width="10.140625" style="4" customWidth="1"/>
    <col min="2055" max="2055" width="13.7109375" style="4" customWidth="1"/>
    <col min="2056" max="2056" width="10.140625" style="4" customWidth="1"/>
    <col min="2057" max="2057" width="11" style="4" customWidth="1"/>
    <col min="2058" max="2058" width="11.7109375" style="4" customWidth="1"/>
    <col min="2059" max="2059" width="12.28515625" style="4" customWidth="1"/>
    <col min="2060" max="2060" width="9.7109375" style="4" customWidth="1"/>
    <col min="2061" max="2061" width="12.85546875" style="4" customWidth="1"/>
    <col min="2062" max="2062" width="9.28515625" style="4" customWidth="1"/>
    <col min="2063" max="2294" width="9.140625" style="4"/>
    <col min="2295" max="2295" width="6.7109375" style="4" customWidth="1"/>
    <col min="2296" max="2296" width="7.85546875" style="4" customWidth="1"/>
    <col min="2297" max="2297" width="12.140625" style="4" customWidth="1"/>
    <col min="2298" max="2298" width="10.28515625" style="4" customWidth="1"/>
    <col min="2299" max="2299" width="8.28515625" style="4" customWidth="1"/>
    <col min="2300" max="2300" width="8.7109375" style="4" customWidth="1"/>
    <col min="2301" max="2301" width="9.85546875" style="4" customWidth="1"/>
    <col min="2302" max="2302" width="8.85546875" style="4" customWidth="1"/>
    <col min="2303" max="2303" width="8.7109375" style="4" customWidth="1"/>
    <col min="2304" max="2304" width="9.28515625" style="4" customWidth="1"/>
    <col min="2305" max="2305" width="8.85546875" style="4" customWidth="1"/>
    <col min="2306" max="2306" width="8.7109375" style="4" customWidth="1"/>
    <col min="2307" max="2307" width="9.5703125" style="4" customWidth="1"/>
    <col min="2308" max="2308" width="8.85546875" style="4" customWidth="1"/>
    <col min="2309" max="2309" width="11.140625" style="4" customWidth="1"/>
    <col min="2310" max="2310" width="10.140625" style="4" customWidth="1"/>
    <col min="2311" max="2311" width="13.7109375" style="4" customWidth="1"/>
    <col min="2312" max="2312" width="10.140625" style="4" customWidth="1"/>
    <col min="2313" max="2313" width="11" style="4" customWidth="1"/>
    <col min="2314" max="2314" width="11.7109375" style="4" customWidth="1"/>
    <col min="2315" max="2315" width="12.28515625" style="4" customWidth="1"/>
    <col min="2316" max="2316" width="9.7109375" style="4" customWidth="1"/>
    <col min="2317" max="2317" width="12.85546875" style="4" customWidth="1"/>
    <col min="2318" max="2318" width="9.28515625" style="4" customWidth="1"/>
    <col min="2319" max="2550" width="9.140625" style="4"/>
    <col min="2551" max="2551" width="6.7109375" style="4" customWidth="1"/>
    <col min="2552" max="2552" width="7.85546875" style="4" customWidth="1"/>
    <col min="2553" max="2553" width="12.140625" style="4" customWidth="1"/>
    <col min="2554" max="2554" width="10.28515625" style="4" customWidth="1"/>
    <col min="2555" max="2555" width="8.28515625" style="4" customWidth="1"/>
    <col min="2556" max="2556" width="8.7109375" style="4" customWidth="1"/>
    <col min="2557" max="2557" width="9.85546875" style="4" customWidth="1"/>
    <col min="2558" max="2558" width="8.85546875" style="4" customWidth="1"/>
    <col min="2559" max="2559" width="8.7109375" style="4" customWidth="1"/>
    <col min="2560" max="2560" width="9.28515625" style="4" customWidth="1"/>
    <col min="2561" max="2561" width="8.85546875" style="4" customWidth="1"/>
    <col min="2562" max="2562" width="8.7109375" style="4" customWidth="1"/>
    <col min="2563" max="2563" width="9.5703125" style="4" customWidth="1"/>
    <col min="2564" max="2564" width="8.85546875" style="4" customWidth="1"/>
    <col min="2565" max="2565" width="11.140625" style="4" customWidth="1"/>
    <col min="2566" max="2566" width="10.140625" style="4" customWidth="1"/>
    <col min="2567" max="2567" width="13.7109375" style="4" customWidth="1"/>
    <col min="2568" max="2568" width="10.140625" style="4" customWidth="1"/>
    <col min="2569" max="2569" width="11" style="4" customWidth="1"/>
    <col min="2570" max="2570" width="11.7109375" style="4" customWidth="1"/>
    <col min="2571" max="2571" width="12.28515625" style="4" customWidth="1"/>
    <col min="2572" max="2572" width="9.7109375" style="4" customWidth="1"/>
    <col min="2573" max="2573" width="12.85546875" style="4" customWidth="1"/>
    <col min="2574" max="2574" width="9.28515625" style="4" customWidth="1"/>
    <col min="2575" max="2806" width="9.140625" style="4"/>
    <col min="2807" max="2807" width="6.7109375" style="4" customWidth="1"/>
    <col min="2808" max="2808" width="7.85546875" style="4" customWidth="1"/>
    <col min="2809" max="2809" width="12.140625" style="4" customWidth="1"/>
    <col min="2810" max="2810" width="10.28515625" style="4" customWidth="1"/>
    <col min="2811" max="2811" width="8.28515625" style="4" customWidth="1"/>
    <col min="2812" max="2812" width="8.7109375" style="4" customWidth="1"/>
    <col min="2813" max="2813" width="9.85546875" style="4" customWidth="1"/>
    <col min="2814" max="2814" width="8.85546875" style="4" customWidth="1"/>
    <col min="2815" max="2815" width="8.7109375" style="4" customWidth="1"/>
    <col min="2816" max="2816" width="9.28515625" style="4" customWidth="1"/>
    <col min="2817" max="2817" width="8.85546875" style="4" customWidth="1"/>
    <col min="2818" max="2818" width="8.7109375" style="4" customWidth="1"/>
    <col min="2819" max="2819" width="9.5703125" style="4" customWidth="1"/>
    <col min="2820" max="2820" width="8.85546875" style="4" customWidth="1"/>
    <col min="2821" max="2821" width="11.140625" style="4" customWidth="1"/>
    <col min="2822" max="2822" width="10.140625" style="4" customWidth="1"/>
    <col min="2823" max="2823" width="13.7109375" style="4" customWidth="1"/>
    <col min="2824" max="2824" width="10.140625" style="4" customWidth="1"/>
    <col min="2825" max="2825" width="11" style="4" customWidth="1"/>
    <col min="2826" max="2826" width="11.7109375" style="4" customWidth="1"/>
    <col min="2827" max="2827" width="12.28515625" style="4" customWidth="1"/>
    <col min="2828" max="2828" width="9.7109375" style="4" customWidth="1"/>
    <col min="2829" max="2829" width="12.85546875" style="4" customWidth="1"/>
    <col min="2830" max="2830" width="9.28515625" style="4" customWidth="1"/>
    <col min="2831" max="3062" width="9.140625" style="4"/>
    <col min="3063" max="3063" width="6.7109375" style="4" customWidth="1"/>
    <col min="3064" max="3064" width="7.85546875" style="4" customWidth="1"/>
    <col min="3065" max="3065" width="12.140625" style="4" customWidth="1"/>
    <col min="3066" max="3066" width="10.28515625" style="4" customWidth="1"/>
    <col min="3067" max="3067" width="8.28515625" style="4" customWidth="1"/>
    <col min="3068" max="3068" width="8.7109375" style="4" customWidth="1"/>
    <col min="3069" max="3069" width="9.85546875" style="4" customWidth="1"/>
    <col min="3070" max="3070" width="8.85546875" style="4" customWidth="1"/>
    <col min="3071" max="3071" width="8.7109375" style="4" customWidth="1"/>
    <col min="3072" max="3072" width="9.28515625" style="4" customWidth="1"/>
    <col min="3073" max="3073" width="8.85546875" style="4" customWidth="1"/>
    <col min="3074" max="3074" width="8.7109375" style="4" customWidth="1"/>
    <col min="3075" max="3075" width="9.5703125" style="4" customWidth="1"/>
    <col min="3076" max="3076" width="8.85546875" style="4" customWidth="1"/>
    <col min="3077" max="3077" width="11.140625" style="4" customWidth="1"/>
    <col min="3078" max="3078" width="10.140625" style="4" customWidth="1"/>
    <col min="3079" max="3079" width="13.7109375" style="4" customWidth="1"/>
    <col min="3080" max="3080" width="10.140625" style="4" customWidth="1"/>
    <col min="3081" max="3081" width="11" style="4" customWidth="1"/>
    <col min="3082" max="3082" width="11.7109375" style="4" customWidth="1"/>
    <col min="3083" max="3083" width="12.28515625" style="4" customWidth="1"/>
    <col min="3084" max="3084" width="9.7109375" style="4" customWidth="1"/>
    <col min="3085" max="3085" width="12.85546875" style="4" customWidth="1"/>
    <col min="3086" max="3086" width="9.28515625" style="4" customWidth="1"/>
    <col min="3087" max="3318" width="9.140625" style="4"/>
    <col min="3319" max="3319" width="6.7109375" style="4" customWidth="1"/>
    <col min="3320" max="3320" width="7.85546875" style="4" customWidth="1"/>
    <col min="3321" max="3321" width="12.140625" style="4" customWidth="1"/>
    <col min="3322" max="3322" width="10.28515625" style="4" customWidth="1"/>
    <col min="3323" max="3323" width="8.28515625" style="4" customWidth="1"/>
    <col min="3324" max="3324" width="8.7109375" style="4" customWidth="1"/>
    <col min="3325" max="3325" width="9.85546875" style="4" customWidth="1"/>
    <col min="3326" max="3326" width="8.85546875" style="4" customWidth="1"/>
    <col min="3327" max="3327" width="8.7109375" style="4" customWidth="1"/>
    <col min="3328" max="3328" width="9.28515625" style="4" customWidth="1"/>
    <col min="3329" max="3329" width="8.85546875" style="4" customWidth="1"/>
    <col min="3330" max="3330" width="8.7109375" style="4" customWidth="1"/>
    <col min="3331" max="3331" width="9.5703125" style="4" customWidth="1"/>
    <col min="3332" max="3332" width="8.85546875" style="4" customWidth="1"/>
    <col min="3333" max="3333" width="11.140625" style="4" customWidth="1"/>
    <col min="3334" max="3334" width="10.140625" style="4" customWidth="1"/>
    <col min="3335" max="3335" width="13.7109375" style="4" customWidth="1"/>
    <col min="3336" max="3336" width="10.140625" style="4" customWidth="1"/>
    <col min="3337" max="3337" width="11" style="4" customWidth="1"/>
    <col min="3338" max="3338" width="11.7109375" style="4" customWidth="1"/>
    <col min="3339" max="3339" width="12.28515625" style="4" customWidth="1"/>
    <col min="3340" max="3340" width="9.7109375" style="4" customWidth="1"/>
    <col min="3341" max="3341" width="12.85546875" style="4" customWidth="1"/>
    <col min="3342" max="3342" width="9.28515625" style="4" customWidth="1"/>
    <col min="3343" max="3574" width="9.140625" style="4"/>
    <col min="3575" max="3575" width="6.7109375" style="4" customWidth="1"/>
    <col min="3576" max="3576" width="7.85546875" style="4" customWidth="1"/>
    <col min="3577" max="3577" width="12.140625" style="4" customWidth="1"/>
    <col min="3578" max="3578" width="10.28515625" style="4" customWidth="1"/>
    <col min="3579" max="3579" width="8.28515625" style="4" customWidth="1"/>
    <col min="3580" max="3580" width="8.7109375" style="4" customWidth="1"/>
    <col min="3581" max="3581" width="9.85546875" style="4" customWidth="1"/>
    <col min="3582" max="3582" width="8.85546875" style="4" customWidth="1"/>
    <col min="3583" max="3583" width="8.7109375" style="4" customWidth="1"/>
    <col min="3584" max="3584" width="9.28515625" style="4" customWidth="1"/>
    <col min="3585" max="3585" width="8.85546875" style="4" customWidth="1"/>
    <col min="3586" max="3586" width="8.7109375" style="4" customWidth="1"/>
    <col min="3587" max="3587" width="9.5703125" style="4" customWidth="1"/>
    <col min="3588" max="3588" width="8.85546875" style="4" customWidth="1"/>
    <col min="3589" max="3589" width="11.140625" style="4" customWidth="1"/>
    <col min="3590" max="3590" width="10.140625" style="4" customWidth="1"/>
    <col min="3591" max="3591" width="13.7109375" style="4" customWidth="1"/>
    <col min="3592" max="3592" width="10.140625" style="4" customWidth="1"/>
    <col min="3593" max="3593" width="11" style="4" customWidth="1"/>
    <col min="3594" max="3594" width="11.7109375" style="4" customWidth="1"/>
    <col min="3595" max="3595" width="12.28515625" style="4" customWidth="1"/>
    <col min="3596" max="3596" width="9.7109375" style="4" customWidth="1"/>
    <col min="3597" max="3597" width="12.85546875" style="4" customWidth="1"/>
    <col min="3598" max="3598" width="9.28515625" style="4" customWidth="1"/>
    <col min="3599" max="3830" width="9.140625" style="4"/>
    <col min="3831" max="3831" width="6.7109375" style="4" customWidth="1"/>
    <col min="3832" max="3832" width="7.85546875" style="4" customWidth="1"/>
    <col min="3833" max="3833" width="12.140625" style="4" customWidth="1"/>
    <col min="3834" max="3834" width="10.28515625" style="4" customWidth="1"/>
    <col min="3835" max="3835" width="8.28515625" style="4" customWidth="1"/>
    <col min="3836" max="3836" width="8.7109375" style="4" customWidth="1"/>
    <col min="3837" max="3837" width="9.85546875" style="4" customWidth="1"/>
    <col min="3838" max="3838" width="8.85546875" style="4" customWidth="1"/>
    <col min="3839" max="3839" width="8.7109375" style="4" customWidth="1"/>
    <col min="3840" max="3840" width="9.28515625" style="4" customWidth="1"/>
    <col min="3841" max="3841" width="8.85546875" style="4" customWidth="1"/>
    <col min="3842" max="3842" width="8.7109375" style="4" customWidth="1"/>
    <col min="3843" max="3843" width="9.5703125" style="4" customWidth="1"/>
    <col min="3844" max="3844" width="8.85546875" style="4" customWidth="1"/>
    <col min="3845" max="3845" width="11.140625" style="4" customWidth="1"/>
    <col min="3846" max="3846" width="10.140625" style="4" customWidth="1"/>
    <col min="3847" max="3847" width="13.7109375" style="4" customWidth="1"/>
    <col min="3848" max="3848" width="10.140625" style="4" customWidth="1"/>
    <col min="3849" max="3849" width="11" style="4" customWidth="1"/>
    <col min="3850" max="3850" width="11.7109375" style="4" customWidth="1"/>
    <col min="3851" max="3851" width="12.28515625" style="4" customWidth="1"/>
    <col min="3852" max="3852" width="9.7109375" style="4" customWidth="1"/>
    <col min="3853" max="3853" width="12.85546875" style="4" customWidth="1"/>
    <col min="3854" max="3854" width="9.28515625" style="4" customWidth="1"/>
    <col min="3855" max="4086" width="9.140625" style="4"/>
    <col min="4087" max="4087" width="6.7109375" style="4" customWidth="1"/>
    <col min="4088" max="4088" width="7.85546875" style="4" customWidth="1"/>
    <col min="4089" max="4089" width="12.140625" style="4" customWidth="1"/>
    <col min="4090" max="4090" width="10.28515625" style="4" customWidth="1"/>
    <col min="4091" max="4091" width="8.28515625" style="4" customWidth="1"/>
    <col min="4092" max="4092" width="8.7109375" style="4" customWidth="1"/>
    <col min="4093" max="4093" width="9.85546875" style="4" customWidth="1"/>
    <col min="4094" max="4094" width="8.85546875" style="4" customWidth="1"/>
    <col min="4095" max="4095" width="8.7109375" style="4" customWidth="1"/>
    <col min="4096" max="4096" width="9.28515625" style="4" customWidth="1"/>
    <col min="4097" max="4097" width="8.85546875" style="4" customWidth="1"/>
    <col min="4098" max="4098" width="8.7109375" style="4" customWidth="1"/>
    <col min="4099" max="4099" width="9.5703125" style="4" customWidth="1"/>
    <col min="4100" max="4100" width="8.85546875" style="4" customWidth="1"/>
    <col min="4101" max="4101" width="11.140625" style="4" customWidth="1"/>
    <col min="4102" max="4102" width="10.140625" style="4" customWidth="1"/>
    <col min="4103" max="4103" width="13.7109375" style="4" customWidth="1"/>
    <col min="4104" max="4104" width="10.140625" style="4" customWidth="1"/>
    <col min="4105" max="4105" width="11" style="4" customWidth="1"/>
    <col min="4106" max="4106" width="11.7109375" style="4" customWidth="1"/>
    <col min="4107" max="4107" width="12.28515625" style="4" customWidth="1"/>
    <col min="4108" max="4108" width="9.7109375" style="4" customWidth="1"/>
    <col min="4109" max="4109" width="12.85546875" style="4" customWidth="1"/>
    <col min="4110" max="4110" width="9.28515625" style="4" customWidth="1"/>
    <col min="4111" max="4342" width="9.140625" style="4"/>
    <col min="4343" max="4343" width="6.7109375" style="4" customWidth="1"/>
    <col min="4344" max="4344" width="7.85546875" style="4" customWidth="1"/>
    <col min="4345" max="4345" width="12.140625" style="4" customWidth="1"/>
    <col min="4346" max="4346" width="10.28515625" style="4" customWidth="1"/>
    <col min="4347" max="4347" width="8.28515625" style="4" customWidth="1"/>
    <col min="4348" max="4348" width="8.7109375" style="4" customWidth="1"/>
    <col min="4349" max="4349" width="9.85546875" style="4" customWidth="1"/>
    <col min="4350" max="4350" width="8.85546875" style="4" customWidth="1"/>
    <col min="4351" max="4351" width="8.7109375" style="4" customWidth="1"/>
    <col min="4352" max="4352" width="9.28515625" style="4" customWidth="1"/>
    <col min="4353" max="4353" width="8.85546875" style="4" customWidth="1"/>
    <col min="4354" max="4354" width="8.7109375" style="4" customWidth="1"/>
    <col min="4355" max="4355" width="9.5703125" style="4" customWidth="1"/>
    <col min="4356" max="4356" width="8.85546875" style="4" customWidth="1"/>
    <col min="4357" max="4357" width="11.140625" style="4" customWidth="1"/>
    <col min="4358" max="4358" width="10.140625" style="4" customWidth="1"/>
    <col min="4359" max="4359" width="13.7109375" style="4" customWidth="1"/>
    <col min="4360" max="4360" width="10.140625" style="4" customWidth="1"/>
    <col min="4361" max="4361" width="11" style="4" customWidth="1"/>
    <col min="4362" max="4362" width="11.7109375" style="4" customWidth="1"/>
    <col min="4363" max="4363" width="12.28515625" style="4" customWidth="1"/>
    <col min="4364" max="4364" width="9.7109375" style="4" customWidth="1"/>
    <col min="4365" max="4365" width="12.85546875" style="4" customWidth="1"/>
    <col min="4366" max="4366" width="9.28515625" style="4" customWidth="1"/>
    <col min="4367" max="4598" width="9.140625" style="4"/>
    <col min="4599" max="4599" width="6.7109375" style="4" customWidth="1"/>
    <col min="4600" max="4600" width="7.85546875" style="4" customWidth="1"/>
    <col min="4601" max="4601" width="12.140625" style="4" customWidth="1"/>
    <col min="4602" max="4602" width="10.28515625" style="4" customWidth="1"/>
    <col min="4603" max="4603" width="8.28515625" style="4" customWidth="1"/>
    <col min="4604" max="4604" width="8.7109375" style="4" customWidth="1"/>
    <col min="4605" max="4605" width="9.85546875" style="4" customWidth="1"/>
    <col min="4606" max="4606" width="8.85546875" style="4" customWidth="1"/>
    <col min="4607" max="4607" width="8.7109375" style="4" customWidth="1"/>
    <col min="4608" max="4608" width="9.28515625" style="4" customWidth="1"/>
    <col min="4609" max="4609" width="8.85546875" style="4" customWidth="1"/>
    <col min="4610" max="4610" width="8.7109375" style="4" customWidth="1"/>
    <col min="4611" max="4611" width="9.5703125" style="4" customWidth="1"/>
    <col min="4612" max="4612" width="8.85546875" style="4" customWidth="1"/>
    <col min="4613" max="4613" width="11.140625" style="4" customWidth="1"/>
    <col min="4614" max="4614" width="10.140625" style="4" customWidth="1"/>
    <col min="4615" max="4615" width="13.7109375" style="4" customWidth="1"/>
    <col min="4616" max="4616" width="10.140625" style="4" customWidth="1"/>
    <col min="4617" max="4617" width="11" style="4" customWidth="1"/>
    <col min="4618" max="4618" width="11.7109375" style="4" customWidth="1"/>
    <col min="4619" max="4619" width="12.28515625" style="4" customWidth="1"/>
    <col min="4620" max="4620" width="9.7109375" style="4" customWidth="1"/>
    <col min="4621" max="4621" width="12.85546875" style="4" customWidth="1"/>
    <col min="4622" max="4622" width="9.28515625" style="4" customWidth="1"/>
    <col min="4623" max="4854" width="9.140625" style="4"/>
    <col min="4855" max="4855" width="6.7109375" style="4" customWidth="1"/>
    <col min="4856" max="4856" width="7.85546875" style="4" customWidth="1"/>
    <col min="4857" max="4857" width="12.140625" style="4" customWidth="1"/>
    <col min="4858" max="4858" width="10.28515625" style="4" customWidth="1"/>
    <col min="4859" max="4859" width="8.28515625" style="4" customWidth="1"/>
    <col min="4860" max="4860" width="8.7109375" style="4" customWidth="1"/>
    <col min="4861" max="4861" width="9.85546875" style="4" customWidth="1"/>
    <col min="4862" max="4862" width="8.85546875" style="4" customWidth="1"/>
    <col min="4863" max="4863" width="8.7109375" style="4" customWidth="1"/>
    <col min="4864" max="4864" width="9.28515625" style="4" customWidth="1"/>
    <col min="4865" max="4865" width="8.85546875" style="4" customWidth="1"/>
    <col min="4866" max="4866" width="8.7109375" style="4" customWidth="1"/>
    <col min="4867" max="4867" width="9.5703125" style="4" customWidth="1"/>
    <col min="4868" max="4868" width="8.85546875" style="4" customWidth="1"/>
    <col min="4869" max="4869" width="11.140625" style="4" customWidth="1"/>
    <col min="4870" max="4870" width="10.140625" style="4" customWidth="1"/>
    <col min="4871" max="4871" width="13.7109375" style="4" customWidth="1"/>
    <col min="4872" max="4872" width="10.140625" style="4" customWidth="1"/>
    <col min="4873" max="4873" width="11" style="4" customWidth="1"/>
    <col min="4874" max="4874" width="11.7109375" style="4" customWidth="1"/>
    <col min="4875" max="4875" width="12.28515625" style="4" customWidth="1"/>
    <col min="4876" max="4876" width="9.7109375" style="4" customWidth="1"/>
    <col min="4877" max="4877" width="12.85546875" style="4" customWidth="1"/>
    <col min="4878" max="4878" width="9.28515625" style="4" customWidth="1"/>
    <col min="4879" max="5110" width="9.140625" style="4"/>
    <col min="5111" max="5111" width="6.7109375" style="4" customWidth="1"/>
    <col min="5112" max="5112" width="7.85546875" style="4" customWidth="1"/>
    <col min="5113" max="5113" width="12.140625" style="4" customWidth="1"/>
    <col min="5114" max="5114" width="10.28515625" style="4" customWidth="1"/>
    <col min="5115" max="5115" width="8.28515625" style="4" customWidth="1"/>
    <col min="5116" max="5116" width="8.7109375" style="4" customWidth="1"/>
    <col min="5117" max="5117" width="9.85546875" style="4" customWidth="1"/>
    <col min="5118" max="5118" width="8.85546875" style="4" customWidth="1"/>
    <col min="5119" max="5119" width="8.7109375" style="4" customWidth="1"/>
    <col min="5120" max="5120" width="9.28515625" style="4" customWidth="1"/>
    <col min="5121" max="5121" width="8.85546875" style="4" customWidth="1"/>
    <col min="5122" max="5122" width="8.7109375" style="4" customWidth="1"/>
    <col min="5123" max="5123" width="9.5703125" style="4" customWidth="1"/>
    <col min="5124" max="5124" width="8.85546875" style="4" customWidth="1"/>
    <col min="5125" max="5125" width="11.140625" style="4" customWidth="1"/>
    <col min="5126" max="5126" width="10.140625" style="4" customWidth="1"/>
    <col min="5127" max="5127" width="13.7109375" style="4" customWidth="1"/>
    <col min="5128" max="5128" width="10.140625" style="4" customWidth="1"/>
    <col min="5129" max="5129" width="11" style="4" customWidth="1"/>
    <col min="5130" max="5130" width="11.7109375" style="4" customWidth="1"/>
    <col min="5131" max="5131" width="12.28515625" style="4" customWidth="1"/>
    <col min="5132" max="5132" width="9.7109375" style="4" customWidth="1"/>
    <col min="5133" max="5133" width="12.85546875" style="4" customWidth="1"/>
    <col min="5134" max="5134" width="9.28515625" style="4" customWidth="1"/>
    <col min="5135" max="5366" width="9.140625" style="4"/>
    <col min="5367" max="5367" width="6.7109375" style="4" customWidth="1"/>
    <col min="5368" max="5368" width="7.85546875" style="4" customWidth="1"/>
    <col min="5369" max="5369" width="12.140625" style="4" customWidth="1"/>
    <col min="5370" max="5370" width="10.28515625" style="4" customWidth="1"/>
    <col min="5371" max="5371" width="8.28515625" style="4" customWidth="1"/>
    <col min="5372" max="5372" width="8.7109375" style="4" customWidth="1"/>
    <col min="5373" max="5373" width="9.85546875" style="4" customWidth="1"/>
    <col min="5374" max="5374" width="8.85546875" style="4" customWidth="1"/>
    <col min="5375" max="5375" width="8.7109375" style="4" customWidth="1"/>
    <col min="5376" max="5376" width="9.28515625" style="4" customWidth="1"/>
    <col min="5377" max="5377" width="8.85546875" style="4" customWidth="1"/>
    <col min="5378" max="5378" width="8.7109375" style="4" customWidth="1"/>
    <col min="5379" max="5379" width="9.5703125" style="4" customWidth="1"/>
    <col min="5380" max="5380" width="8.85546875" style="4" customWidth="1"/>
    <col min="5381" max="5381" width="11.140625" style="4" customWidth="1"/>
    <col min="5382" max="5382" width="10.140625" style="4" customWidth="1"/>
    <col min="5383" max="5383" width="13.7109375" style="4" customWidth="1"/>
    <col min="5384" max="5384" width="10.140625" style="4" customWidth="1"/>
    <col min="5385" max="5385" width="11" style="4" customWidth="1"/>
    <col min="5386" max="5386" width="11.7109375" style="4" customWidth="1"/>
    <col min="5387" max="5387" width="12.28515625" style="4" customWidth="1"/>
    <col min="5388" max="5388" width="9.7109375" style="4" customWidth="1"/>
    <col min="5389" max="5389" width="12.85546875" style="4" customWidth="1"/>
    <col min="5390" max="5390" width="9.28515625" style="4" customWidth="1"/>
    <col min="5391" max="5622" width="9.140625" style="4"/>
    <col min="5623" max="5623" width="6.7109375" style="4" customWidth="1"/>
    <col min="5624" max="5624" width="7.85546875" style="4" customWidth="1"/>
    <col min="5625" max="5625" width="12.140625" style="4" customWidth="1"/>
    <col min="5626" max="5626" width="10.28515625" style="4" customWidth="1"/>
    <col min="5627" max="5627" width="8.28515625" style="4" customWidth="1"/>
    <col min="5628" max="5628" width="8.7109375" style="4" customWidth="1"/>
    <col min="5629" max="5629" width="9.85546875" style="4" customWidth="1"/>
    <col min="5630" max="5630" width="8.85546875" style="4" customWidth="1"/>
    <col min="5631" max="5631" width="8.7109375" style="4" customWidth="1"/>
    <col min="5632" max="5632" width="9.28515625" style="4" customWidth="1"/>
    <col min="5633" max="5633" width="8.85546875" style="4" customWidth="1"/>
    <col min="5634" max="5634" width="8.7109375" style="4" customWidth="1"/>
    <col min="5635" max="5635" width="9.5703125" style="4" customWidth="1"/>
    <col min="5636" max="5636" width="8.85546875" style="4" customWidth="1"/>
    <col min="5637" max="5637" width="11.140625" style="4" customWidth="1"/>
    <col min="5638" max="5638" width="10.140625" style="4" customWidth="1"/>
    <col min="5639" max="5639" width="13.7109375" style="4" customWidth="1"/>
    <col min="5640" max="5640" width="10.140625" style="4" customWidth="1"/>
    <col min="5641" max="5641" width="11" style="4" customWidth="1"/>
    <col min="5642" max="5642" width="11.7109375" style="4" customWidth="1"/>
    <col min="5643" max="5643" width="12.28515625" style="4" customWidth="1"/>
    <col min="5644" max="5644" width="9.7109375" style="4" customWidth="1"/>
    <col min="5645" max="5645" width="12.85546875" style="4" customWidth="1"/>
    <col min="5646" max="5646" width="9.28515625" style="4" customWidth="1"/>
    <col min="5647" max="5878" width="9.140625" style="4"/>
    <col min="5879" max="5879" width="6.7109375" style="4" customWidth="1"/>
    <col min="5880" max="5880" width="7.85546875" style="4" customWidth="1"/>
    <col min="5881" max="5881" width="12.140625" style="4" customWidth="1"/>
    <col min="5882" max="5882" width="10.28515625" style="4" customWidth="1"/>
    <col min="5883" max="5883" width="8.28515625" style="4" customWidth="1"/>
    <col min="5884" max="5884" width="8.7109375" style="4" customWidth="1"/>
    <col min="5885" max="5885" width="9.85546875" style="4" customWidth="1"/>
    <col min="5886" max="5886" width="8.85546875" style="4" customWidth="1"/>
    <col min="5887" max="5887" width="8.7109375" style="4" customWidth="1"/>
    <col min="5888" max="5888" width="9.28515625" style="4" customWidth="1"/>
    <col min="5889" max="5889" width="8.85546875" style="4" customWidth="1"/>
    <col min="5890" max="5890" width="8.7109375" style="4" customWidth="1"/>
    <col min="5891" max="5891" width="9.5703125" style="4" customWidth="1"/>
    <col min="5892" max="5892" width="8.85546875" style="4" customWidth="1"/>
    <col min="5893" max="5893" width="11.140625" style="4" customWidth="1"/>
    <col min="5894" max="5894" width="10.140625" style="4" customWidth="1"/>
    <col min="5895" max="5895" width="13.7109375" style="4" customWidth="1"/>
    <col min="5896" max="5896" width="10.140625" style="4" customWidth="1"/>
    <col min="5897" max="5897" width="11" style="4" customWidth="1"/>
    <col min="5898" max="5898" width="11.7109375" style="4" customWidth="1"/>
    <col min="5899" max="5899" width="12.28515625" style="4" customWidth="1"/>
    <col min="5900" max="5900" width="9.7109375" style="4" customWidth="1"/>
    <col min="5901" max="5901" width="12.85546875" style="4" customWidth="1"/>
    <col min="5902" max="5902" width="9.28515625" style="4" customWidth="1"/>
    <col min="5903" max="6134" width="9.140625" style="4"/>
    <col min="6135" max="6135" width="6.7109375" style="4" customWidth="1"/>
    <col min="6136" max="6136" width="7.85546875" style="4" customWidth="1"/>
    <col min="6137" max="6137" width="12.140625" style="4" customWidth="1"/>
    <col min="6138" max="6138" width="10.28515625" style="4" customWidth="1"/>
    <col min="6139" max="6139" width="8.28515625" style="4" customWidth="1"/>
    <col min="6140" max="6140" width="8.7109375" style="4" customWidth="1"/>
    <col min="6141" max="6141" width="9.85546875" style="4" customWidth="1"/>
    <col min="6142" max="6142" width="8.85546875" style="4" customWidth="1"/>
    <col min="6143" max="6143" width="8.7109375" style="4" customWidth="1"/>
    <col min="6144" max="6144" width="9.28515625" style="4" customWidth="1"/>
    <col min="6145" max="6145" width="8.85546875" style="4" customWidth="1"/>
    <col min="6146" max="6146" width="8.7109375" style="4" customWidth="1"/>
    <col min="6147" max="6147" width="9.5703125" style="4" customWidth="1"/>
    <col min="6148" max="6148" width="8.85546875" style="4" customWidth="1"/>
    <col min="6149" max="6149" width="11.140625" style="4" customWidth="1"/>
    <col min="6150" max="6150" width="10.140625" style="4" customWidth="1"/>
    <col min="6151" max="6151" width="13.7109375" style="4" customWidth="1"/>
    <col min="6152" max="6152" width="10.140625" style="4" customWidth="1"/>
    <col min="6153" max="6153" width="11" style="4" customWidth="1"/>
    <col min="6154" max="6154" width="11.7109375" style="4" customWidth="1"/>
    <col min="6155" max="6155" width="12.28515625" style="4" customWidth="1"/>
    <col min="6156" max="6156" width="9.7109375" style="4" customWidth="1"/>
    <col min="6157" max="6157" width="12.85546875" style="4" customWidth="1"/>
    <col min="6158" max="6158" width="9.28515625" style="4" customWidth="1"/>
    <col min="6159" max="6390" width="9.140625" style="4"/>
    <col min="6391" max="6391" width="6.7109375" style="4" customWidth="1"/>
    <col min="6392" max="6392" width="7.85546875" style="4" customWidth="1"/>
    <col min="6393" max="6393" width="12.140625" style="4" customWidth="1"/>
    <col min="6394" max="6394" width="10.28515625" style="4" customWidth="1"/>
    <col min="6395" max="6395" width="8.28515625" style="4" customWidth="1"/>
    <col min="6396" max="6396" width="8.7109375" style="4" customWidth="1"/>
    <col min="6397" max="6397" width="9.85546875" style="4" customWidth="1"/>
    <col min="6398" max="6398" width="8.85546875" style="4" customWidth="1"/>
    <col min="6399" max="6399" width="8.7109375" style="4" customWidth="1"/>
    <col min="6400" max="6400" width="9.28515625" style="4" customWidth="1"/>
    <col min="6401" max="6401" width="8.85546875" style="4" customWidth="1"/>
    <col min="6402" max="6402" width="8.7109375" style="4" customWidth="1"/>
    <col min="6403" max="6403" width="9.5703125" style="4" customWidth="1"/>
    <col min="6404" max="6404" width="8.85546875" style="4" customWidth="1"/>
    <col min="6405" max="6405" width="11.140625" style="4" customWidth="1"/>
    <col min="6406" max="6406" width="10.140625" style="4" customWidth="1"/>
    <col min="6407" max="6407" width="13.7109375" style="4" customWidth="1"/>
    <col min="6408" max="6408" width="10.140625" style="4" customWidth="1"/>
    <col min="6409" max="6409" width="11" style="4" customWidth="1"/>
    <col min="6410" max="6410" width="11.7109375" style="4" customWidth="1"/>
    <col min="6411" max="6411" width="12.28515625" style="4" customWidth="1"/>
    <col min="6412" max="6412" width="9.7109375" style="4" customWidth="1"/>
    <col min="6413" max="6413" width="12.85546875" style="4" customWidth="1"/>
    <col min="6414" max="6414" width="9.28515625" style="4" customWidth="1"/>
    <col min="6415" max="6646" width="9.140625" style="4"/>
    <col min="6647" max="6647" width="6.7109375" style="4" customWidth="1"/>
    <col min="6648" max="6648" width="7.85546875" style="4" customWidth="1"/>
    <col min="6649" max="6649" width="12.140625" style="4" customWidth="1"/>
    <col min="6650" max="6650" width="10.28515625" style="4" customWidth="1"/>
    <col min="6651" max="6651" width="8.28515625" style="4" customWidth="1"/>
    <col min="6652" max="6652" width="8.7109375" style="4" customWidth="1"/>
    <col min="6653" max="6653" width="9.85546875" style="4" customWidth="1"/>
    <col min="6654" max="6654" width="8.85546875" style="4" customWidth="1"/>
    <col min="6655" max="6655" width="8.7109375" style="4" customWidth="1"/>
    <col min="6656" max="6656" width="9.28515625" style="4" customWidth="1"/>
    <col min="6657" max="6657" width="8.85546875" style="4" customWidth="1"/>
    <col min="6658" max="6658" width="8.7109375" style="4" customWidth="1"/>
    <col min="6659" max="6659" width="9.5703125" style="4" customWidth="1"/>
    <col min="6660" max="6660" width="8.85546875" style="4" customWidth="1"/>
    <col min="6661" max="6661" width="11.140625" style="4" customWidth="1"/>
    <col min="6662" max="6662" width="10.140625" style="4" customWidth="1"/>
    <col min="6663" max="6663" width="13.7109375" style="4" customWidth="1"/>
    <col min="6664" max="6664" width="10.140625" style="4" customWidth="1"/>
    <col min="6665" max="6665" width="11" style="4" customWidth="1"/>
    <col min="6666" max="6666" width="11.7109375" style="4" customWidth="1"/>
    <col min="6667" max="6667" width="12.28515625" style="4" customWidth="1"/>
    <col min="6668" max="6668" width="9.7109375" style="4" customWidth="1"/>
    <col min="6669" max="6669" width="12.85546875" style="4" customWidth="1"/>
    <col min="6670" max="6670" width="9.28515625" style="4" customWidth="1"/>
    <col min="6671" max="6902" width="9.140625" style="4"/>
    <col min="6903" max="6903" width="6.7109375" style="4" customWidth="1"/>
    <col min="6904" max="6904" width="7.85546875" style="4" customWidth="1"/>
    <col min="6905" max="6905" width="12.140625" style="4" customWidth="1"/>
    <col min="6906" max="6906" width="10.28515625" style="4" customWidth="1"/>
    <col min="6907" max="6907" width="8.28515625" style="4" customWidth="1"/>
    <col min="6908" max="6908" width="8.7109375" style="4" customWidth="1"/>
    <col min="6909" max="6909" width="9.85546875" style="4" customWidth="1"/>
    <col min="6910" max="6910" width="8.85546875" style="4" customWidth="1"/>
    <col min="6911" max="6911" width="8.7109375" style="4" customWidth="1"/>
    <col min="6912" max="6912" width="9.28515625" style="4" customWidth="1"/>
    <col min="6913" max="6913" width="8.85546875" style="4" customWidth="1"/>
    <col min="6914" max="6914" width="8.7109375" style="4" customWidth="1"/>
    <col min="6915" max="6915" width="9.5703125" style="4" customWidth="1"/>
    <col min="6916" max="6916" width="8.85546875" style="4" customWidth="1"/>
    <col min="6917" max="6917" width="11.140625" style="4" customWidth="1"/>
    <col min="6918" max="6918" width="10.140625" style="4" customWidth="1"/>
    <col min="6919" max="6919" width="13.7109375" style="4" customWidth="1"/>
    <col min="6920" max="6920" width="10.140625" style="4" customWidth="1"/>
    <col min="6921" max="6921" width="11" style="4" customWidth="1"/>
    <col min="6922" max="6922" width="11.7109375" style="4" customWidth="1"/>
    <col min="6923" max="6923" width="12.28515625" style="4" customWidth="1"/>
    <col min="6924" max="6924" width="9.7109375" style="4" customWidth="1"/>
    <col min="6925" max="6925" width="12.85546875" style="4" customWidth="1"/>
    <col min="6926" max="6926" width="9.28515625" style="4" customWidth="1"/>
    <col min="6927" max="7158" width="9.140625" style="4"/>
    <col min="7159" max="7159" width="6.7109375" style="4" customWidth="1"/>
    <col min="7160" max="7160" width="7.85546875" style="4" customWidth="1"/>
    <col min="7161" max="7161" width="12.140625" style="4" customWidth="1"/>
    <col min="7162" max="7162" width="10.28515625" style="4" customWidth="1"/>
    <col min="7163" max="7163" width="8.28515625" style="4" customWidth="1"/>
    <col min="7164" max="7164" width="8.7109375" style="4" customWidth="1"/>
    <col min="7165" max="7165" width="9.85546875" style="4" customWidth="1"/>
    <col min="7166" max="7166" width="8.85546875" style="4" customWidth="1"/>
    <col min="7167" max="7167" width="8.7109375" style="4" customWidth="1"/>
    <col min="7168" max="7168" width="9.28515625" style="4" customWidth="1"/>
    <col min="7169" max="7169" width="8.85546875" style="4" customWidth="1"/>
    <col min="7170" max="7170" width="8.7109375" style="4" customWidth="1"/>
    <col min="7171" max="7171" width="9.5703125" style="4" customWidth="1"/>
    <col min="7172" max="7172" width="8.85546875" style="4" customWidth="1"/>
    <col min="7173" max="7173" width="11.140625" style="4" customWidth="1"/>
    <col min="7174" max="7174" width="10.140625" style="4" customWidth="1"/>
    <col min="7175" max="7175" width="13.7109375" style="4" customWidth="1"/>
    <col min="7176" max="7176" width="10.140625" style="4" customWidth="1"/>
    <col min="7177" max="7177" width="11" style="4" customWidth="1"/>
    <col min="7178" max="7178" width="11.7109375" style="4" customWidth="1"/>
    <col min="7179" max="7179" width="12.28515625" style="4" customWidth="1"/>
    <col min="7180" max="7180" width="9.7109375" style="4" customWidth="1"/>
    <col min="7181" max="7181" width="12.85546875" style="4" customWidth="1"/>
    <col min="7182" max="7182" width="9.28515625" style="4" customWidth="1"/>
    <col min="7183" max="7414" width="9.140625" style="4"/>
    <col min="7415" max="7415" width="6.7109375" style="4" customWidth="1"/>
    <col min="7416" max="7416" width="7.85546875" style="4" customWidth="1"/>
    <col min="7417" max="7417" width="12.140625" style="4" customWidth="1"/>
    <col min="7418" max="7418" width="10.28515625" style="4" customWidth="1"/>
    <col min="7419" max="7419" width="8.28515625" style="4" customWidth="1"/>
    <col min="7420" max="7420" width="8.7109375" style="4" customWidth="1"/>
    <col min="7421" max="7421" width="9.85546875" style="4" customWidth="1"/>
    <col min="7422" max="7422" width="8.85546875" style="4" customWidth="1"/>
    <col min="7423" max="7423" width="8.7109375" style="4" customWidth="1"/>
    <col min="7424" max="7424" width="9.28515625" style="4" customWidth="1"/>
    <col min="7425" max="7425" width="8.85546875" style="4" customWidth="1"/>
    <col min="7426" max="7426" width="8.7109375" style="4" customWidth="1"/>
    <col min="7427" max="7427" width="9.5703125" style="4" customWidth="1"/>
    <col min="7428" max="7428" width="8.85546875" style="4" customWidth="1"/>
    <col min="7429" max="7429" width="11.140625" style="4" customWidth="1"/>
    <col min="7430" max="7430" width="10.140625" style="4" customWidth="1"/>
    <col min="7431" max="7431" width="13.7109375" style="4" customWidth="1"/>
    <col min="7432" max="7432" width="10.140625" style="4" customWidth="1"/>
    <col min="7433" max="7433" width="11" style="4" customWidth="1"/>
    <col min="7434" max="7434" width="11.7109375" style="4" customWidth="1"/>
    <col min="7435" max="7435" width="12.28515625" style="4" customWidth="1"/>
    <col min="7436" max="7436" width="9.7109375" style="4" customWidth="1"/>
    <col min="7437" max="7437" width="12.85546875" style="4" customWidth="1"/>
    <col min="7438" max="7438" width="9.28515625" style="4" customWidth="1"/>
    <col min="7439" max="7670" width="9.140625" style="4"/>
    <col min="7671" max="7671" width="6.7109375" style="4" customWidth="1"/>
    <col min="7672" max="7672" width="7.85546875" style="4" customWidth="1"/>
    <col min="7673" max="7673" width="12.140625" style="4" customWidth="1"/>
    <col min="7674" max="7674" width="10.28515625" style="4" customWidth="1"/>
    <col min="7675" max="7675" width="8.28515625" style="4" customWidth="1"/>
    <col min="7676" max="7676" width="8.7109375" style="4" customWidth="1"/>
    <col min="7677" max="7677" width="9.85546875" style="4" customWidth="1"/>
    <col min="7678" max="7678" width="8.85546875" style="4" customWidth="1"/>
    <col min="7679" max="7679" width="8.7109375" style="4" customWidth="1"/>
    <col min="7680" max="7680" width="9.28515625" style="4" customWidth="1"/>
    <col min="7681" max="7681" width="8.85546875" style="4" customWidth="1"/>
    <col min="7682" max="7682" width="8.7109375" style="4" customWidth="1"/>
    <col min="7683" max="7683" width="9.5703125" style="4" customWidth="1"/>
    <col min="7684" max="7684" width="8.85546875" style="4" customWidth="1"/>
    <col min="7685" max="7685" width="11.140625" style="4" customWidth="1"/>
    <col min="7686" max="7686" width="10.140625" style="4" customWidth="1"/>
    <col min="7687" max="7687" width="13.7109375" style="4" customWidth="1"/>
    <col min="7688" max="7688" width="10.140625" style="4" customWidth="1"/>
    <col min="7689" max="7689" width="11" style="4" customWidth="1"/>
    <col min="7690" max="7690" width="11.7109375" style="4" customWidth="1"/>
    <col min="7691" max="7691" width="12.28515625" style="4" customWidth="1"/>
    <col min="7692" max="7692" width="9.7109375" style="4" customWidth="1"/>
    <col min="7693" max="7693" width="12.85546875" style="4" customWidth="1"/>
    <col min="7694" max="7694" width="9.28515625" style="4" customWidth="1"/>
    <col min="7695" max="7926" width="9.140625" style="4"/>
    <col min="7927" max="7927" width="6.7109375" style="4" customWidth="1"/>
    <col min="7928" max="7928" width="7.85546875" style="4" customWidth="1"/>
    <col min="7929" max="7929" width="12.140625" style="4" customWidth="1"/>
    <col min="7930" max="7930" width="10.28515625" style="4" customWidth="1"/>
    <col min="7931" max="7931" width="8.28515625" style="4" customWidth="1"/>
    <col min="7932" max="7932" width="8.7109375" style="4" customWidth="1"/>
    <col min="7933" max="7933" width="9.85546875" style="4" customWidth="1"/>
    <col min="7934" max="7934" width="8.85546875" style="4" customWidth="1"/>
    <col min="7935" max="7935" width="8.7109375" style="4" customWidth="1"/>
    <col min="7936" max="7936" width="9.28515625" style="4" customWidth="1"/>
    <col min="7937" max="7937" width="8.85546875" style="4" customWidth="1"/>
    <col min="7938" max="7938" width="8.7109375" style="4" customWidth="1"/>
    <col min="7939" max="7939" width="9.5703125" style="4" customWidth="1"/>
    <col min="7940" max="7940" width="8.85546875" style="4" customWidth="1"/>
    <col min="7941" max="7941" width="11.140625" style="4" customWidth="1"/>
    <col min="7942" max="7942" width="10.140625" style="4" customWidth="1"/>
    <col min="7943" max="7943" width="13.7109375" style="4" customWidth="1"/>
    <col min="7944" max="7944" width="10.140625" style="4" customWidth="1"/>
    <col min="7945" max="7945" width="11" style="4" customWidth="1"/>
    <col min="7946" max="7946" width="11.7109375" style="4" customWidth="1"/>
    <col min="7947" max="7947" width="12.28515625" style="4" customWidth="1"/>
    <col min="7948" max="7948" width="9.7109375" style="4" customWidth="1"/>
    <col min="7949" max="7949" width="12.85546875" style="4" customWidth="1"/>
    <col min="7950" max="7950" width="9.28515625" style="4" customWidth="1"/>
    <col min="7951" max="8182" width="9.140625" style="4"/>
    <col min="8183" max="8183" width="6.7109375" style="4" customWidth="1"/>
    <col min="8184" max="8184" width="7.85546875" style="4" customWidth="1"/>
    <col min="8185" max="8185" width="12.140625" style="4" customWidth="1"/>
    <col min="8186" max="8186" width="10.28515625" style="4" customWidth="1"/>
    <col min="8187" max="8187" width="8.28515625" style="4" customWidth="1"/>
    <col min="8188" max="8188" width="8.7109375" style="4" customWidth="1"/>
    <col min="8189" max="8189" width="9.85546875" style="4" customWidth="1"/>
    <col min="8190" max="8190" width="8.85546875" style="4" customWidth="1"/>
    <col min="8191" max="8191" width="8.7109375" style="4" customWidth="1"/>
    <col min="8192" max="8192" width="9.28515625" style="4" customWidth="1"/>
    <col min="8193" max="8193" width="8.85546875" style="4" customWidth="1"/>
    <col min="8194" max="8194" width="8.7109375" style="4" customWidth="1"/>
    <col min="8195" max="8195" width="9.5703125" style="4" customWidth="1"/>
    <col min="8196" max="8196" width="8.85546875" style="4" customWidth="1"/>
    <col min="8197" max="8197" width="11.140625" style="4" customWidth="1"/>
    <col min="8198" max="8198" width="10.140625" style="4" customWidth="1"/>
    <col min="8199" max="8199" width="13.7109375" style="4" customWidth="1"/>
    <col min="8200" max="8200" width="10.140625" style="4" customWidth="1"/>
    <col min="8201" max="8201" width="11" style="4" customWidth="1"/>
    <col min="8202" max="8202" width="11.7109375" style="4" customWidth="1"/>
    <col min="8203" max="8203" width="12.28515625" style="4" customWidth="1"/>
    <col min="8204" max="8204" width="9.7109375" style="4" customWidth="1"/>
    <col min="8205" max="8205" width="12.85546875" style="4" customWidth="1"/>
    <col min="8206" max="8206" width="9.28515625" style="4" customWidth="1"/>
    <col min="8207" max="8438" width="9.140625" style="4"/>
    <col min="8439" max="8439" width="6.7109375" style="4" customWidth="1"/>
    <col min="8440" max="8440" width="7.85546875" style="4" customWidth="1"/>
    <col min="8441" max="8441" width="12.140625" style="4" customWidth="1"/>
    <col min="8442" max="8442" width="10.28515625" style="4" customWidth="1"/>
    <col min="8443" max="8443" width="8.28515625" style="4" customWidth="1"/>
    <col min="8444" max="8444" width="8.7109375" style="4" customWidth="1"/>
    <col min="8445" max="8445" width="9.85546875" style="4" customWidth="1"/>
    <col min="8446" max="8446" width="8.85546875" style="4" customWidth="1"/>
    <col min="8447" max="8447" width="8.7109375" style="4" customWidth="1"/>
    <col min="8448" max="8448" width="9.28515625" style="4" customWidth="1"/>
    <col min="8449" max="8449" width="8.85546875" style="4" customWidth="1"/>
    <col min="8450" max="8450" width="8.7109375" style="4" customWidth="1"/>
    <col min="8451" max="8451" width="9.5703125" style="4" customWidth="1"/>
    <col min="8452" max="8452" width="8.85546875" style="4" customWidth="1"/>
    <col min="8453" max="8453" width="11.140625" style="4" customWidth="1"/>
    <col min="8454" max="8454" width="10.140625" style="4" customWidth="1"/>
    <col min="8455" max="8455" width="13.7109375" style="4" customWidth="1"/>
    <col min="8456" max="8456" width="10.140625" style="4" customWidth="1"/>
    <col min="8457" max="8457" width="11" style="4" customWidth="1"/>
    <col min="8458" max="8458" width="11.7109375" style="4" customWidth="1"/>
    <col min="8459" max="8459" width="12.28515625" style="4" customWidth="1"/>
    <col min="8460" max="8460" width="9.7109375" style="4" customWidth="1"/>
    <col min="8461" max="8461" width="12.85546875" style="4" customWidth="1"/>
    <col min="8462" max="8462" width="9.28515625" style="4" customWidth="1"/>
    <col min="8463" max="8694" width="9.140625" style="4"/>
    <col min="8695" max="8695" width="6.7109375" style="4" customWidth="1"/>
    <col min="8696" max="8696" width="7.85546875" style="4" customWidth="1"/>
    <col min="8697" max="8697" width="12.140625" style="4" customWidth="1"/>
    <col min="8698" max="8698" width="10.28515625" style="4" customWidth="1"/>
    <col min="8699" max="8699" width="8.28515625" style="4" customWidth="1"/>
    <col min="8700" max="8700" width="8.7109375" style="4" customWidth="1"/>
    <col min="8701" max="8701" width="9.85546875" style="4" customWidth="1"/>
    <col min="8702" max="8702" width="8.85546875" style="4" customWidth="1"/>
    <col min="8703" max="8703" width="8.7109375" style="4" customWidth="1"/>
    <col min="8704" max="8704" width="9.28515625" style="4" customWidth="1"/>
    <col min="8705" max="8705" width="8.85546875" style="4" customWidth="1"/>
    <col min="8706" max="8706" width="8.7109375" style="4" customWidth="1"/>
    <col min="8707" max="8707" width="9.5703125" style="4" customWidth="1"/>
    <col min="8708" max="8708" width="8.85546875" style="4" customWidth="1"/>
    <col min="8709" max="8709" width="11.140625" style="4" customWidth="1"/>
    <col min="8710" max="8710" width="10.140625" style="4" customWidth="1"/>
    <col min="8711" max="8711" width="13.7109375" style="4" customWidth="1"/>
    <col min="8712" max="8712" width="10.140625" style="4" customWidth="1"/>
    <col min="8713" max="8713" width="11" style="4" customWidth="1"/>
    <col min="8714" max="8714" width="11.7109375" style="4" customWidth="1"/>
    <col min="8715" max="8715" width="12.28515625" style="4" customWidth="1"/>
    <col min="8716" max="8716" width="9.7109375" style="4" customWidth="1"/>
    <col min="8717" max="8717" width="12.85546875" style="4" customWidth="1"/>
    <col min="8718" max="8718" width="9.28515625" style="4" customWidth="1"/>
    <col min="8719" max="8950" width="9.140625" style="4"/>
    <col min="8951" max="8951" width="6.7109375" style="4" customWidth="1"/>
    <col min="8952" max="8952" width="7.85546875" style="4" customWidth="1"/>
    <col min="8953" max="8953" width="12.140625" style="4" customWidth="1"/>
    <col min="8954" max="8954" width="10.28515625" style="4" customWidth="1"/>
    <col min="8955" max="8955" width="8.28515625" style="4" customWidth="1"/>
    <col min="8956" max="8956" width="8.7109375" style="4" customWidth="1"/>
    <col min="8957" max="8957" width="9.85546875" style="4" customWidth="1"/>
    <col min="8958" max="8958" width="8.85546875" style="4" customWidth="1"/>
    <col min="8959" max="8959" width="8.7109375" style="4" customWidth="1"/>
    <col min="8960" max="8960" width="9.28515625" style="4" customWidth="1"/>
    <col min="8961" max="8961" width="8.85546875" style="4" customWidth="1"/>
    <col min="8962" max="8962" width="8.7109375" style="4" customWidth="1"/>
    <col min="8963" max="8963" width="9.5703125" style="4" customWidth="1"/>
    <col min="8964" max="8964" width="8.85546875" style="4" customWidth="1"/>
    <col min="8965" max="8965" width="11.140625" style="4" customWidth="1"/>
    <col min="8966" max="8966" width="10.140625" style="4" customWidth="1"/>
    <col min="8967" max="8967" width="13.7109375" style="4" customWidth="1"/>
    <col min="8968" max="8968" width="10.140625" style="4" customWidth="1"/>
    <col min="8969" max="8969" width="11" style="4" customWidth="1"/>
    <col min="8970" max="8970" width="11.7109375" style="4" customWidth="1"/>
    <col min="8971" max="8971" width="12.28515625" style="4" customWidth="1"/>
    <col min="8972" max="8972" width="9.7109375" style="4" customWidth="1"/>
    <col min="8973" max="8973" width="12.85546875" style="4" customWidth="1"/>
    <col min="8974" max="8974" width="9.28515625" style="4" customWidth="1"/>
    <col min="8975" max="9206" width="9.140625" style="4"/>
    <col min="9207" max="9207" width="6.7109375" style="4" customWidth="1"/>
    <col min="9208" max="9208" width="7.85546875" style="4" customWidth="1"/>
    <col min="9209" max="9209" width="12.140625" style="4" customWidth="1"/>
    <col min="9210" max="9210" width="10.28515625" style="4" customWidth="1"/>
    <col min="9211" max="9211" width="8.28515625" style="4" customWidth="1"/>
    <col min="9212" max="9212" width="8.7109375" style="4" customWidth="1"/>
    <col min="9213" max="9213" width="9.85546875" style="4" customWidth="1"/>
    <col min="9214" max="9214" width="8.85546875" style="4" customWidth="1"/>
    <col min="9215" max="9215" width="8.7109375" style="4" customWidth="1"/>
    <col min="9216" max="9216" width="9.28515625" style="4" customWidth="1"/>
    <col min="9217" max="9217" width="8.85546875" style="4" customWidth="1"/>
    <col min="9218" max="9218" width="8.7109375" style="4" customWidth="1"/>
    <col min="9219" max="9219" width="9.5703125" style="4" customWidth="1"/>
    <col min="9220" max="9220" width="8.85546875" style="4" customWidth="1"/>
    <col min="9221" max="9221" width="11.140625" style="4" customWidth="1"/>
    <col min="9222" max="9222" width="10.140625" style="4" customWidth="1"/>
    <col min="9223" max="9223" width="13.7109375" style="4" customWidth="1"/>
    <col min="9224" max="9224" width="10.140625" style="4" customWidth="1"/>
    <col min="9225" max="9225" width="11" style="4" customWidth="1"/>
    <col min="9226" max="9226" width="11.7109375" style="4" customWidth="1"/>
    <col min="9227" max="9227" width="12.28515625" style="4" customWidth="1"/>
    <col min="9228" max="9228" width="9.7109375" style="4" customWidth="1"/>
    <col min="9229" max="9229" width="12.85546875" style="4" customWidth="1"/>
    <col min="9230" max="9230" width="9.28515625" style="4" customWidth="1"/>
    <col min="9231" max="9462" width="9.140625" style="4"/>
    <col min="9463" max="9463" width="6.7109375" style="4" customWidth="1"/>
    <col min="9464" max="9464" width="7.85546875" style="4" customWidth="1"/>
    <col min="9465" max="9465" width="12.140625" style="4" customWidth="1"/>
    <col min="9466" max="9466" width="10.28515625" style="4" customWidth="1"/>
    <col min="9467" max="9467" width="8.28515625" style="4" customWidth="1"/>
    <col min="9468" max="9468" width="8.7109375" style="4" customWidth="1"/>
    <col min="9469" max="9469" width="9.85546875" style="4" customWidth="1"/>
    <col min="9470" max="9470" width="8.85546875" style="4" customWidth="1"/>
    <col min="9471" max="9471" width="8.7109375" style="4" customWidth="1"/>
    <col min="9472" max="9472" width="9.28515625" style="4" customWidth="1"/>
    <col min="9473" max="9473" width="8.85546875" style="4" customWidth="1"/>
    <col min="9474" max="9474" width="8.7109375" style="4" customWidth="1"/>
    <col min="9475" max="9475" width="9.5703125" style="4" customWidth="1"/>
    <col min="9476" max="9476" width="8.85546875" style="4" customWidth="1"/>
    <col min="9477" max="9477" width="11.140625" style="4" customWidth="1"/>
    <col min="9478" max="9478" width="10.140625" style="4" customWidth="1"/>
    <col min="9479" max="9479" width="13.7109375" style="4" customWidth="1"/>
    <col min="9480" max="9480" width="10.140625" style="4" customWidth="1"/>
    <col min="9481" max="9481" width="11" style="4" customWidth="1"/>
    <col min="9482" max="9482" width="11.7109375" style="4" customWidth="1"/>
    <col min="9483" max="9483" width="12.28515625" style="4" customWidth="1"/>
    <col min="9484" max="9484" width="9.7109375" style="4" customWidth="1"/>
    <col min="9485" max="9485" width="12.85546875" style="4" customWidth="1"/>
    <col min="9486" max="9486" width="9.28515625" style="4" customWidth="1"/>
    <col min="9487" max="9718" width="9.140625" style="4"/>
    <col min="9719" max="9719" width="6.7109375" style="4" customWidth="1"/>
    <col min="9720" max="9720" width="7.85546875" style="4" customWidth="1"/>
    <col min="9721" max="9721" width="12.140625" style="4" customWidth="1"/>
    <col min="9722" max="9722" width="10.28515625" style="4" customWidth="1"/>
    <col min="9723" max="9723" width="8.28515625" style="4" customWidth="1"/>
    <col min="9724" max="9724" width="8.7109375" style="4" customWidth="1"/>
    <col min="9725" max="9725" width="9.85546875" style="4" customWidth="1"/>
    <col min="9726" max="9726" width="8.85546875" style="4" customWidth="1"/>
    <col min="9727" max="9727" width="8.7109375" style="4" customWidth="1"/>
    <col min="9728" max="9728" width="9.28515625" style="4" customWidth="1"/>
    <col min="9729" max="9729" width="8.85546875" style="4" customWidth="1"/>
    <col min="9730" max="9730" width="8.7109375" style="4" customWidth="1"/>
    <col min="9731" max="9731" width="9.5703125" style="4" customWidth="1"/>
    <col min="9732" max="9732" width="8.85546875" style="4" customWidth="1"/>
    <col min="9733" max="9733" width="11.140625" style="4" customWidth="1"/>
    <col min="9734" max="9734" width="10.140625" style="4" customWidth="1"/>
    <col min="9735" max="9735" width="13.7109375" style="4" customWidth="1"/>
    <col min="9736" max="9736" width="10.140625" style="4" customWidth="1"/>
    <col min="9737" max="9737" width="11" style="4" customWidth="1"/>
    <col min="9738" max="9738" width="11.7109375" style="4" customWidth="1"/>
    <col min="9739" max="9739" width="12.28515625" style="4" customWidth="1"/>
    <col min="9740" max="9740" width="9.7109375" style="4" customWidth="1"/>
    <col min="9741" max="9741" width="12.85546875" style="4" customWidth="1"/>
    <col min="9742" max="9742" width="9.28515625" style="4" customWidth="1"/>
    <col min="9743" max="9974" width="9.140625" style="4"/>
    <col min="9975" max="9975" width="6.7109375" style="4" customWidth="1"/>
    <col min="9976" max="9976" width="7.85546875" style="4" customWidth="1"/>
    <col min="9977" max="9977" width="12.140625" style="4" customWidth="1"/>
    <col min="9978" max="9978" width="10.28515625" style="4" customWidth="1"/>
    <col min="9979" max="9979" width="8.28515625" style="4" customWidth="1"/>
    <col min="9980" max="9980" width="8.7109375" style="4" customWidth="1"/>
    <col min="9981" max="9981" width="9.85546875" style="4" customWidth="1"/>
    <col min="9982" max="9982" width="8.85546875" style="4" customWidth="1"/>
    <col min="9983" max="9983" width="8.7109375" style="4" customWidth="1"/>
    <col min="9984" max="9984" width="9.28515625" style="4" customWidth="1"/>
    <col min="9985" max="9985" width="8.85546875" style="4" customWidth="1"/>
    <col min="9986" max="9986" width="8.7109375" style="4" customWidth="1"/>
    <col min="9987" max="9987" width="9.5703125" style="4" customWidth="1"/>
    <col min="9988" max="9988" width="8.85546875" style="4" customWidth="1"/>
    <col min="9989" max="9989" width="11.140625" style="4" customWidth="1"/>
    <col min="9990" max="9990" width="10.140625" style="4" customWidth="1"/>
    <col min="9991" max="9991" width="13.7109375" style="4" customWidth="1"/>
    <col min="9992" max="9992" width="10.140625" style="4" customWidth="1"/>
    <col min="9993" max="9993" width="11" style="4" customWidth="1"/>
    <col min="9994" max="9994" width="11.7109375" style="4" customWidth="1"/>
    <col min="9995" max="9995" width="12.28515625" style="4" customWidth="1"/>
    <col min="9996" max="9996" width="9.7109375" style="4" customWidth="1"/>
    <col min="9997" max="9997" width="12.85546875" style="4" customWidth="1"/>
    <col min="9998" max="9998" width="9.28515625" style="4" customWidth="1"/>
    <col min="9999" max="10230" width="9.140625" style="4"/>
    <col min="10231" max="10231" width="6.7109375" style="4" customWidth="1"/>
    <col min="10232" max="10232" width="7.85546875" style="4" customWidth="1"/>
    <col min="10233" max="10233" width="12.140625" style="4" customWidth="1"/>
    <col min="10234" max="10234" width="10.28515625" style="4" customWidth="1"/>
    <col min="10235" max="10235" width="8.28515625" style="4" customWidth="1"/>
    <col min="10236" max="10236" width="8.7109375" style="4" customWidth="1"/>
    <col min="10237" max="10237" width="9.85546875" style="4" customWidth="1"/>
    <col min="10238" max="10238" width="8.85546875" style="4" customWidth="1"/>
    <col min="10239" max="10239" width="8.7109375" style="4" customWidth="1"/>
    <col min="10240" max="10240" width="9.28515625" style="4" customWidth="1"/>
    <col min="10241" max="10241" width="8.85546875" style="4" customWidth="1"/>
    <col min="10242" max="10242" width="8.7109375" style="4" customWidth="1"/>
    <col min="10243" max="10243" width="9.5703125" style="4" customWidth="1"/>
    <col min="10244" max="10244" width="8.85546875" style="4" customWidth="1"/>
    <col min="10245" max="10245" width="11.140625" style="4" customWidth="1"/>
    <col min="10246" max="10246" width="10.140625" style="4" customWidth="1"/>
    <col min="10247" max="10247" width="13.7109375" style="4" customWidth="1"/>
    <col min="10248" max="10248" width="10.140625" style="4" customWidth="1"/>
    <col min="10249" max="10249" width="11" style="4" customWidth="1"/>
    <col min="10250" max="10250" width="11.7109375" style="4" customWidth="1"/>
    <col min="10251" max="10251" width="12.28515625" style="4" customWidth="1"/>
    <col min="10252" max="10252" width="9.7109375" style="4" customWidth="1"/>
    <col min="10253" max="10253" width="12.85546875" style="4" customWidth="1"/>
    <col min="10254" max="10254" width="9.28515625" style="4" customWidth="1"/>
    <col min="10255" max="10486" width="9.140625" style="4"/>
    <col min="10487" max="10487" width="6.7109375" style="4" customWidth="1"/>
    <col min="10488" max="10488" width="7.85546875" style="4" customWidth="1"/>
    <col min="10489" max="10489" width="12.140625" style="4" customWidth="1"/>
    <col min="10490" max="10490" width="10.28515625" style="4" customWidth="1"/>
    <col min="10491" max="10491" width="8.28515625" style="4" customWidth="1"/>
    <col min="10492" max="10492" width="8.7109375" style="4" customWidth="1"/>
    <col min="10493" max="10493" width="9.85546875" style="4" customWidth="1"/>
    <col min="10494" max="10494" width="8.85546875" style="4" customWidth="1"/>
    <col min="10495" max="10495" width="8.7109375" style="4" customWidth="1"/>
    <col min="10496" max="10496" width="9.28515625" style="4" customWidth="1"/>
    <col min="10497" max="10497" width="8.85546875" style="4" customWidth="1"/>
    <col min="10498" max="10498" width="8.7109375" style="4" customWidth="1"/>
    <col min="10499" max="10499" width="9.5703125" style="4" customWidth="1"/>
    <col min="10500" max="10500" width="8.85546875" style="4" customWidth="1"/>
    <col min="10501" max="10501" width="11.140625" style="4" customWidth="1"/>
    <col min="10502" max="10502" width="10.140625" style="4" customWidth="1"/>
    <col min="10503" max="10503" width="13.7109375" style="4" customWidth="1"/>
    <col min="10504" max="10504" width="10.140625" style="4" customWidth="1"/>
    <col min="10505" max="10505" width="11" style="4" customWidth="1"/>
    <col min="10506" max="10506" width="11.7109375" style="4" customWidth="1"/>
    <col min="10507" max="10507" width="12.28515625" style="4" customWidth="1"/>
    <col min="10508" max="10508" width="9.7109375" style="4" customWidth="1"/>
    <col min="10509" max="10509" width="12.85546875" style="4" customWidth="1"/>
    <col min="10510" max="10510" width="9.28515625" style="4" customWidth="1"/>
    <col min="10511" max="10742" width="9.140625" style="4"/>
    <col min="10743" max="10743" width="6.7109375" style="4" customWidth="1"/>
    <col min="10744" max="10744" width="7.85546875" style="4" customWidth="1"/>
    <col min="10745" max="10745" width="12.140625" style="4" customWidth="1"/>
    <col min="10746" max="10746" width="10.28515625" style="4" customWidth="1"/>
    <col min="10747" max="10747" width="8.28515625" style="4" customWidth="1"/>
    <col min="10748" max="10748" width="8.7109375" style="4" customWidth="1"/>
    <col min="10749" max="10749" width="9.85546875" style="4" customWidth="1"/>
    <col min="10750" max="10750" width="8.85546875" style="4" customWidth="1"/>
    <col min="10751" max="10751" width="8.7109375" style="4" customWidth="1"/>
    <col min="10752" max="10752" width="9.28515625" style="4" customWidth="1"/>
    <col min="10753" max="10753" width="8.85546875" style="4" customWidth="1"/>
    <col min="10754" max="10754" width="8.7109375" style="4" customWidth="1"/>
    <col min="10755" max="10755" width="9.5703125" style="4" customWidth="1"/>
    <col min="10756" max="10756" width="8.85546875" style="4" customWidth="1"/>
    <col min="10757" max="10757" width="11.140625" style="4" customWidth="1"/>
    <col min="10758" max="10758" width="10.140625" style="4" customWidth="1"/>
    <col min="10759" max="10759" width="13.7109375" style="4" customWidth="1"/>
    <col min="10760" max="10760" width="10.140625" style="4" customWidth="1"/>
    <col min="10761" max="10761" width="11" style="4" customWidth="1"/>
    <col min="10762" max="10762" width="11.7109375" style="4" customWidth="1"/>
    <col min="10763" max="10763" width="12.28515625" style="4" customWidth="1"/>
    <col min="10764" max="10764" width="9.7109375" style="4" customWidth="1"/>
    <col min="10765" max="10765" width="12.85546875" style="4" customWidth="1"/>
    <col min="10766" max="10766" width="9.28515625" style="4" customWidth="1"/>
    <col min="10767" max="10998" width="9.140625" style="4"/>
    <col min="10999" max="10999" width="6.7109375" style="4" customWidth="1"/>
    <col min="11000" max="11000" width="7.85546875" style="4" customWidth="1"/>
    <col min="11001" max="11001" width="12.140625" style="4" customWidth="1"/>
    <col min="11002" max="11002" width="10.28515625" style="4" customWidth="1"/>
    <col min="11003" max="11003" width="8.28515625" style="4" customWidth="1"/>
    <col min="11004" max="11004" width="8.7109375" style="4" customWidth="1"/>
    <col min="11005" max="11005" width="9.85546875" style="4" customWidth="1"/>
    <col min="11006" max="11006" width="8.85546875" style="4" customWidth="1"/>
    <col min="11007" max="11007" width="8.7109375" style="4" customWidth="1"/>
    <col min="11008" max="11008" width="9.28515625" style="4" customWidth="1"/>
    <col min="11009" max="11009" width="8.85546875" style="4" customWidth="1"/>
    <col min="11010" max="11010" width="8.7109375" style="4" customWidth="1"/>
    <col min="11011" max="11011" width="9.5703125" style="4" customWidth="1"/>
    <col min="11012" max="11012" width="8.85546875" style="4" customWidth="1"/>
    <col min="11013" max="11013" width="11.140625" style="4" customWidth="1"/>
    <col min="11014" max="11014" width="10.140625" style="4" customWidth="1"/>
    <col min="11015" max="11015" width="13.7109375" style="4" customWidth="1"/>
    <col min="11016" max="11016" width="10.140625" style="4" customWidth="1"/>
    <col min="11017" max="11017" width="11" style="4" customWidth="1"/>
    <col min="11018" max="11018" width="11.7109375" style="4" customWidth="1"/>
    <col min="11019" max="11019" width="12.28515625" style="4" customWidth="1"/>
    <col min="11020" max="11020" width="9.7109375" style="4" customWidth="1"/>
    <col min="11021" max="11021" width="12.85546875" style="4" customWidth="1"/>
    <col min="11022" max="11022" width="9.28515625" style="4" customWidth="1"/>
    <col min="11023" max="11254" width="9.140625" style="4"/>
    <col min="11255" max="11255" width="6.7109375" style="4" customWidth="1"/>
    <col min="11256" max="11256" width="7.85546875" style="4" customWidth="1"/>
    <col min="11257" max="11257" width="12.140625" style="4" customWidth="1"/>
    <col min="11258" max="11258" width="10.28515625" style="4" customWidth="1"/>
    <col min="11259" max="11259" width="8.28515625" style="4" customWidth="1"/>
    <col min="11260" max="11260" width="8.7109375" style="4" customWidth="1"/>
    <col min="11261" max="11261" width="9.85546875" style="4" customWidth="1"/>
    <col min="11262" max="11262" width="8.85546875" style="4" customWidth="1"/>
    <col min="11263" max="11263" width="8.7109375" style="4" customWidth="1"/>
    <col min="11264" max="11264" width="9.28515625" style="4" customWidth="1"/>
    <col min="11265" max="11265" width="8.85546875" style="4" customWidth="1"/>
    <col min="11266" max="11266" width="8.7109375" style="4" customWidth="1"/>
    <col min="11267" max="11267" width="9.5703125" style="4" customWidth="1"/>
    <col min="11268" max="11268" width="8.85546875" style="4" customWidth="1"/>
    <col min="11269" max="11269" width="11.140625" style="4" customWidth="1"/>
    <col min="11270" max="11270" width="10.140625" style="4" customWidth="1"/>
    <col min="11271" max="11271" width="13.7109375" style="4" customWidth="1"/>
    <col min="11272" max="11272" width="10.140625" style="4" customWidth="1"/>
    <col min="11273" max="11273" width="11" style="4" customWidth="1"/>
    <col min="11274" max="11274" width="11.7109375" style="4" customWidth="1"/>
    <col min="11275" max="11275" width="12.28515625" style="4" customWidth="1"/>
    <col min="11276" max="11276" width="9.7109375" style="4" customWidth="1"/>
    <col min="11277" max="11277" width="12.85546875" style="4" customWidth="1"/>
    <col min="11278" max="11278" width="9.28515625" style="4" customWidth="1"/>
    <col min="11279" max="11510" width="9.140625" style="4"/>
    <col min="11511" max="11511" width="6.7109375" style="4" customWidth="1"/>
    <col min="11512" max="11512" width="7.85546875" style="4" customWidth="1"/>
    <col min="11513" max="11513" width="12.140625" style="4" customWidth="1"/>
    <col min="11514" max="11514" width="10.28515625" style="4" customWidth="1"/>
    <col min="11515" max="11515" width="8.28515625" style="4" customWidth="1"/>
    <col min="11516" max="11516" width="8.7109375" style="4" customWidth="1"/>
    <col min="11517" max="11517" width="9.85546875" style="4" customWidth="1"/>
    <col min="11518" max="11518" width="8.85546875" style="4" customWidth="1"/>
    <col min="11519" max="11519" width="8.7109375" style="4" customWidth="1"/>
    <col min="11520" max="11520" width="9.28515625" style="4" customWidth="1"/>
    <col min="11521" max="11521" width="8.85546875" style="4" customWidth="1"/>
    <col min="11522" max="11522" width="8.7109375" style="4" customWidth="1"/>
    <col min="11523" max="11523" width="9.5703125" style="4" customWidth="1"/>
    <col min="11524" max="11524" width="8.85546875" style="4" customWidth="1"/>
    <col min="11525" max="11525" width="11.140625" style="4" customWidth="1"/>
    <col min="11526" max="11526" width="10.140625" style="4" customWidth="1"/>
    <col min="11527" max="11527" width="13.7109375" style="4" customWidth="1"/>
    <col min="11528" max="11528" width="10.140625" style="4" customWidth="1"/>
    <col min="11529" max="11529" width="11" style="4" customWidth="1"/>
    <col min="11530" max="11530" width="11.7109375" style="4" customWidth="1"/>
    <col min="11531" max="11531" width="12.28515625" style="4" customWidth="1"/>
    <col min="11532" max="11532" width="9.7109375" style="4" customWidth="1"/>
    <col min="11533" max="11533" width="12.85546875" style="4" customWidth="1"/>
    <col min="11534" max="11534" width="9.28515625" style="4" customWidth="1"/>
    <col min="11535" max="11766" width="9.140625" style="4"/>
    <col min="11767" max="11767" width="6.7109375" style="4" customWidth="1"/>
    <col min="11768" max="11768" width="7.85546875" style="4" customWidth="1"/>
    <col min="11769" max="11769" width="12.140625" style="4" customWidth="1"/>
    <col min="11770" max="11770" width="10.28515625" style="4" customWidth="1"/>
    <col min="11771" max="11771" width="8.28515625" style="4" customWidth="1"/>
    <col min="11772" max="11772" width="8.7109375" style="4" customWidth="1"/>
    <col min="11773" max="11773" width="9.85546875" style="4" customWidth="1"/>
    <col min="11774" max="11774" width="8.85546875" style="4" customWidth="1"/>
    <col min="11775" max="11775" width="8.7109375" style="4" customWidth="1"/>
    <col min="11776" max="11776" width="9.28515625" style="4" customWidth="1"/>
    <col min="11777" max="11777" width="8.85546875" style="4" customWidth="1"/>
    <col min="11778" max="11778" width="8.7109375" style="4" customWidth="1"/>
    <col min="11779" max="11779" width="9.5703125" style="4" customWidth="1"/>
    <col min="11780" max="11780" width="8.85546875" style="4" customWidth="1"/>
    <col min="11781" max="11781" width="11.140625" style="4" customWidth="1"/>
    <col min="11782" max="11782" width="10.140625" style="4" customWidth="1"/>
    <col min="11783" max="11783" width="13.7109375" style="4" customWidth="1"/>
    <col min="11784" max="11784" width="10.140625" style="4" customWidth="1"/>
    <col min="11785" max="11785" width="11" style="4" customWidth="1"/>
    <col min="11786" max="11786" width="11.7109375" style="4" customWidth="1"/>
    <col min="11787" max="11787" width="12.28515625" style="4" customWidth="1"/>
    <col min="11788" max="11788" width="9.7109375" style="4" customWidth="1"/>
    <col min="11789" max="11789" width="12.85546875" style="4" customWidth="1"/>
    <col min="11790" max="11790" width="9.28515625" style="4" customWidth="1"/>
    <col min="11791" max="12022" width="9.140625" style="4"/>
    <col min="12023" max="12023" width="6.7109375" style="4" customWidth="1"/>
    <col min="12024" max="12024" width="7.85546875" style="4" customWidth="1"/>
    <col min="12025" max="12025" width="12.140625" style="4" customWidth="1"/>
    <col min="12026" max="12026" width="10.28515625" style="4" customWidth="1"/>
    <col min="12027" max="12027" width="8.28515625" style="4" customWidth="1"/>
    <col min="12028" max="12028" width="8.7109375" style="4" customWidth="1"/>
    <col min="12029" max="12029" width="9.85546875" style="4" customWidth="1"/>
    <col min="12030" max="12030" width="8.85546875" style="4" customWidth="1"/>
    <col min="12031" max="12031" width="8.7109375" style="4" customWidth="1"/>
    <col min="12032" max="12032" width="9.28515625" style="4" customWidth="1"/>
    <col min="12033" max="12033" width="8.85546875" style="4" customWidth="1"/>
    <col min="12034" max="12034" width="8.7109375" style="4" customWidth="1"/>
    <col min="12035" max="12035" width="9.5703125" style="4" customWidth="1"/>
    <col min="12036" max="12036" width="8.85546875" style="4" customWidth="1"/>
    <col min="12037" max="12037" width="11.140625" style="4" customWidth="1"/>
    <col min="12038" max="12038" width="10.140625" style="4" customWidth="1"/>
    <col min="12039" max="12039" width="13.7109375" style="4" customWidth="1"/>
    <col min="12040" max="12040" width="10.140625" style="4" customWidth="1"/>
    <col min="12041" max="12041" width="11" style="4" customWidth="1"/>
    <col min="12042" max="12042" width="11.7109375" style="4" customWidth="1"/>
    <col min="12043" max="12043" width="12.28515625" style="4" customWidth="1"/>
    <col min="12044" max="12044" width="9.7109375" style="4" customWidth="1"/>
    <col min="12045" max="12045" width="12.85546875" style="4" customWidth="1"/>
    <col min="12046" max="12046" width="9.28515625" style="4" customWidth="1"/>
    <col min="12047" max="12278" width="9.140625" style="4"/>
    <col min="12279" max="12279" width="6.7109375" style="4" customWidth="1"/>
    <col min="12280" max="12280" width="7.85546875" style="4" customWidth="1"/>
    <col min="12281" max="12281" width="12.140625" style="4" customWidth="1"/>
    <col min="12282" max="12282" width="10.28515625" style="4" customWidth="1"/>
    <col min="12283" max="12283" width="8.28515625" style="4" customWidth="1"/>
    <col min="12284" max="12284" width="8.7109375" style="4" customWidth="1"/>
    <col min="12285" max="12285" width="9.85546875" style="4" customWidth="1"/>
    <col min="12286" max="12286" width="8.85546875" style="4" customWidth="1"/>
    <col min="12287" max="12287" width="8.7109375" style="4" customWidth="1"/>
    <col min="12288" max="12288" width="9.28515625" style="4" customWidth="1"/>
    <col min="12289" max="12289" width="8.85546875" style="4" customWidth="1"/>
    <col min="12290" max="12290" width="8.7109375" style="4" customWidth="1"/>
    <col min="12291" max="12291" width="9.5703125" style="4" customWidth="1"/>
    <col min="12292" max="12292" width="8.85546875" style="4" customWidth="1"/>
    <col min="12293" max="12293" width="11.140625" style="4" customWidth="1"/>
    <col min="12294" max="12294" width="10.140625" style="4" customWidth="1"/>
    <col min="12295" max="12295" width="13.7109375" style="4" customWidth="1"/>
    <col min="12296" max="12296" width="10.140625" style="4" customWidth="1"/>
    <col min="12297" max="12297" width="11" style="4" customWidth="1"/>
    <col min="12298" max="12298" width="11.7109375" style="4" customWidth="1"/>
    <col min="12299" max="12299" width="12.28515625" style="4" customWidth="1"/>
    <col min="12300" max="12300" width="9.7109375" style="4" customWidth="1"/>
    <col min="12301" max="12301" width="12.85546875" style="4" customWidth="1"/>
    <col min="12302" max="12302" width="9.28515625" style="4" customWidth="1"/>
    <col min="12303" max="12534" width="9.140625" style="4"/>
    <col min="12535" max="12535" width="6.7109375" style="4" customWidth="1"/>
    <col min="12536" max="12536" width="7.85546875" style="4" customWidth="1"/>
    <col min="12537" max="12537" width="12.140625" style="4" customWidth="1"/>
    <col min="12538" max="12538" width="10.28515625" style="4" customWidth="1"/>
    <col min="12539" max="12539" width="8.28515625" style="4" customWidth="1"/>
    <col min="12540" max="12540" width="8.7109375" style="4" customWidth="1"/>
    <col min="12541" max="12541" width="9.85546875" style="4" customWidth="1"/>
    <col min="12542" max="12542" width="8.85546875" style="4" customWidth="1"/>
    <col min="12543" max="12543" width="8.7109375" style="4" customWidth="1"/>
    <col min="12544" max="12544" width="9.28515625" style="4" customWidth="1"/>
    <col min="12545" max="12545" width="8.85546875" style="4" customWidth="1"/>
    <col min="12546" max="12546" width="8.7109375" style="4" customWidth="1"/>
    <col min="12547" max="12547" width="9.5703125" style="4" customWidth="1"/>
    <col min="12548" max="12548" width="8.85546875" style="4" customWidth="1"/>
    <col min="12549" max="12549" width="11.140625" style="4" customWidth="1"/>
    <col min="12550" max="12550" width="10.140625" style="4" customWidth="1"/>
    <col min="12551" max="12551" width="13.7109375" style="4" customWidth="1"/>
    <col min="12552" max="12552" width="10.140625" style="4" customWidth="1"/>
    <col min="12553" max="12553" width="11" style="4" customWidth="1"/>
    <col min="12554" max="12554" width="11.7109375" style="4" customWidth="1"/>
    <col min="12555" max="12555" width="12.28515625" style="4" customWidth="1"/>
    <col min="12556" max="12556" width="9.7109375" style="4" customWidth="1"/>
    <col min="12557" max="12557" width="12.85546875" style="4" customWidth="1"/>
    <col min="12558" max="12558" width="9.28515625" style="4" customWidth="1"/>
    <col min="12559" max="12790" width="9.140625" style="4"/>
    <col min="12791" max="12791" width="6.7109375" style="4" customWidth="1"/>
    <col min="12792" max="12792" width="7.85546875" style="4" customWidth="1"/>
    <col min="12793" max="12793" width="12.140625" style="4" customWidth="1"/>
    <col min="12794" max="12794" width="10.28515625" style="4" customWidth="1"/>
    <col min="12795" max="12795" width="8.28515625" style="4" customWidth="1"/>
    <col min="12796" max="12796" width="8.7109375" style="4" customWidth="1"/>
    <col min="12797" max="12797" width="9.85546875" style="4" customWidth="1"/>
    <col min="12798" max="12798" width="8.85546875" style="4" customWidth="1"/>
    <col min="12799" max="12799" width="8.7109375" style="4" customWidth="1"/>
    <col min="12800" max="12800" width="9.28515625" style="4" customWidth="1"/>
    <col min="12801" max="12801" width="8.85546875" style="4" customWidth="1"/>
    <col min="12802" max="12802" width="8.7109375" style="4" customWidth="1"/>
    <col min="12803" max="12803" width="9.5703125" style="4" customWidth="1"/>
    <col min="12804" max="12804" width="8.85546875" style="4" customWidth="1"/>
    <col min="12805" max="12805" width="11.140625" style="4" customWidth="1"/>
    <col min="12806" max="12806" width="10.140625" style="4" customWidth="1"/>
    <col min="12807" max="12807" width="13.7109375" style="4" customWidth="1"/>
    <col min="12808" max="12808" width="10.140625" style="4" customWidth="1"/>
    <col min="12809" max="12809" width="11" style="4" customWidth="1"/>
    <col min="12810" max="12810" width="11.7109375" style="4" customWidth="1"/>
    <col min="12811" max="12811" width="12.28515625" style="4" customWidth="1"/>
    <col min="12812" max="12812" width="9.7109375" style="4" customWidth="1"/>
    <col min="12813" max="12813" width="12.85546875" style="4" customWidth="1"/>
    <col min="12814" max="12814" width="9.28515625" style="4" customWidth="1"/>
    <col min="12815" max="13046" width="9.140625" style="4"/>
    <col min="13047" max="13047" width="6.7109375" style="4" customWidth="1"/>
    <col min="13048" max="13048" width="7.85546875" style="4" customWidth="1"/>
    <col min="13049" max="13049" width="12.140625" style="4" customWidth="1"/>
    <col min="13050" max="13050" width="10.28515625" style="4" customWidth="1"/>
    <col min="13051" max="13051" width="8.28515625" style="4" customWidth="1"/>
    <col min="13052" max="13052" width="8.7109375" style="4" customWidth="1"/>
    <col min="13053" max="13053" width="9.85546875" style="4" customWidth="1"/>
    <col min="13054" max="13054" width="8.85546875" style="4" customWidth="1"/>
    <col min="13055" max="13055" width="8.7109375" style="4" customWidth="1"/>
    <col min="13056" max="13056" width="9.28515625" style="4" customWidth="1"/>
    <col min="13057" max="13057" width="8.85546875" style="4" customWidth="1"/>
    <col min="13058" max="13058" width="8.7109375" style="4" customWidth="1"/>
    <col min="13059" max="13059" width="9.5703125" style="4" customWidth="1"/>
    <col min="13060" max="13060" width="8.85546875" style="4" customWidth="1"/>
    <col min="13061" max="13061" width="11.140625" style="4" customWidth="1"/>
    <col min="13062" max="13062" width="10.140625" style="4" customWidth="1"/>
    <col min="13063" max="13063" width="13.7109375" style="4" customWidth="1"/>
    <col min="13064" max="13064" width="10.140625" style="4" customWidth="1"/>
    <col min="13065" max="13065" width="11" style="4" customWidth="1"/>
    <col min="13066" max="13066" width="11.7109375" style="4" customWidth="1"/>
    <col min="13067" max="13067" width="12.28515625" style="4" customWidth="1"/>
    <col min="13068" max="13068" width="9.7109375" style="4" customWidth="1"/>
    <col min="13069" max="13069" width="12.85546875" style="4" customWidth="1"/>
    <col min="13070" max="13070" width="9.28515625" style="4" customWidth="1"/>
    <col min="13071" max="13302" width="9.140625" style="4"/>
    <col min="13303" max="13303" width="6.7109375" style="4" customWidth="1"/>
    <col min="13304" max="13304" width="7.85546875" style="4" customWidth="1"/>
    <col min="13305" max="13305" width="12.140625" style="4" customWidth="1"/>
    <col min="13306" max="13306" width="10.28515625" style="4" customWidth="1"/>
    <col min="13307" max="13307" width="8.28515625" style="4" customWidth="1"/>
    <col min="13308" max="13308" width="8.7109375" style="4" customWidth="1"/>
    <col min="13309" max="13309" width="9.85546875" style="4" customWidth="1"/>
    <col min="13310" max="13310" width="8.85546875" style="4" customWidth="1"/>
    <col min="13311" max="13311" width="8.7109375" style="4" customWidth="1"/>
    <col min="13312" max="13312" width="9.28515625" style="4" customWidth="1"/>
    <col min="13313" max="13313" width="8.85546875" style="4" customWidth="1"/>
    <col min="13314" max="13314" width="8.7109375" style="4" customWidth="1"/>
    <col min="13315" max="13315" width="9.5703125" style="4" customWidth="1"/>
    <col min="13316" max="13316" width="8.85546875" style="4" customWidth="1"/>
    <col min="13317" max="13317" width="11.140625" style="4" customWidth="1"/>
    <col min="13318" max="13318" width="10.140625" style="4" customWidth="1"/>
    <col min="13319" max="13319" width="13.7109375" style="4" customWidth="1"/>
    <col min="13320" max="13320" width="10.140625" style="4" customWidth="1"/>
    <col min="13321" max="13321" width="11" style="4" customWidth="1"/>
    <col min="13322" max="13322" width="11.7109375" style="4" customWidth="1"/>
    <col min="13323" max="13323" width="12.28515625" style="4" customWidth="1"/>
    <col min="13324" max="13324" width="9.7109375" style="4" customWidth="1"/>
    <col min="13325" max="13325" width="12.85546875" style="4" customWidth="1"/>
    <col min="13326" max="13326" width="9.28515625" style="4" customWidth="1"/>
    <col min="13327" max="13558" width="9.140625" style="4"/>
    <col min="13559" max="13559" width="6.7109375" style="4" customWidth="1"/>
    <col min="13560" max="13560" width="7.85546875" style="4" customWidth="1"/>
    <col min="13561" max="13561" width="12.140625" style="4" customWidth="1"/>
    <col min="13562" max="13562" width="10.28515625" style="4" customWidth="1"/>
    <col min="13563" max="13563" width="8.28515625" style="4" customWidth="1"/>
    <col min="13564" max="13564" width="8.7109375" style="4" customWidth="1"/>
    <col min="13565" max="13565" width="9.85546875" style="4" customWidth="1"/>
    <col min="13566" max="13566" width="8.85546875" style="4" customWidth="1"/>
    <col min="13567" max="13567" width="8.7109375" style="4" customWidth="1"/>
    <col min="13568" max="13568" width="9.28515625" style="4" customWidth="1"/>
    <col min="13569" max="13569" width="8.85546875" style="4" customWidth="1"/>
    <col min="13570" max="13570" width="8.7109375" style="4" customWidth="1"/>
    <col min="13571" max="13571" width="9.5703125" style="4" customWidth="1"/>
    <col min="13572" max="13572" width="8.85546875" style="4" customWidth="1"/>
    <col min="13573" max="13573" width="11.140625" style="4" customWidth="1"/>
    <col min="13574" max="13574" width="10.140625" style="4" customWidth="1"/>
    <col min="13575" max="13575" width="13.7109375" style="4" customWidth="1"/>
    <col min="13576" max="13576" width="10.140625" style="4" customWidth="1"/>
    <col min="13577" max="13577" width="11" style="4" customWidth="1"/>
    <col min="13578" max="13578" width="11.7109375" style="4" customWidth="1"/>
    <col min="13579" max="13579" width="12.28515625" style="4" customWidth="1"/>
    <col min="13580" max="13580" width="9.7109375" style="4" customWidth="1"/>
    <col min="13581" max="13581" width="12.85546875" style="4" customWidth="1"/>
    <col min="13582" max="13582" width="9.28515625" style="4" customWidth="1"/>
    <col min="13583" max="13814" width="9.140625" style="4"/>
    <col min="13815" max="13815" width="6.7109375" style="4" customWidth="1"/>
    <col min="13816" max="13816" width="7.85546875" style="4" customWidth="1"/>
    <col min="13817" max="13817" width="12.140625" style="4" customWidth="1"/>
    <col min="13818" max="13818" width="10.28515625" style="4" customWidth="1"/>
    <col min="13819" max="13819" width="8.28515625" style="4" customWidth="1"/>
    <col min="13820" max="13820" width="8.7109375" style="4" customWidth="1"/>
    <col min="13821" max="13821" width="9.85546875" style="4" customWidth="1"/>
    <col min="13822" max="13822" width="8.85546875" style="4" customWidth="1"/>
    <col min="13823" max="13823" width="8.7109375" style="4" customWidth="1"/>
    <col min="13824" max="13824" width="9.28515625" style="4" customWidth="1"/>
    <col min="13825" max="13825" width="8.85546875" style="4" customWidth="1"/>
    <col min="13826" max="13826" width="8.7109375" style="4" customWidth="1"/>
    <col min="13827" max="13827" width="9.5703125" style="4" customWidth="1"/>
    <col min="13828" max="13828" width="8.85546875" style="4" customWidth="1"/>
    <col min="13829" max="13829" width="11.140625" style="4" customWidth="1"/>
    <col min="13830" max="13830" width="10.140625" style="4" customWidth="1"/>
    <col min="13831" max="13831" width="13.7109375" style="4" customWidth="1"/>
    <col min="13832" max="13832" width="10.140625" style="4" customWidth="1"/>
    <col min="13833" max="13833" width="11" style="4" customWidth="1"/>
    <col min="13834" max="13834" width="11.7109375" style="4" customWidth="1"/>
    <col min="13835" max="13835" width="12.28515625" style="4" customWidth="1"/>
    <col min="13836" max="13836" width="9.7109375" style="4" customWidth="1"/>
    <col min="13837" max="13837" width="12.85546875" style="4" customWidth="1"/>
    <col min="13838" max="13838" width="9.28515625" style="4" customWidth="1"/>
    <col min="13839" max="14070" width="9.140625" style="4"/>
    <col min="14071" max="14071" width="6.7109375" style="4" customWidth="1"/>
    <col min="14072" max="14072" width="7.85546875" style="4" customWidth="1"/>
    <col min="14073" max="14073" width="12.140625" style="4" customWidth="1"/>
    <col min="14074" max="14074" width="10.28515625" style="4" customWidth="1"/>
    <col min="14075" max="14075" width="8.28515625" style="4" customWidth="1"/>
    <col min="14076" max="14076" width="8.7109375" style="4" customWidth="1"/>
    <col min="14077" max="14077" width="9.85546875" style="4" customWidth="1"/>
    <col min="14078" max="14078" width="8.85546875" style="4" customWidth="1"/>
    <col min="14079" max="14079" width="8.7109375" style="4" customWidth="1"/>
    <col min="14080" max="14080" width="9.28515625" style="4" customWidth="1"/>
    <col min="14081" max="14081" width="8.85546875" style="4" customWidth="1"/>
    <col min="14082" max="14082" width="8.7109375" style="4" customWidth="1"/>
    <col min="14083" max="14083" width="9.5703125" style="4" customWidth="1"/>
    <col min="14084" max="14084" width="8.85546875" style="4" customWidth="1"/>
    <col min="14085" max="14085" width="11.140625" style="4" customWidth="1"/>
    <col min="14086" max="14086" width="10.140625" style="4" customWidth="1"/>
    <col min="14087" max="14087" width="13.7109375" style="4" customWidth="1"/>
    <col min="14088" max="14088" width="10.140625" style="4" customWidth="1"/>
    <col min="14089" max="14089" width="11" style="4" customWidth="1"/>
    <col min="14090" max="14090" width="11.7109375" style="4" customWidth="1"/>
    <col min="14091" max="14091" width="12.28515625" style="4" customWidth="1"/>
    <col min="14092" max="14092" width="9.7109375" style="4" customWidth="1"/>
    <col min="14093" max="14093" width="12.85546875" style="4" customWidth="1"/>
    <col min="14094" max="14094" width="9.28515625" style="4" customWidth="1"/>
    <col min="14095" max="14326" width="9.140625" style="4"/>
    <col min="14327" max="14327" width="6.7109375" style="4" customWidth="1"/>
    <col min="14328" max="14328" width="7.85546875" style="4" customWidth="1"/>
    <col min="14329" max="14329" width="12.140625" style="4" customWidth="1"/>
    <col min="14330" max="14330" width="10.28515625" style="4" customWidth="1"/>
    <col min="14331" max="14331" width="8.28515625" style="4" customWidth="1"/>
    <col min="14332" max="14332" width="8.7109375" style="4" customWidth="1"/>
    <col min="14333" max="14333" width="9.85546875" style="4" customWidth="1"/>
    <col min="14334" max="14334" width="8.85546875" style="4" customWidth="1"/>
    <col min="14335" max="14335" width="8.7109375" style="4" customWidth="1"/>
    <col min="14336" max="14336" width="9.28515625" style="4" customWidth="1"/>
    <col min="14337" max="14337" width="8.85546875" style="4" customWidth="1"/>
    <col min="14338" max="14338" width="8.7109375" style="4" customWidth="1"/>
    <col min="14339" max="14339" width="9.5703125" style="4" customWidth="1"/>
    <col min="14340" max="14340" width="8.85546875" style="4" customWidth="1"/>
    <col min="14341" max="14341" width="11.140625" style="4" customWidth="1"/>
    <col min="14342" max="14342" width="10.140625" style="4" customWidth="1"/>
    <col min="14343" max="14343" width="13.7109375" style="4" customWidth="1"/>
    <col min="14344" max="14344" width="10.140625" style="4" customWidth="1"/>
    <col min="14345" max="14345" width="11" style="4" customWidth="1"/>
    <col min="14346" max="14346" width="11.7109375" style="4" customWidth="1"/>
    <col min="14347" max="14347" width="12.28515625" style="4" customWidth="1"/>
    <col min="14348" max="14348" width="9.7109375" style="4" customWidth="1"/>
    <col min="14349" max="14349" width="12.85546875" style="4" customWidth="1"/>
    <col min="14350" max="14350" width="9.28515625" style="4" customWidth="1"/>
    <col min="14351" max="14582" width="9.140625" style="4"/>
    <col min="14583" max="14583" width="6.7109375" style="4" customWidth="1"/>
    <col min="14584" max="14584" width="7.85546875" style="4" customWidth="1"/>
    <col min="14585" max="14585" width="12.140625" style="4" customWidth="1"/>
    <col min="14586" max="14586" width="10.28515625" style="4" customWidth="1"/>
    <col min="14587" max="14587" width="8.28515625" style="4" customWidth="1"/>
    <col min="14588" max="14588" width="8.7109375" style="4" customWidth="1"/>
    <col min="14589" max="14589" width="9.85546875" style="4" customWidth="1"/>
    <col min="14590" max="14590" width="8.85546875" style="4" customWidth="1"/>
    <col min="14591" max="14591" width="8.7109375" style="4" customWidth="1"/>
    <col min="14592" max="14592" width="9.28515625" style="4" customWidth="1"/>
    <col min="14593" max="14593" width="8.85546875" style="4" customWidth="1"/>
    <col min="14594" max="14594" width="8.7109375" style="4" customWidth="1"/>
    <col min="14595" max="14595" width="9.5703125" style="4" customWidth="1"/>
    <col min="14596" max="14596" width="8.85546875" style="4" customWidth="1"/>
    <col min="14597" max="14597" width="11.140625" style="4" customWidth="1"/>
    <col min="14598" max="14598" width="10.140625" style="4" customWidth="1"/>
    <col min="14599" max="14599" width="13.7109375" style="4" customWidth="1"/>
    <col min="14600" max="14600" width="10.140625" style="4" customWidth="1"/>
    <col min="14601" max="14601" width="11" style="4" customWidth="1"/>
    <col min="14602" max="14602" width="11.7109375" style="4" customWidth="1"/>
    <col min="14603" max="14603" width="12.28515625" style="4" customWidth="1"/>
    <col min="14604" max="14604" width="9.7109375" style="4" customWidth="1"/>
    <col min="14605" max="14605" width="12.85546875" style="4" customWidth="1"/>
    <col min="14606" max="14606" width="9.28515625" style="4" customWidth="1"/>
    <col min="14607" max="14838" width="9.140625" style="4"/>
    <col min="14839" max="14839" width="6.7109375" style="4" customWidth="1"/>
    <col min="14840" max="14840" width="7.85546875" style="4" customWidth="1"/>
    <col min="14841" max="14841" width="12.140625" style="4" customWidth="1"/>
    <col min="14842" max="14842" width="10.28515625" style="4" customWidth="1"/>
    <col min="14843" max="14843" width="8.28515625" style="4" customWidth="1"/>
    <col min="14844" max="14844" width="8.7109375" style="4" customWidth="1"/>
    <col min="14845" max="14845" width="9.85546875" style="4" customWidth="1"/>
    <col min="14846" max="14846" width="8.85546875" style="4" customWidth="1"/>
    <col min="14847" max="14847" width="8.7109375" style="4" customWidth="1"/>
    <col min="14848" max="14848" width="9.28515625" style="4" customWidth="1"/>
    <col min="14849" max="14849" width="8.85546875" style="4" customWidth="1"/>
    <col min="14850" max="14850" width="8.7109375" style="4" customWidth="1"/>
    <col min="14851" max="14851" width="9.5703125" style="4" customWidth="1"/>
    <col min="14852" max="14852" width="8.85546875" style="4" customWidth="1"/>
    <col min="14853" max="14853" width="11.140625" style="4" customWidth="1"/>
    <col min="14854" max="14854" width="10.140625" style="4" customWidth="1"/>
    <col min="14855" max="14855" width="13.7109375" style="4" customWidth="1"/>
    <col min="14856" max="14856" width="10.140625" style="4" customWidth="1"/>
    <col min="14857" max="14857" width="11" style="4" customWidth="1"/>
    <col min="14858" max="14858" width="11.7109375" style="4" customWidth="1"/>
    <col min="14859" max="14859" width="12.28515625" style="4" customWidth="1"/>
    <col min="14860" max="14860" width="9.7109375" style="4" customWidth="1"/>
    <col min="14861" max="14861" width="12.85546875" style="4" customWidth="1"/>
    <col min="14862" max="14862" width="9.28515625" style="4" customWidth="1"/>
    <col min="14863" max="15094" width="9.140625" style="4"/>
    <col min="15095" max="15095" width="6.7109375" style="4" customWidth="1"/>
    <col min="15096" max="15096" width="7.85546875" style="4" customWidth="1"/>
    <col min="15097" max="15097" width="12.140625" style="4" customWidth="1"/>
    <col min="15098" max="15098" width="10.28515625" style="4" customWidth="1"/>
    <col min="15099" max="15099" width="8.28515625" style="4" customWidth="1"/>
    <col min="15100" max="15100" width="8.7109375" style="4" customWidth="1"/>
    <col min="15101" max="15101" width="9.85546875" style="4" customWidth="1"/>
    <col min="15102" max="15102" width="8.85546875" style="4" customWidth="1"/>
    <col min="15103" max="15103" width="8.7109375" style="4" customWidth="1"/>
    <col min="15104" max="15104" width="9.28515625" style="4" customWidth="1"/>
    <col min="15105" max="15105" width="8.85546875" style="4" customWidth="1"/>
    <col min="15106" max="15106" width="8.7109375" style="4" customWidth="1"/>
    <col min="15107" max="15107" width="9.5703125" style="4" customWidth="1"/>
    <col min="15108" max="15108" width="8.85546875" style="4" customWidth="1"/>
    <col min="15109" max="15109" width="11.140625" style="4" customWidth="1"/>
    <col min="15110" max="15110" width="10.140625" style="4" customWidth="1"/>
    <col min="15111" max="15111" width="13.7109375" style="4" customWidth="1"/>
    <col min="15112" max="15112" width="10.140625" style="4" customWidth="1"/>
    <col min="15113" max="15113" width="11" style="4" customWidth="1"/>
    <col min="15114" max="15114" width="11.7109375" style="4" customWidth="1"/>
    <col min="15115" max="15115" width="12.28515625" style="4" customWidth="1"/>
    <col min="15116" max="15116" width="9.7109375" style="4" customWidth="1"/>
    <col min="15117" max="15117" width="12.85546875" style="4" customWidth="1"/>
    <col min="15118" max="15118" width="9.28515625" style="4" customWidth="1"/>
    <col min="15119" max="15350" width="9.140625" style="4"/>
    <col min="15351" max="15351" width="6.7109375" style="4" customWidth="1"/>
    <col min="15352" max="15352" width="7.85546875" style="4" customWidth="1"/>
    <col min="15353" max="15353" width="12.140625" style="4" customWidth="1"/>
    <col min="15354" max="15354" width="10.28515625" style="4" customWidth="1"/>
    <col min="15355" max="15355" width="8.28515625" style="4" customWidth="1"/>
    <col min="15356" max="15356" width="8.7109375" style="4" customWidth="1"/>
    <col min="15357" max="15357" width="9.85546875" style="4" customWidth="1"/>
    <col min="15358" max="15358" width="8.85546875" style="4" customWidth="1"/>
    <col min="15359" max="15359" width="8.7109375" style="4" customWidth="1"/>
    <col min="15360" max="15360" width="9.28515625" style="4" customWidth="1"/>
    <col min="15361" max="15361" width="8.85546875" style="4" customWidth="1"/>
    <col min="15362" max="15362" width="8.7109375" style="4" customWidth="1"/>
    <col min="15363" max="15363" width="9.5703125" style="4" customWidth="1"/>
    <col min="15364" max="15364" width="8.85546875" style="4" customWidth="1"/>
    <col min="15365" max="15365" width="11.140625" style="4" customWidth="1"/>
    <col min="15366" max="15366" width="10.140625" style="4" customWidth="1"/>
    <col min="15367" max="15367" width="13.7109375" style="4" customWidth="1"/>
    <col min="15368" max="15368" width="10.140625" style="4" customWidth="1"/>
    <col min="15369" max="15369" width="11" style="4" customWidth="1"/>
    <col min="15370" max="15370" width="11.7109375" style="4" customWidth="1"/>
    <col min="15371" max="15371" width="12.28515625" style="4" customWidth="1"/>
    <col min="15372" max="15372" width="9.7109375" style="4" customWidth="1"/>
    <col min="15373" max="15373" width="12.85546875" style="4" customWidth="1"/>
    <col min="15374" max="15374" width="9.28515625" style="4" customWidth="1"/>
    <col min="15375" max="15606" width="9.140625" style="4"/>
    <col min="15607" max="15607" width="6.7109375" style="4" customWidth="1"/>
    <col min="15608" max="15608" width="7.85546875" style="4" customWidth="1"/>
    <col min="15609" max="15609" width="12.140625" style="4" customWidth="1"/>
    <col min="15610" max="15610" width="10.28515625" style="4" customWidth="1"/>
    <col min="15611" max="15611" width="8.28515625" style="4" customWidth="1"/>
    <col min="15612" max="15612" width="8.7109375" style="4" customWidth="1"/>
    <col min="15613" max="15613" width="9.85546875" style="4" customWidth="1"/>
    <col min="15614" max="15614" width="8.85546875" style="4" customWidth="1"/>
    <col min="15615" max="15615" width="8.7109375" style="4" customWidth="1"/>
    <col min="15616" max="15616" width="9.28515625" style="4" customWidth="1"/>
    <col min="15617" max="15617" width="8.85546875" style="4" customWidth="1"/>
    <col min="15618" max="15618" width="8.7109375" style="4" customWidth="1"/>
    <col min="15619" max="15619" width="9.5703125" style="4" customWidth="1"/>
    <col min="15620" max="15620" width="8.85546875" style="4" customWidth="1"/>
    <col min="15621" max="15621" width="11.140625" style="4" customWidth="1"/>
    <col min="15622" max="15622" width="10.140625" style="4" customWidth="1"/>
    <col min="15623" max="15623" width="13.7109375" style="4" customWidth="1"/>
    <col min="15624" max="15624" width="10.140625" style="4" customWidth="1"/>
    <col min="15625" max="15625" width="11" style="4" customWidth="1"/>
    <col min="15626" max="15626" width="11.7109375" style="4" customWidth="1"/>
    <col min="15627" max="15627" width="12.28515625" style="4" customWidth="1"/>
    <col min="15628" max="15628" width="9.7109375" style="4" customWidth="1"/>
    <col min="15629" max="15629" width="12.85546875" style="4" customWidth="1"/>
    <col min="15630" max="15630" width="9.28515625" style="4" customWidth="1"/>
    <col min="15631" max="15862" width="9.140625" style="4"/>
    <col min="15863" max="15863" width="6.7109375" style="4" customWidth="1"/>
    <col min="15864" max="15864" width="7.85546875" style="4" customWidth="1"/>
    <col min="15865" max="15865" width="12.140625" style="4" customWidth="1"/>
    <col min="15866" max="15866" width="10.28515625" style="4" customWidth="1"/>
    <col min="15867" max="15867" width="8.28515625" style="4" customWidth="1"/>
    <col min="15868" max="15868" width="8.7109375" style="4" customWidth="1"/>
    <col min="15869" max="15869" width="9.85546875" style="4" customWidth="1"/>
    <col min="15870" max="15870" width="8.85546875" style="4" customWidth="1"/>
    <col min="15871" max="15871" width="8.7109375" style="4" customWidth="1"/>
    <col min="15872" max="15872" width="9.28515625" style="4" customWidth="1"/>
    <col min="15873" max="15873" width="8.85546875" style="4" customWidth="1"/>
    <col min="15874" max="15874" width="8.7109375" style="4" customWidth="1"/>
    <col min="15875" max="15875" width="9.5703125" style="4" customWidth="1"/>
    <col min="15876" max="15876" width="8.85546875" style="4" customWidth="1"/>
    <col min="15877" max="15877" width="11.140625" style="4" customWidth="1"/>
    <col min="15878" max="15878" width="10.140625" style="4" customWidth="1"/>
    <col min="15879" max="15879" width="13.7109375" style="4" customWidth="1"/>
    <col min="15880" max="15880" width="10.140625" style="4" customWidth="1"/>
    <col min="15881" max="15881" width="11" style="4" customWidth="1"/>
    <col min="15882" max="15882" width="11.7109375" style="4" customWidth="1"/>
    <col min="15883" max="15883" width="12.28515625" style="4" customWidth="1"/>
    <col min="15884" max="15884" width="9.7109375" style="4" customWidth="1"/>
    <col min="15885" max="15885" width="12.85546875" style="4" customWidth="1"/>
    <col min="15886" max="15886" width="9.28515625" style="4" customWidth="1"/>
    <col min="15887" max="16118" width="9.140625" style="4"/>
    <col min="16119" max="16119" width="6.7109375" style="4" customWidth="1"/>
    <col min="16120" max="16120" width="7.85546875" style="4" customWidth="1"/>
    <col min="16121" max="16121" width="12.140625" style="4" customWidth="1"/>
    <col min="16122" max="16122" width="10.28515625" style="4" customWidth="1"/>
    <col min="16123" max="16123" width="8.28515625" style="4" customWidth="1"/>
    <col min="16124" max="16124" width="8.7109375" style="4" customWidth="1"/>
    <col min="16125" max="16125" width="9.85546875" style="4" customWidth="1"/>
    <col min="16126" max="16126" width="8.85546875" style="4" customWidth="1"/>
    <col min="16127" max="16127" width="8.7109375" style="4" customWidth="1"/>
    <col min="16128" max="16128" width="9.28515625" style="4" customWidth="1"/>
    <col min="16129" max="16129" width="8.85546875" style="4" customWidth="1"/>
    <col min="16130" max="16130" width="8.7109375" style="4" customWidth="1"/>
    <col min="16131" max="16131" width="9.5703125" style="4" customWidth="1"/>
    <col min="16132" max="16132" width="8.85546875" style="4" customWidth="1"/>
    <col min="16133" max="16133" width="11.140625" style="4" customWidth="1"/>
    <col min="16134" max="16134" width="10.140625" style="4" customWidth="1"/>
    <col min="16135" max="16135" width="13.7109375" style="4" customWidth="1"/>
    <col min="16136" max="16136" width="10.140625" style="4" customWidth="1"/>
    <col min="16137" max="16137" width="11" style="4" customWidth="1"/>
    <col min="16138" max="16138" width="11.7109375" style="4" customWidth="1"/>
    <col min="16139" max="16139" width="12.28515625" style="4" customWidth="1"/>
    <col min="16140" max="16140" width="9.7109375" style="4" customWidth="1"/>
    <col min="16141" max="16141" width="12.85546875" style="4" customWidth="1"/>
    <col min="16142" max="16142" width="9.28515625" style="4" customWidth="1"/>
    <col min="16143" max="16371" width="9.140625" style="4"/>
    <col min="16372" max="16384" width="10.140625" style="4" customWidth="1"/>
  </cols>
  <sheetData>
    <row r="1" spans="1:20" s="111" customFormat="1" ht="48" customHeight="1">
      <c r="A1" s="596" t="s">
        <v>87</v>
      </c>
      <c r="B1" s="596"/>
      <c r="C1" s="596"/>
      <c r="D1" s="596"/>
      <c r="E1" s="596"/>
      <c r="F1" s="596"/>
      <c r="G1" s="596"/>
      <c r="H1" s="596"/>
      <c r="I1" s="596"/>
      <c r="J1" s="596"/>
      <c r="K1" s="596"/>
      <c r="L1" s="108"/>
      <c r="M1" s="109"/>
      <c r="N1" s="110"/>
    </row>
    <row r="2" spans="1:20" s="112" customFormat="1" ht="18" customHeight="1">
      <c r="A2" s="597" t="s">
        <v>599</v>
      </c>
      <c r="B2" s="597"/>
      <c r="C2" s="597"/>
      <c r="D2" s="597"/>
      <c r="E2" s="597"/>
      <c r="F2" s="597"/>
      <c r="G2" s="597"/>
      <c r="H2" s="597"/>
      <c r="I2" s="597"/>
      <c r="J2" s="597"/>
      <c r="K2" s="597"/>
    </row>
    <row r="3" spans="1:20" s="112" customFormat="1" ht="17.100000000000001" customHeight="1">
      <c r="A3" s="627" t="s">
        <v>88</v>
      </c>
      <c r="B3" s="627"/>
      <c r="C3" s="627"/>
      <c r="D3" s="627"/>
      <c r="E3" s="627"/>
      <c r="F3" s="627"/>
      <c r="G3" s="627"/>
      <c r="H3" s="627"/>
      <c r="I3" s="627"/>
      <c r="J3" s="627"/>
      <c r="K3" s="627"/>
    </row>
    <row r="4" spans="1:20" s="16" customFormat="1" ht="15.75" customHeight="1">
      <c r="A4" s="21" t="s">
        <v>327</v>
      </c>
      <c r="B4" s="24"/>
      <c r="C4" s="18"/>
      <c r="D4" s="18"/>
      <c r="E4" s="18"/>
      <c r="F4" s="19"/>
      <c r="G4" s="19"/>
      <c r="H4" s="19"/>
      <c r="I4" s="19"/>
      <c r="J4" s="19"/>
      <c r="K4" s="32"/>
      <c r="L4" s="16">
        <f>THKL!A8</f>
        <v>6</v>
      </c>
      <c r="Q4" s="17"/>
    </row>
    <row r="5" spans="1:20" s="16" customFormat="1" ht="15.75" customHeight="1">
      <c r="A5" s="91" t="str">
        <f>L5&amp;M5&amp;". "&amp;N5</f>
        <v>Hạng mục C.III.2. Đào thanh thải, hoàn trả mặt bằng</v>
      </c>
      <c r="B5" s="24"/>
      <c r="C5" s="18"/>
      <c r="D5" s="18"/>
      <c r="E5" s="18"/>
      <c r="F5" s="19"/>
      <c r="G5" s="19"/>
      <c r="H5" s="19"/>
      <c r="I5" s="19"/>
      <c r="J5" s="19"/>
      <c r="K5" s="32"/>
      <c r="L5" s="6" t="s">
        <v>328</v>
      </c>
      <c r="M5" s="16" t="s">
        <v>121</v>
      </c>
      <c r="N5" s="245" t="str">
        <f>'PHAN KHAI'!C180</f>
        <v>Đào thanh thải, hoàn trả mặt bằng</v>
      </c>
      <c r="Q5" s="17"/>
    </row>
    <row r="6" spans="1:20" s="16" customFormat="1" ht="15.75" customHeight="1">
      <c r="A6" s="91" t="str">
        <f>L6&amp;M6&amp;". "&amp;N6</f>
        <v>Mục C.III.2.1. Đào thanh thải</v>
      </c>
      <c r="B6" s="24"/>
      <c r="C6" s="18"/>
      <c r="D6" s="18"/>
      <c r="E6" s="18"/>
      <c r="F6" s="19"/>
      <c r="G6" s="19"/>
      <c r="H6" s="19"/>
      <c r="I6" s="19"/>
      <c r="J6" s="19"/>
      <c r="K6" s="32"/>
      <c r="L6" s="6" t="str">
        <f>"Mục C."&amp;M5&amp;"."</f>
        <v>Mục C.III.2.</v>
      </c>
      <c r="M6" s="16">
        <v>1</v>
      </c>
      <c r="N6" s="245" t="str">
        <f>THKLQT!C181</f>
        <v>Đào thanh thải</v>
      </c>
      <c r="Q6" s="17"/>
    </row>
    <row r="7" spans="1:20" s="178" customFormat="1" ht="18.75" customHeight="1">
      <c r="A7" s="634">
        <f>I14</f>
        <v>180.05</v>
      </c>
      <c r="B7" s="635"/>
      <c r="C7" s="635"/>
      <c r="D7" s="635"/>
      <c r="E7" s="106" t="str">
        <f>"("&amp;L7&amp;")"</f>
        <v>(m3)</v>
      </c>
      <c r="F7" s="113"/>
      <c r="G7" s="113"/>
      <c r="H7" s="113"/>
      <c r="I7" s="113"/>
      <c r="J7" s="113"/>
      <c r="K7" s="114"/>
      <c r="L7" s="26" t="str">
        <f>THKLQT!D181</f>
        <v>m3</v>
      </c>
    </row>
    <row r="8" spans="1:20" s="11" customFormat="1" ht="15" customHeight="1" thickBot="1">
      <c r="A8" s="25"/>
      <c r="B8" s="15"/>
      <c r="C8" s="15"/>
      <c r="D8" s="15"/>
      <c r="E8" s="15"/>
      <c r="F8" s="15"/>
      <c r="G8" s="15"/>
      <c r="H8" s="15"/>
      <c r="I8" s="15"/>
      <c r="J8" s="15"/>
      <c r="K8" s="15"/>
      <c r="L8" s="29"/>
      <c r="M8" s="29"/>
      <c r="N8" s="29"/>
      <c r="O8" s="29"/>
      <c r="P8" s="29"/>
    </row>
    <row r="9" spans="1:20" ht="15.95" customHeight="1" thickTop="1">
      <c r="A9" s="628" t="s">
        <v>3</v>
      </c>
      <c r="B9" s="630" t="s">
        <v>1</v>
      </c>
      <c r="C9" s="606" t="s">
        <v>70</v>
      </c>
      <c r="D9" s="607"/>
      <c r="E9" s="608"/>
      <c r="F9" s="636" t="s">
        <v>92</v>
      </c>
      <c r="G9" s="636" t="s">
        <v>93</v>
      </c>
      <c r="H9" s="636" t="s">
        <v>94</v>
      </c>
      <c r="I9" s="636" t="s">
        <v>89</v>
      </c>
      <c r="J9" s="636" t="s">
        <v>95</v>
      </c>
      <c r="K9" s="632" t="s">
        <v>85</v>
      </c>
      <c r="L9" s="287"/>
    </row>
    <row r="10" spans="1:20" ht="15.95" customHeight="1">
      <c r="A10" s="629"/>
      <c r="B10" s="631"/>
      <c r="C10" s="609"/>
      <c r="D10" s="610"/>
      <c r="E10" s="611"/>
      <c r="F10" s="637"/>
      <c r="G10" s="637"/>
      <c r="H10" s="637"/>
      <c r="I10" s="637"/>
      <c r="J10" s="637"/>
      <c r="K10" s="633"/>
      <c r="N10" s="118"/>
      <c r="O10" s="118"/>
      <c r="P10" s="88" t="s">
        <v>72</v>
      </c>
      <c r="Q10" s="84" t="s">
        <v>71</v>
      </c>
      <c r="R10" s="88" t="s">
        <v>2</v>
      </c>
      <c r="S10" s="88" t="s">
        <v>73</v>
      </c>
      <c r="T10" s="88" t="s">
        <v>70</v>
      </c>
    </row>
    <row r="11" spans="1:20" ht="15.95" customHeight="1">
      <c r="A11" s="629"/>
      <c r="B11" s="631"/>
      <c r="C11" s="612"/>
      <c r="D11" s="613"/>
      <c r="E11" s="614"/>
      <c r="F11" s="638"/>
      <c r="G11" s="638"/>
      <c r="H11" s="638"/>
      <c r="I11" s="638"/>
      <c r="J11" s="638"/>
      <c r="K11" s="633"/>
      <c r="N11" s="118"/>
      <c r="O11" s="118"/>
      <c r="P11" s="85">
        <f>THKL!A10</f>
        <v>7</v>
      </c>
      <c r="Q11" s="86">
        <f>P11</f>
        <v>7</v>
      </c>
      <c r="R11" s="86"/>
      <c r="S11" s="86">
        <f>THKL!A6</f>
        <v>4</v>
      </c>
      <c r="T11" s="87">
        <f>THKL!A10</f>
        <v>7</v>
      </c>
    </row>
    <row r="12" spans="1:20" ht="14.25" outlineLevel="2">
      <c r="A12" s="81">
        <f>SUBTOTAL(103,$B$12:B12)</f>
        <v>1</v>
      </c>
      <c r="B12" s="78">
        <f>Q12</f>
        <v>43437</v>
      </c>
      <c r="C12" s="571" t="str">
        <f>T12</f>
        <v xml:space="preserve">Đào thanh thải </v>
      </c>
      <c r="D12" s="572"/>
      <c r="E12" s="573"/>
      <c r="F12" s="2">
        <f>P12</f>
        <v>180.05</v>
      </c>
      <c r="G12" s="1">
        <f>P12</f>
        <v>180.05</v>
      </c>
      <c r="H12" s="295">
        <f>P12</f>
        <v>180.05</v>
      </c>
      <c r="I12" s="107">
        <f>P12</f>
        <v>180.05</v>
      </c>
      <c r="J12" s="107">
        <f>P12</f>
        <v>180.05</v>
      </c>
      <c r="K12" s="82"/>
      <c r="N12" s="118"/>
      <c r="O12" s="118"/>
      <c r="P12" s="88">
        <v>180.05</v>
      </c>
      <c r="Q12" s="89">
        <v>43437</v>
      </c>
      <c r="R12" s="88"/>
      <c r="S12" s="88" t="e">
        <f>VLOOKUP($S$11,hamchuigoi3,M12,0)</f>
        <v>#VALUE!</v>
      </c>
      <c r="T12" s="3" t="str">
        <f>$N$6&amp;" "&amp;O12</f>
        <v xml:space="preserve">Đào thanh thải </v>
      </c>
    </row>
    <row r="13" spans="1:20" ht="14.25" outlineLevel="2">
      <c r="A13" s="81"/>
      <c r="B13" s="78"/>
      <c r="C13" s="571"/>
      <c r="D13" s="572"/>
      <c r="E13" s="573"/>
      <c r="F13" s="27"/>
      <c r="G13" s="33"/>
      <c r="H13" s="31"/>
      <c r="I13" s="107"/>
      <c r="J13" s="107"/>
      <c r="K13" s="82"/>
      <c r="N13" s="118"/>
      <c r="O13" s="118"/>
      <c r="P13" s="88"/>
      <c r="Q13" s="89"/>
      <c r="R13" s="88"/>
      <c r="S13" s="88"/>
      <c r="T13" s="3"/>
    </row>
    <row r="14" spans="1:20" thickBot="1">
      <c r="A14" s="574" t="s">
        <v>4</v>
      </c>
      <c r="B14" s="575"/>
      <c r="C14" s="575"/>
      <c r="D14" s="575"/>
      <c r="E14" s="575"/>
      <c r="F14" s="79">
        <f>ROUND(SUM(F12:F13),2)</f>
        <v>180.05</v>
      </c>
      <c r="G14" s="79">
        <f>ROUND(SUM(G12:G13),2)</f>
        <v>180.05</v>
      </c>
      <c r="H14" s="79">
        <f>ROUND(SUM(H12:H13),2)</f>
        <v>180.05</v>
      </c>
      <c r="I14" s="79">
        <f>ROUND(SUM(I12:I13),2)</f>
        <v>180.05</v>
      </c>
      <c r="J14" s="79">
        <f>ROUND(SUM(J12:J13),2)</f>
        <v>180.05</v>
      </c>
      <c r="K14" s="80"/>
      <c r="N14" s="118"/>
      <c r="O14" s="118"/>
      <c r="P14" s="90">
        <f>SUM(P12:P12)</f>
        <v>180.05</v>
      </c>
    </row>
    <row r="15" spans="1:20" s="175" customFormat="1" ht="18" customHeight="1" thickTop="1" thickBot="1">
      <c r="A15" s="288"/>
      <c r="B15" s="288"/>
      <c r="C15" s="288"/>
      <c r="D15" s="288"/>
      <c r="E15" s="288"/>
      <c r="F15" s="116"/>
      <c r="G15" s="116"/>
      <c r="H15" s="116"/>
      <c r="I15" s="116"/>
      <c r="J15" s="116"/>
      <c r="K15" s="117"/>
      <c r="L15" s="4"/>
      <c r="M15" s="4"/>
      <c r="N15" s="118"/>
      <c r="O15" s="118"/>
      <c r="P15" s="119"/>
      <c r="Q15" s="120"/>
      <c r="R15" s="120"/>
      <c r="S15" s="120"/>
      <c r="T15" s="121"/>
    </row>
    <row r="16" spans="1:20" s="5" customFormat="1" ht="13.9" customHeight="1" thickTop="1">
      <c r="A16" s="578" t="s">
        <v>68</v>
      </c>
      <c r="B16" s="579"/>
      <c r="C16" s="579"/>
      <c r="D16" s="579"/>
      <c r="E16" s="579"/>
      <c r="F16" s="580" t="s">
        <v>69</v>
      </c>
      <c r="G16" s="580"/>
      <c r="H16" s="580"/>
      <c r="I16" s="581"/>
      <c r="J16" s="581"/>
      <c r="K16" s="582"/>
      <c r="L16" s="4"/>
      <c r="M16" s="4"/>
      <c r="N16" s="4"/>
      <c r="O16" s="4"/>
      <c r="P16" s="4"/>
    </row>
    <row r="17" spans="1:20" s="5" customFormat="1" ht="13.9" customHeight="1">
      <c r="A17" s="583" t="s">
        <v>5</v>
      </c>
      <c r="B17" s="584"/>
      <c r="C17" s="584"/>
      <c r="D17" s="584"/>
      <c r="E17" s="584"/>
      <c r="F17" s="585" t="s">
        <v>6</v>
      </c>
      <c r="G17" s="585"/>
      <c r="H17" s="585"/>
      <c r="I17" s="586"/>
      <c r="J17" s="586"/>
      <c r="K17" s="587"/>
      <c r="L17" s="4"/>
      <c r="M17" s="4"/>
      <c r="N17" s="4"/>
      <c r="O17" s="4"/>
      <c r="P17" s="4"/>
    </row>
    <row r="18" spans="1:20" s="5" customFormat="1" ht="13.9" customHeight="1">
      <c r="A18" s="583" t="s">
        <v>836</v>
      </c>
      <c r="B18" s="584"/>
      <c r="C18" s="584"/>
      <c r="D18" s="584"/>
      <c r="E18" s="584"/>
      <c r="F18" s="590" t="s">
        <v>837</v>
      </c>
      <c r="G18" s="590"/>
      <c r="H18" s="590"/>
      <c r="I18" s="591"/>
      <c r="J18" s="591"/>
      <c r="K18" s="592"/>
      <c r="L18" s="4"/>
      <c r="M18" s="4"/>
      <c r="N18" s="4"/>
      <c r="O18" s="4"/>
      <c r="P18" s="4"/>
    </row>
    <row r="19" spans="1:20" s="5" customFormat="1" ht="13.9" customHeight="1">
      <c r="A19" s="583"/>
      <c r="B19" s="584"/>
      <c r="C19" s="584"/>
      <c r="D19" s="584"/>
      <c r="E19" s="584"/>
      <c r="F19" s="590"/>
      <c r="G19" s="590"/>
      <c r="H19" s="590"/>
      <c r="I19" s="591"/>
      <c r="J19" s="591"/>
      <c r="K19" s="592"/>
      <c r="L19" s="4"/>
      <c r="M19" s="4"/>
      <c r="N19" s="4"/>
      <c r="O19" s="4"/>
      <c r="P19" s="4"/>
    </row>
    <row r="20" spans="1:20" s="5" customFormat="1" ht="13.9" customHeight="1">
      <c r="A20" s="583"/>
      <c r="B20" s="584"/>
      <c r="C20" s="584"/>
      <c r="D20" s="584"/>
      <c r="E20" s="584"/>
      <c r="F20" s="590"/>
      <c r="G20" s="590"/>
      <c r="H20" s="590"/>
      <c r="I20" s="591"/>
      <c r="J20" s="591"/>
      <c r="K20" s="592"/>
      <c r="L20" s="4"/>
      <c r="M20" s="4"/>
      <c r="N20" s="4"/>
      <c r="O20" s="4"/>
      <c r="P20" s="4"/>
    </row>
    <row r="21" spans="1:20" s="5" customFormat="1" ht="13.9" customHeight="1">
      <c r="A21" s="583"/>
      <c r="B21" s="584"/>
      <c r="C21" s="584"/>
      <c r="D21" s="584"/>
      <c r="E21" s="584"/>
      <c r="F21" s="590"/>
      <c r="G21" s="590"/>
      <c r="H21" s="590"/>
      <c r="I21" s="591"/>
      <c r="J21" s="591"/>
      <c r="K21" s="592"/>
      <c r="L21" s="4"/>
      <c r="M21" s="4"/>
      <c r="N21" s="4"/>
      <c r="O21" s="4"/>
      <c r="P21" s="4"/>
    </row>
    <row r="22" spans="1:20" s="5" customFormat="1" ht="13.9" customHeight="1">
      <c r="A22" s="583"/>
      <c r="B22" s="584"/>
      <c r="C22" s="584"/>
      <c r="D22" s="584"/>
      <c r="E22" s="584"/>
      <c r="F22" s="590"/>
      <c r="G22" s="590"/>
      <c r="H22" s="590"/>
      <c r="I22" s="591"/>
      <c r="J22" s="591"/>
      <c r="K22" s="592"/>
      <c r="L22" s="4"/>
      <c r="M22" s="4"/>
      <c r="N22" s="4"/>
      <c r="O22" s="4"/>
      <c r="P22" s="4"/>
    </row>
    <row r="23" spans="1:20" s="5" customFormat="1" ht="13.9" customHeight="1">
      <c r="A23" s="583"/>
      <c r="B23" s="584"/>
      <c r="C23" s="584"/>
      <c r="D23" s="584"/>
      <c r="E23" s="584"/>
      <c r="F23" s="590"/>
      <c r="G23" s="590"/>
      <c r="H23" s="590"/>
      <c r="I23" s="591"/>
      <c r="J23" s="591"/>
      <c r="K23" s="592"/>
      <c r="L23" s="4"/>
      <c r="M23" s="4"/>
      <c r="N23" s="4"/>
      <c r="O23" s="4"/>
      <c r="P23" s="4"/>
    </row>
    <row r="24" spans="1:20" s="5" customFormat="1" ht="13.9" customHeight="1" thickBot="1">
      <c r="A24" s="588"/>
      <c r="B24" s="589"/>
      <c r="C24" s="589"/>
      <c r="D24" s="589"/>
      <c r="E24" s="589"/>
      <c r="F24" s="593"/>
      <c r="G24" s="593"/>
      <c r="H24" s="593"/>
      <c r="I24" s="594"/>
      <c r="J24" s="594"/>
      <c r="K24" s="595"/>
      <c r="L24" s="4"/>
      <c r="M24" s="4"/>
      <c r="N24" s="4"/>
      <c r="O24" s="4"/>
      <c r="P24" s="4"/>
    </row>
    <row r="25" spans="1:20" s="175" customFormat="1" ht="18" customHeight="1" thickTop="1">
      <c r="A25" s="288"/>
      <c r="B25" s="288"/>
      <c r="C25" s="288"/>
      <c r="D25" s="288"/>
      <c r="E25" s="288"/>
      <c r="F25" s="116"/>
      <c r="G25" s="116"/>
      <c r="H25" s="116"/>
      <c r="I25" s="116"/>
      <c r="J25" s="116"/>
      <c r="K25" s="117"/>
      <c r="L25" s="118"/>
      <c r="M25" s="118"/>
      <c r="N25" s="118"/>
      <c r="O25" s="118"/>
      <c r="P25" s="119"/>
      <c r="Q25" s="120"/>
      <c r="R25" s="120"/>
      <c r="S25" s="120"/>
      <c r="T25" s="121"/>
    </row>
    <row r="26" spans="1:20" s="111" customFormat="1" ht="48" customHeight="1">
      <c r="A26" s="596" t="s">
        <v>87</v>
      </c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08"/>
      <c r="M26" s="109"/>
      <c r="N26" s="110"/>
    </row>
    <row r="27" spans="1:20" s="112" customFormat="1" ht="18" customHeight="1">
      <c r="A27" s="597" t="s">
        <v>599</v>
      </c>
      <c r="B27" s="597"/>
      <c r="C27" s="597"/>
      <c r="D27" s="597"/>
      <c r="E27" s="597"/>
      <c r="F27" s="597"/>
      <c r="G27" s="597"/>
      <c r="H27" s="597"/>
      <c r="I27" s="597"/>
      <c r="J27" s="597"/>
      <c r="K27" s="597"/>
    </row>
    <row r="28" spans="1:20" s="175" customFormat="1" ht="20.100000000000001" customHeight="1">
      <c r="A28" s="598" t="s">
        <v>90</v>
      </c>
      <c r="B28" s="598"/>
      <c r="C28" s="598"/>
      <c r="D28" s="598"/>
      <c r="E28" s="598"/>
      <c r="F28" s="598"/>
      <c r="G28" s="598"/>
      <c r="H28" s="598"/>
      <c r="I28" s="598"/>
      <c r="J28" s="598"/>
      <c r="K28" s="598"/>
      <c r="L28" s="123"/>
      <c r="M28" s="124"/>
      <c r="N28" s="123"/>
      <c r="O28" s="123"/>
      <c r="P28" s="123"/>
      <c r="Q28" s="123"/>
      <c r="R28" s="123"/>
      <c r="S28" s="123"/>
      <c r="T28" s="123"/>
    </row>
    <row r="29" spans="1:20" s="175" customFormat="1" ht="15.95" customHeight="1">
      <c r="A29" s="599" t="s">
        <v>91</v>
      </c>
      <c r="B29" s="599"/>
      <c r="C29" s="599"/>
      <c r="D29" s="599"/>
      <c r="E29" s="599"/>
      <c r="F29" s="599"/>
      <c r="G29" s="599"/>
      <c r="H29" s="599"/>
      <c r="I29" s="599"/>
      <c r="J29" s="599"/>
      <c r="K29" s="599"/>
      <c r="L29" s="123"/>
      <c r="M29" s="124"/>
      <c r="N29" s="123"/>
      <c r="O29" s="123"/>
      <c r="P29" s="123"/>
      <c r="Q29" s="123"/>
      <c r="R29" s="123"/>
      <c r="S29" s="123"/>
      <c r="T29" s="123"/>
    </row>
    <row r="30" spans="1:20" s="175" customFormat="1" ht="15.95" customHeight="1">
      <c r="A30" s="600" t="str">
        <f>A4</f>
        <v>PHẦN C.: CẦU VƯỢT</v>
      </c>
      <c r="B30" s="601"/>
      <c r="C30" s="601"/>
      <c r="D30" s="601"/>
      <c r="E30" s="601"/>
      <c r="F30" s="601"/>
      <c r="G30" s="601"/>
      <c r="H30" s="601"/>
      <c r="I30" s="601"/>
      <c r="J30" s="601"/>
      <c r="K30" s="602"/>
      <c r="L30" s="123"/>
      <c r="M30" s="124"/>
      <c r="N30" s="123"/>
      <c r="O30" s="123"/>
      <c r="P30" s="123"/>
      <c r="Q30" s="123"/>
      <c r="R30" s="123"/>
      <c r="S30" s="123"/>
      <c r="T30" s="123"/>
    </row>
    <row r="31" spans="1:20" s="175" customFormat="1" ht="15.95" customHeight="1">
      <c r="A31" s="289" t="str">
        <f>A5</f>
        <v>Hạng mục C.III.2. Đào thanh thải, hoàn trả mặt bằng</v>
      </c>
      <c r="B31" s="290"/>
      <c r="C31" s="127"/>
      <c r="D31" s="127"/>
      <c r="E31" s="128"/>
      <c r="F31" s="129"/>
      <c r="G31" s="129"/>
      <c r="H31" s="129"/>
      <c r="I31" s="129"/>
      <c r="J31" s="129"/>
      <c r="K31" s="130"/>
      <c r="L31" s="123"/>
      <c r="M31" s="124"/>
      <c r="N31" s="123"/>
      <c r="O31" s="123"/>
      <c r="P31" s="123"/>
      <c r="Q31" s="123"/>
      <c r="R31" s="123"/>
      <c r="S31" s="123"/>
      <c r="T31" s="123"/>
    </row>
    <row r="32" spans="1:20" s="175" customFormat="1" ht="15.95" customHeight="1">
      <c r="A32" s="289" t="str">
        <f>A6</f>
        <v>Mục C.III.2.1. Đào thanh thải</v>
      </c>
      <c r="B32" s="290"/>
      <c r="C32" s="127"/>
      <c r="D32" s="127"/>
      <c r="E32" s="128"/>
      <c r="F32" s="129"/>
      <c r="G32" s="129"/>
      <c r="H32" s="129"/>
      <c r="I32" s="129"/>
      <c r="J32" s="129"/>
      <c r="K32" s="130"/>
      <c r="L32" s="123"/>
      <c r="M32" s="124"/>
      <c r="N32" s="123"/>
      <c r="O32" s="123"/>
      <c r="P32" s="123"/>
      <c r="Q32" s="123"/>
      <c r="R32" s="123"/>
      <c r="S32" s="123"/>
      <c r="T32" s="123"/>
    </row>
    <row r="33" spans="1:20" s="175" customFormat="1" ht="15.95" customHeight="1">
      <c r="A33" s="639">
        <f>A7</f>
        <v>180.05</v>
      </c>
      <c r="B33" s="640"/>
      <c r="C33" s="640"/>
      <c r="D33" s="640"/>
      <c r="E33" s="131" t="str">
        <f>E7</f>
        <v>(m3)</v>
      </c>
      <c r="F33" s="132"/>
      <c r="G33" s="132"/>
      <c r="H33" s="132"/>
      <c r="I33" s="132"/>
      <c r="J33" s="132"/>
      <c r="K33" s="133"/>
      <c r="L33" s="173"/>
      <c r="M33" s="135"/>
      <c r="N33" s="174"/>
      <c r="P33" s="174"/>
    </row>
    <row r="34" spans="1:20" s="5" customFormat="1" ht="13.5" customHeight="1" thickBot="1">
      <c r="A34" s="28"/>
      <c r="B34" s="28"/>
      <c r="C34" s="28"/>
      <c r="D34" s="28"/>
      <c r="E34" s="28"/>
      <c r="F34" s="30"/>
      <c r="G34" s="30"/>
      <c r="H34" s="30"/>
      <c r="I34" s="30"/>
      <c r="J34" s="30"/>
      <c r="K34" s="8"/>
      <c r="L34" s="23"/>
      <c r="M34" s="9"/>
      <c r="N34" s="4"/>
      <c r="O34" s="4"/>
      <c r="P34" s="4"/>
      <c r="R34" s="4"/>
      <c r="S34" s="4"/>
      <c r="T34" s="4"/>
    </row>
    <row r="35" spans="1:20" s="5" customFormat="1" ht="21.6" customHeight="1" thickTop="1">
      <c r="A35" s="576" t="s">
        <v>3</v>
      </c>
      <c r="B35" s="641" t="s">
        <v>84</v>
      </c>
      <c r="C35" s="641"/>
      <c r="D35" s="643" t="s">
        <v>96</v>
      </c>
      <c r="E35" s="643"/>
      <c r="F35" s="643"/>
      <c r="G35" s="643"/>
      <c r="H35" s="641" t="s">
        <v>89</v>
      </c>
      <c r="I35" s="641"/>
      <c r="J35" s="641" t="s">
        <v>85</v>
      </c>
      <c r="K35" s="645"/>
      <c r="L35"/>
      <c r="M35" s="94"/>
      <c r="N35" s="94"/>
      <c r="O35" s="95"/>
      <c r="P35" s="96"/>
    </row>
    <row r="36" spans="1:20" s="5" customFormat="1" ht="21.6" customHeight="1">
      <c r="A36" s="577"/>
      <c r="B36" s="642"/>
      <c r="C36" s="642"/>
      <c r="D36" s="644"/>
      <c r="E36" s="644"/>
      <c r="F36" s="644"/>
      <c r="G36" s="644"/>
      <c r="H36" s="642"/>
      <c r="I36" s="642"/>
      <c r="J36" s="642"/>
      <c r="K36" s="646"/>
      <c r="L36"/>
      <c r="M36" s="97"/>
      <c r="N36" s="97"/>
      <c r="O36" s="98"/>
      <c r="P36" s="99"/>
    </row>
    <row r="37" spans="1:20" s="5" customFormat="1" ht="17.100000000000001" customHeight="1">
      <c r="A37" s="100">
        <v>1</v>
      </c>
      <c r="B37" s="623" t="str">
        <f>"Tháng "&amp;IF(L37&lt;10,0&amp;L37&amp;"/"&amp;M37,L37&amp;"/"&amp;M37)</f>
        <v>Tháng 08/2017</v>
      </c>
      <c r="C37" s="623"/>
      <c r="D37" s="624" t="str">
        <f>N6</f>
        <v>Đào thanh thải</v>
      </c>
      <c r="E37" s="624"/>
      <c r="F37" s="624"/>
      <c r="G37" s="624"/>
      <c r="H37" s="625">
        <f t="shared" ref="H37:H60" si="0">+SUMIFS($I$12:$I$13,$B$12:$B$13,"&gt;="&amp;$O37,$B$12:$B$13,"&lt;="&amp;$P37)</f>
        <v>0</v>
      </c>
      <c r="I37" s="625"/>
      <c r="J37" s="623"/>
      <c r="K37" s="626"/>
      <c r="L37">
        <v>8</v>
      </c>
      <c r="M37" s="101">
        <v>2017</v>
      </c>
      <c r="N37" s="97"/>
      <c r="O37" s="103">
        <f t="shared" ref="O37:O61" si="1">DATE(M37,L37,1)</f>
        <v>42948</v>
      </c>
      <c r="P37" s="103">
        <f t="shared" ref="P37:P61" si="2">DATE(M37,L37+1,0)</f>
        <v>42978</v>
      </c>
    </row>
    <row r="38" spans="1:20" s="5" customFormat="1" ht="17.100000000000001" customHeight="1">
      <c r="A38" s="104">
        <v>2</v>
      </c>
      <c r="B38" s="567" t="str">
        <f t="shared" ref="B38:B62" si="3">"Tháng "&amp;IF(L38&lt;10,0&amp;L38&amp;"/"&amp;M38,L38&amp;"/"&amp;M38)</f>
        <v>Tháng 09/2017</v>
      </c>
      <c r="C38" s="567"/>
      <c r="D38" s="568" t="str">
        <f>D37</f>
        <v>Đào thanh thải</v>
      </c>
      <c r="E38" s="568"/>
      <c r="F38" s="568"/>
      <c r="G38" s="568"/>
      <c r="H38" s="569">
        <f t="shared" si="0"/>
        <v>0</v>
      </c>
      <c r="I38" s="569"/>
      <c r="J38" s="567"/>
      <c r="K38" s="570"/>
      <c r="L38">
        <v>9</v>
      </c>
      <c r="M38" s="101">
        <v>2017</v>
      </c>
      <c r="N38"/>
      <c r="O38" s="103">
        <f t="shared" si="1"/>
        <v>42979</v>
      </c>
      <c r="P38" s="103">
        <f t="shared" si="2"/>
        <v>43008</v>
      </c>
    </row>
    <row r="39" spans="1:20" s="5" customFormat="1" ht="17.100000000000001" customHeight="1">
      <c r="A39" s="104">
        <f>A38+1</f>
        <v>3</v>
      </c>
      <c r="B39" s="567" t="str">
        <f t="shared" si="3"/>
        <v>Tháng 10/2017</v>
      </c>
      <c r="C39" s="567"/>
      <c r="D39" s="568" t="str">
        <f t="shared" ref="D39:D61" si="4">D38</f>
        <v>Đào thanh thải</v>
      </c>
      <c r="E39" s="568"/>
      <c r="F39" s="568"/>
      <c r="G39" s="568"/>
      <c r="H39" s="569">
        <f t="shared" si="0"/>
        <v>0</v>
      </c>
      <c r="I39" s="569"/>
      <c r="J39" s="567"/>
      <c r="K39" s="570"/>
      <c r="L39">
        <v>10</v>
      </c>
      <c r="M39" s="101">
        <v>2017</v>
      </c>
      <c r="N39"/>
      <c r="O39" s="103">
        <f t="shared" si="1"/>
        <v>43009</v>
      </c>
      <c r="P39" s="103">
        <f t="shared" si="2"/>
        <v>43039</v>
      </c>
    </row>
    <row r="40" spans="1:20" s="5" customFormat="1" ht="17.100000000000001" customHeight="1">
      <c r="A40" s="104">
        <f t="shared" ref="A40:A62" si="5">A39+1</f>
        <v>4</v>
      </c>
      <c r="B40" s="567" t="str">
        <f t="shared" si="3"/>
        <v>Tháng 11/2017</v>
      </c>
      <c r="C40" s="567"/>
      <c r="D40" s="568" t="str">
        <f t="shared" si="4"/>
        <v>Đào thanh thải</v>
      </c>
      <c r="E40" s="568"/>
      <c r="F40" s="568"/>
      <c r="G40" s="568"/>
      <c r="H40" s="569">
        <f t="shared" si="0"/>
        <v>0</v>
      </c>
      <c r="I40" s="569"/>
      <c r="J40" s="567"/>
      <c r="K40" s="570"/>
      <c r="L40">
        <v>11</v>
      </c>
      <c r="M40" s="101">
        <v>2017</v>
      </c>
      <c r="N40"/>
      <c r="O40" s="103">
        <f t="shared" si="1"/>
        <v>43040</v>
      </c>
      <c r="P40" s="103">
        <f t="shared" si="2"/>
        <v>43069</v>
      </c>
    </row>
    <row r="41" spans="1:20" s="5" customFormat="1" ht="17.100000000000001" customHeight="1">
      <c r="A41" s="104">
        <f t="shared" si="5"/>
        <v>5</v>
      </c>
      <c r="B41" s="567" t="str">
        <f t="shared" si="3"/>
        <v>Tháng 12/2017</v>
      </c>
      <c r="C41" s="567"/>
      <c r="D41" s="568" t="str">
        <f t="shared" si="4"/>
        <v>Đào thanh thải</v>
      </c>
      <c r="E41" s="568"/>
      <c r="F41" s="568"/>
      <c r="G41" s="568"/>
      <c r="H41" s="569">
        <f t="shared" si="0"/>
        <v>0</v>
      </c>
      <c r="I41" s="569"/>
      <c r="J41" s="567"/>
      <c r="K41" s="570"/>
      <c r="L41">
        <v>12</v>
      </c>
      <c r="M41" s="101">
        <v>2017</v>
      </c>
      <c r="N41"/>
      <c r="O41" s="103">
        <f t="shared" si="1"/>
        <v>43070</v>
      </c>
      <c r="P41" s="103">
        <f t="shared" si="2"/>
        <v>43100</v>
      </c>
    </row>
    <row r="42" spans="1:20" s="5" customFormat="1" ht="17.100000000000001" customHeight="1">
      <c r="A42" s="104">
        <f t="shared" si="5"/>
        <v>6</v>
      </c>
      <c r="B42" s="567" t="str">
        <f t="shared" si="3"/>
        <v>Tháng 01/2018</v>
      </c>
      <c r="C42" s="567"/>
      <c r="D42" s="568" t="str">
        <f t="shared" si="4"/>
        <v>Đào thanh thải</v>
      </c>
      <c r="E42" s="568"/>
      <c r="F42" s="568"/>
      <c r="G42" s="568"/>
      <c r="H42" s="569">
        <f t="shared" si="0"/>
        <v>0</v>
      </c>
      <c r="I42" s="569"/>
      <c r="J42" s="567"/>
      <c r="K42" s="570"/>
      <c r="L42">
        <v>1</v>
      </c>
      <c r="M42" s="101">
        <v>2018</v>
      </c>
      <c r="N42"/>
      <c r="O42" s="103">
        <f t="shared" si="1"/>
        <v>43101</v>
      </c>
      <c r="P42" s="103">
        <f t="shared" si="2"/>
        <v>43131</v>
      </c>
    </row>
    <row r="43" spans="1:20" s="5" customFormat="1" ht="17.100000000000001" customHeight="1">
      <c r="A43" s="104">
        <f t="shared" si="5"/>
        <v>7</v>
      </c>
      <c r="B43" s="567" t="str">
        <f t="shared" si="3"/>
        <v>Tháng 02/2018</v>
      </c>
      <c r="C43" s="567"/>
      <c r="D43" s="568" t="str">
        <f t="shared" si="4"/>
        <v>Đào thanh thải</v>
      </c>
      <c r="E43" s="568"/>
      <c r="F43" s="568"/>
      <c r="G43" s="568"/>
      <c r="H43" s="569">
        <f t="shared" si="0"/>
        <v>0</v>
      </c>
      <c r="I43" s="569"/>
      <c r="J43" s="567"/>
      <c r="K43" s="570"/>
      <c r="L43">
        <v>2</v>
      </c>
      <c r="M43" s="101">
        <v>2018</v>
      </c>
      <c r="N43"/>
      <c r="O43" s="103">
        <f t="shared" si="1"/>
        <v>43132</v>
      </c>
      <c r="P43" s="103">
        <f t="shared" si="2"/>
        <v>43159</v>
      </c>
    </row>
    <row r="44" spans="1:20" s="5" customFormat="1" ht="17.100000000000001" customHeight="1">
      <c r="A44" s="104">
        <f t="shared" si="5"/>
        <v>8</v>
      </c>
      <c r="B44" s="567" t="str">
        <f t="shared" si="3"/>
        <v>Tháng 03/2018</v>
      </c>
      <c r="C44" s="567"/>
      <c r="D44" s="568" t="str">
        <f t="shared" si="4"/>
        <v>Đào thanh thải</v>
      </c>
      <c r="E44" s="568"/>
      <c r="F44" s="568"/>
      <c r="G44" s="568"/>
      <c r="H44" s="569">
        <f t="shared" si="0"/>
        <v>0</v>
      </c>
      <c r="I44" s="569"/>
      <c r="J44" s="567"/>
      <c r="K44" s="570"/>
      <c r="L44">
        <v>3</v>
      </c>
      <c r="M44" s="101">
        <v>2018</v>
      </c>
      <c r="N44"/>
      <c r="O44" s="103">
        <f t="shared" si="1"/>
        <v>43160</v>
      </c>
      <c r="P44" s="103">
        <f t="shared" si="2"/>
        <v>43190</v>
      </c>
    </row>
    <row r="45" spans="1:20" s="5" customFormat="1" ht="17.100000000000001" customHeight="1">
      <c r="A45" s="104">
        <f t="shared" si="5"/>
        <v>9</v>
      </c>
      <c r="B45" s="567" t="str">
        <f t="shared" si="3"/>
        <v>Tháng 04/2018</v>
      </c>
      <c r="C45" s="567"/>
      <c r="D45" s="568" t="str">
        <f t="shared" si="4"/>
        <v>Đào thanh thải</v>
      </c>
      <c r="E45" s="568"/>
      <c r="F45" s="568"/>
      <c r="G45" s="568"/>
      <c r="H45" s="569">
        <f t="shared" si="0"/>
        <v>0</v>
      </c>
      <c r="I45" s="569"/>
      <c r="J45" s="567"/>
      <c r="K45" s="570"/>
      <c r="L45">
        <v>4</v>
      </c>
      <c r="M45" s="101">
        <v>2018</v>
      </c>
      <c r="N45"/>
      <c r="O45" s="103">
        <f t="shared" si="1"/>
        <v>43191</v>
      </c>
      <c r="P45" s="103">
        <f t="shared" si="2"/>
        <v>43220</v>
      </c>
    </row>
    <row r="46" spans="1:20" s="5" customFormat="1" ht="17.100000000000001" customHeight="1">
      <c r="A46" s="104">
        <f t="shared" si="5"/>
        <v>10</v>
      </c>
      <c r="B46" s="567" t="str">
        <f t="shared" si="3"/>
        <v>Tháng 05/2018</v>
      </c>
      <c r="C46" s="567"/>
      <c r="D46" s="568" t="str">
        <f t="shared" si="4"/>
        <v>Đào thanh thải</v>
      </c>
      <c r="E46" s="568"/>
      <c r="F46" s="568"/>
      <c r="G46" s="568"/>
      <c r="H46" s="569">
        <f t="shared" si="0"/>
        <v>0</v>
      </c>
      <c r="I46" s="569"/>
      <c r="J46" s="567"/>
      <c r="K46" s="570"/>
      <c r="L46">
        <v>5</v>
      </c>
      <c r="M46" s="101">
        <v>2018</v>
      </c>
      <c r="N46"/>
      <c r="O46" s="103">
        <f t="shared" si="1"/>
        <v>43221</v>
      </c>
      <c r="P46" s="103">
        <f t="shared" si="2"/>
        <v>43251</v>
      </c>
    </row>
    <row r="47" spans="1:20" s="5" customFormat="1" ht="17.100000000000001" customHeight="1">
      <c r="A47" s="104">
        <f t="shared" si="5"/>
        <v>11</v>
      </c>
      <c r="B47" s="567" t="str">
        <f t="shared" si="3"/>
        <v>Tháng 06/2018</v>
      </c>
      <c r="C47" s="567"/>
      <c r="D47" s="568" t="str">
        <f t="shared" si="4"/>
        <v>Đào thanh thải</v>
      </c>
      <c r="E47" s="568"/>
      <c r="F47" s="568"/>
      <c r="G47" s="568"/>
      <c r="H47" s="569">
        <f t="shared" si="0"/>
        <v>0</v>
      </c>
      <c r="I47" s="569"/>
      <c r="J47" s="567"/>
      <c r="K47" s="570"/>
      <c r="L47">
        <v>6</v>
      </c>
      <c r="M47" s="101">
        <v>2018</v>
      </c>
      <c r="N47"/>
      <c r="O47" s="103">
        <f t="shared" si="1"/>
        <v>43252</v>
      </c>
      <c r="P47" s="103">
        <f t="shared" si="2"/>
        <v>43281</v>
      </c>
    </row>
    <row r="48" spans="1:20" s="5" customFormat="1" ht="17.100000000000001" customHeight="1">
      <c r="A48" s="104">
        <f t="shared" si="5"/>
        <v>12</v>
      </c>
      <c r="B48" s="567" t="str">
        <f t="shared" si="3"/>
        <v>Tháng 07/2018</v>
      </c>
      <c r="C48" s="567"/>
      <c r="D48" s="568" t="str">
        <f t="shared" si="4"/>
        <v>Đào thanh thải</v>
      </c>
      <c r="E48" s="568"/>
      <c r="F48" s="568"/>
      <c r="G48" s="568"/>
      <c r="H48" s="569">
        <f t="shared" si="0"/>
        <v>0</v>
      </c>
      <c r="I48" s="569"/>
      <c r="J48" s="567"/>
      <c r="K48" s="570"/>
      <c r="L48">
        <v>7</v>
      </c>
      <c r="M48" s="101">
        <v>2018</v>
      </c>
      <c r="N48"/>
      <c r="O48" s="103">
        <f t="shared" si="1"/>
        <v>43282</v>
      </c>
      <c r="P48" s="103">
        <f t="shared" si="2"/>
        <v>43312</v>
      </c>
    </row>
    <row r="49" spans="1:16" s="5" customFormat="1" ht="17.100000000000001" customHeight="1">
      <c r="A49" s="104">
        <f t="shared" si="5"/>
        <v>13</v>
      </c>
      <c r="B49" s="567" t="str">
        <f t="shared" si="3"/>
        <v>Tháng 08/2018</v>
      </c>
      <c r="C49" s="567"/>
      <c r="D49" s="568" t="str">
        <f t="shared" si="4"/>
        <v>Đào thanh thải</v>
      </c>
      <c r="E49" s="568"/>
      <c r="F49" s="568"/>
      <c r="G49" s="568"/>
      <c r="H49" s="569">
        <f t="shared" si="0"/>
        <v>0</v>
      </c>
      <c r="I49" s="569"/>
      <c r="J49" s="567"/>
      <c r="K49" s="570"/>
      <c r="L49">
        <v>8</v>
      </c>
      <c r="M49" s="101">
        <v>2018</v>
      </c>
      <c r="N49"/>
      <c r="O49" s="103">
        <f t="shared" si="1"/>
        <v>43313</v>
      </c>
      <c r="P49" s="103">
        <f t="shared" si="2"/>
        <v>43343</v>
      </c>
    </row>
    <row r="50" spans="1:16" s="5" customFormat="1" ht="17.100000000000001" customHeight="1">
      <c r="A50" s="104">
        <f t="shared" si="5"/>
        <v>14</v>
      </c>
      <c r="B50" s="567" t="str">
        <f t="shared" si="3"/>
        <v>Tháng 09/2018</v>
      </c>
      <c r="C50" s="567"/>
      <c r="D50" s="568" t="str">
        <f t="shared" si="4"/>
        <v>Đào thanh thải</v>
      </c>
      <c r="E50" s="568"/>
      <c r="F50" s="568"/>
      <c r="G50" s="568"/>
      <c r="H50" s="569">
        <f t="shared" si="0"/>
        <v>0</v>
      </c>
      <c r="I50" s="569"/>
      <c r="J50" s="567"/>
      <c r="K50" s="570"/>
      <c r="L50">
        <v>9</v>
      </c>
      <c r="M50" s="101">
        <v>2018</v>
      </c>
      <c r="N50"/>
      <c r="O50" s="103">
        <f t="shared" si="1"/>
        <v>43344</v>
      </c>
      <c r="P50" s="103">
        <f t="shared" si="2"/>
        <v>43373</v>
      </c>
    </row>
    <row r="51" spans="1:16" s="5" customFormat="1" ht="17.100000000000001" customHeight="1">
      <c r="A51" s="104">
        <f t="shared" si="5"/>
        <v>15</v>
      </c>
      <c r="B51" s="567" t="str">
        <f t="shared" si="3"/>
        <v>Tháng 10/2018</v>
      </c>
      <c r="C51" s="567"/>
      <c r="D51" s="568" t="str">
        <f t="shared" si="4"/>
        <v>Đào thanh thải</v>
      </c>
      <c r="E51" s="568"/>
      <c r="F51" s="568"/>
      <c r="G51" s="568"/>
      <c r="H51" s="569">
        <f t="shared" si="0"/>
        <v>0</v>
      </c>
      <c r="I51" s="569"/>
      <c r="J51" s="567"/>
      <c r="K51" s="570"/>
      <c r="L51">
        <v>10</v>
      </c>
      <c r="M51" s="101">
        <v>2018</v>
      </c>
      <c r="N51"/>
      <c r="O51" s="103">
        <f t="shared" si="1"/>
        <v>43374</v>
      </c>
      <c r="P51" s="103">
        <f t="shared" si="2"/>
        <v>43404</v>
      </c>
    </row>
    <row r="52" spans="1:16" s="5" customFormat="1" ht="17.100000000000001" customHeight="1">
      <c r="A52" s="104">
        <f t="shared" si="5"/>
        <v>16</v>
      </c>
      <c r="B52" s="567" t="str">
        <f t="shared" si="3"/>
        <v>Tháng 11/2018</v>
      </c>
      <c r="C52" s="567"/>
      <c r="D52" s="568" t="str">
        <f t="shared" si="4"/>
        <v>Đào thanh thải</v>
      </c>
      <c r="E52" s="568"/>
      <c r="F52" s="568"/>
      <c r="G52" s="568"/>
      <c r="H52" s="569">
        <f t="shared" si="0"/>
        <v>0</v>
      </c>
      <c r="I52" s="569"/>
      <c r="J52" s="567"/>
      <c r="K52" s="570"/>
      <c r="L52">
        <v>11</v>
      </c>
      <c r="M52" s="101">
        <v>2018</v>
      </c>
      <c r="N52"/>
      <c r="O52" s="103">
        <f t="shared" si="1"/>
        <v>43405</v>
      </c>
      <c r="P52" s="103">
        <f t="shared" si="2"/>
        <v>43434</v>
      </c>
    </row>
    <row r="53" spans="1:16" s="5" customFormat="1" ht="17.100000000000001" customHeight="1">
      <c r="A53" s="104">
        <f t="shared" si="5"/>
        <v>17</v>
      </c>
      <c r="B53" s="567" t="str">
        <f t="shared" si="3"/>
        <v>Tháng 12/2018</v>
      </c>
      <c r="C53" s="567"/>
      <c r="D53" s="568" t="str">
        <f t="shared" si="4"/>
        <v>Đào thanh thải</v>
      </c>
      <c r="E53" s="568"/>
      <c r="F53" s="568"/>
      <c r="G53" s="568"/>
      <c r="H53" s="569">
        <f t="shared" si="0"/>
        <v>180.05</v>
      </c>
      <c r="I53" s="569"/>
      <c r="J53" s="567"/>
      <c r="K53" s="570"/>
      <c r="L53">
        <v>12</v>
      </c>
      <c r="M53" s="101">
        <v>2018</v>
      </c>
      <c r="N53"/>
      <c r="O53" s="103">
        <f t="shared" si="1"/>
        <v>43435</v>
      </c>
      <c r="P53" s="103">
        <f t="shared" si="2"/>
        <v>43465</v>
      </c>
    </row>
    <row r="54" spans="1:16" s="5" customFormat="1" ht="17.100000000000001" customHeight="1">
      <c r="A54" s="104">
        <f t="shared" si="5"/>
        <v>18</v>
      </c>
      <c r="B54" s="567" t="str">
        <f t="shared" si="3"/>
        <v>Tháng 01/2019</v>
      </c>
      <c r="C54" s="567"/>
      <c r="D54" s="568" t="str">
        <f t="shared" si="4"/>
        <v>Đào thanh thải</v>
      </c>
      <c r="E54" s="568"/>
      <c r="F54" s="568"/>
      <c r="G54" s="568"/>
      <c r="H54" s="569">
        <f t="shared" si="0"/>
        <v>0</v>
      </c>
      <c r="I54" s="569"/>
      <c r="J54" s="567"/>
      <c r="K54" s="570"/>
      <c r="L54">
        <v>1</v>
      </c>
      <c r="M54" s="101">
        <v>2019</v>
      </c>
      <c r="N54"/>
      <c r="O54" s="103">
        <f t="shared" si="1"/>
        <v>43466</v>
      </c>
      <c r="P54" s="103">
        <f t="shared" si="2"/>
        <v>43496</v>
      </c>
    </row>
    <row r="55" spans="1:16" s="5" customFormat="1" ht="17.100000000000001" customHeight="1">
      <c r="A55" s="104">
        <f t="shared" si="5"/>
        <v>19</v>
      </c>
      <c r="B55" s="567" t="str">
        <f t="shared" si="3"/>
        <v>Tháng 02/2019</v>
      </c>
      <c r="C55" s="567"/>
      <c r="D55" s="568" t="str">
        <f t="shared" si="4"/>
        <v>Đào thanh thải</v>
      </c>
      <c r="E55" s="568"/>
      <c r="F55" s="568"/>
      <c r="G55" s="568"/>
      <c r="H55" s="569">
        <f t="shared" si="0"/>
        <v>0</v>
      </c>
      <c r="I55" s="569"/>
      <c r="J55" s="567"/>
      <c r="K55" s="570"/>
      <c r="L55">
        <v>2</v>
      </c>
      <c r="M55" s="101">
        <v>2019</v>
      </c>
      <c r="N55"/>
      <c r="O55" s="103">
        <f t="shared" si="1"/>
        <v>43497</v>
      </c>
      <c r="P55" s="103">
        <f t="shared" si="2"/>
        <v>43524</v>
      </c>
    </row>
    <row r="56" spans="1:16" s="5" customFormat="1" ht="17.100000000000001" customHeight="1">
      <c r="A56" s="104">
        <f t="shared" si="5"/>
        <v>20</v>
      </c>
      <c r="B56" s="567" t="str">
        <f t="shared" si="3"/>
        <v>Tháng 03/2019</v>
      </c>
      <c r="C56" s="567"/>
      <c r="D56" s="568" t="str">
        <f t="shared" si="4"/>
        <v>Đào thanh thải</v>
      </c>
      <c r="E56" s="568"/>
      <c r="F56" s="568"/>
      <c r="G56" s="568"/>
      <c r="H56" s="569">
        <f t="shared" si="0"/>
        <v>0</v>
      </c>
      <c r="I56" s="569"/>
      <c r="J56" s="567"/>
      <c r="K56" s="570"/>
      <c r="L56">
        <v>3</v>
      </c>
      <c r="M56" s="101">
        <v>2019</v>
      </c>
      <c r="N56"/>
      <c r="O56" s="103">
        <f t="shared" si="1"/>
        <v>43525</v>
      </c>
      <c r="P56" s="103">
        <f t="shared" si="2"/>
        <v>43555</v>
      </c>
    </row>
    <row r="57" spans="1:16" s="5" customFormat="1" ht="17.100000000000001" customHeight="1">
      <c r="A57" s="104">
        <f t="shared" si="5"/>
        <v>21</v>
      </c>
      <c r="B57" s="567" t="str">
        <f t="shared" si="3"/>
        <v>Tháng 04/2019</v>
      </c>
      <c r="C57" s="567"/>
      <c r="D57" s="568" t="str">
        <f t="shared" si="4"/>
        <v>Đào thanh thải</v>
      </c>
      <c r="E57" s="568"/>
      <c r="F57" s="568"/>
      <c r="G57" s="568"/>
      <c r="H57" s="569">
        <f t="shared" si="0"/>
        <v>0</v>
      </c>
      <c r="I57" s="569"/>
      <c r="J57" s="567"/>
      <c r="K57" s="570"/>
      <c r="L57">
        <v>4</v>
      </c>
      <c r="M57" s="101">
        <v>2019</v>
      </c>
      <c r="N57"/>
      <c r="O57" s="103">
        <f t="shared" si="1"/>
        <v>43556</v>
      </c>
      <c r="P57" s="103">
        <f t="shared" si="2"/>
        <v>43585</v>
      </c>
    </row>
    <row r="58" spans="1:16" s="5" customFormat="1" ht="17.100000000000001" customHeight="1">
      <c r="A58" s="104">
        <f t="shared" si="5"/>
        <v>22</v>
      </c>
      <c r="B58" s="567" t="str">
        <f t="shared" si="3"/>
        <v>Tháng 05/2019</v>
      </c>
      <c r="C58" s="567"/>
      <c r="D58" s="568" t="str">
        <f t="shared" si="4"/>
        <v>Đào thanh thải</v>
      </c>
      <c r="E58" s="568"/>
      <c r="F58" s="568"/>
      <c r="G58" s="568"/>
      <c r="H58" s="569">
        <f t="shared" si="0"/>
        <v>0</v>
      </c>
      <c r="I58" s="569"/>
      <c r="J58" s="567"/>
      <c r="K58" s="570"/>
      <c r="L58">
        <v>5</v>
      </c>
      <c r="M58" s="101">
        <v>2019</v>
      </c>
      <c r="N58"/>
      <c r="O58" s="103">
        <f t="shared" si="1"/>
        <v>43586</v>
      </c>
      <c r="P58" s="103">
        <f t="shared" si="2"/>
        <v>43616</v>
      </c>
    </row>
    <row r="59" spans="1:16" s="5" customFormat="1" ht="17.100000000000001" customHeight="1">
      <c r="A59" s="104">
        <f t="shared" si="5"/>
        <v>23</v>
      </c>
      <c r="B59" s="567" t="str">
        <f t="shared" si="3"/>
        <v>Tháng 06/2019</v>
      </c>
      <c r="C59" s="567"/>
      <c r="D59" s="568" t="str">
        <f t="shared" si="4"/>
        <v>Đào thanh thải</v>
      </c>
      <c r="E59" s="568"/>
      <c r="F59" s="568"/>
      <c r="G59" s="568"/>
      <c r="H59" s="569">
        <f t="shared" si="0"/>
        <v>0</v>
      </c>
      <c r="I59" s="569"/>
      <c r="J59" s="567"/>
      <c r="K59" s="570"/>
      <c r="L59">
        <v>6</v>
      </c>
      <c r="M59" s="101">
        <v>2019</v>
      </c>
      <c r="N59"/>
      <c r="O59" s="103">
        <f t="shared" si="1"/>
        <v>43617</v>
      </c>
      <c r="P59" s="103">
        <f t="shared" si="2"/>
        <v>43646</v>
      </c>
    </row>
    <row r="60" spans="1:16" s="5" customFormat="1" ht="17.100000000000001" customHeight="1">
      <c r="A60" s="104">
        <f t="shared" si="5"/>
        <v>24</v>
      </c>
      <c r="B60" s="567" t="str">
        <f t="shared" si="3"/>
        <v>Tháng 07/2019</v>
      </c>
      <c r="C60" s="567"/>
      <c r="D60" s="568" t="str">
        <f t="shared" si="4"/>
        <v>Đào thanh thải</v>
      </c>
      <c r="E60" s="568"/>
      <c r="F60" s="568"/>
      <c r="G60" s="568"/>
      <c r="H60" s="569">
        <f t="shared" si="0"/>
        <v>0</v>
      </c>
      <c r="I60" s="569"/>
      <c r="J60" s="567"/>
      <c r="K60" s="570"/>
      <c r="L60">
        <v>7</v>
      </c>
      <c r="M60" s="101">
        <v>2019</v>
      </c>
      <c r="N60"/>
      <c r="O60" s="103">
        <f t="shared" si="1"/>
        <v>43647</v>
      </c>
      <c r="P60" s="103">
        <f t="shared" si="2"/>
        <v>43677</v>
      </c>
    </row>
    <row r="61" spans="1:16" s="5" customFormat="1" ht="17.100000000000001" customHeight="1">
      <c r="A61" s="104">
        <f t="shared" si="5"/>
        <v>25</v>
      </c>
      <c r="B61" s="567" t="str">
        <f t="shared" si="3"/>
        <v>Tháng 08/2019</v>
      </c>
      <c r="C61" s="567"/>
      <c r="D61" s="568" t="str">
        <f t="shared" si="4"/>
        <v>Đào thanh thải</v>
      </c>
      <c r="E61" s="568"/>
      <c r="F61" s="568"/>
      <c r="G61" s="568"/>
      <c r="H61" s="569">
        <f t="shared" ref="H61:H62" si="6">+SUMIFS($I$12:$I$35,$B$12:$B$35,"&gt;="&amp;$O61,$B$12:$B$35,"&lt;="&amp;$P61)</f>
        <v>0</v>
      </c>
      <c r="I61" s="569"/>
      <c r="J61" s="567"/>
      <c r="K61" s="570"/>
      <c r="L61">
        <v>8</v>
      </c>
      <c r="M61" s="101">
        <v>2019</v>
      </c>
      <c r="N61"/>
      <c r="O61" s="103">
        <f t="shared" si="1"/>
        <v>43678</v>
      </c>
      <c r="P61" s="103">
        <f t="shared" si="2"/>
        <v>43708</v>
      </c>
    </row>
    <row r="62" spans="1:16" s="5" customFormat="1" ht="17.100000000000001" customHeight="1">
      <c r="A62" s="104">
        <f t="shared" si="5"/>
        <v>26</v>
      </c>
      <c r="B62" s="616" t="str">
        <f t="shared" si="3"/>
        <v>Tháng 09/2019</v>
      </c>
      <c r="C62" s="616"/>
      <c r="D62" s="652" t="str">
        <f>D60</f>
        <v>Đào thanh thải</v>
      </c>
      <c r="E62" s="652"/>
      <c r="F62" s="652"/>
      <c r="G62" s="652"/>
      <c r="H62" s="615">
        <f t="shared" si="6"/>
        <v>0</v>
      </c>
      <c r="I62" s="615"/>
      <c r="J62" s="616"/>
      <c r="K62" s="617"/>
      <c r="L62">
        <v>9</v>
      </c>
      <c r="M62" s="101">
        <v>2019</v>
      </c>
      <c r="N62"/>
      <c r="O62" s="103">
        <f>DATE(M62,L62,1)</f>
        <v>43709</v>
      </c>
      <c r="P62" s="103">
        <f>DATE(M62,L62+1,0)</f>
        <v>43738</v>
      </c>
    </row>
    <row r="63" spans="1:16" s="5" customFormat="1" ht="21.6" customHeight="1" thickBot="1">
      <c r="A63" s="618" t="s">
        <v>86</v>
      </c>
      <c r="B63" s="619"/>
      <c r="C63" s="619"/>
      <c r="D63" s="619"/>
      <c r="E63" s="619"/>
      <c r="F63" s="619"/>
      <c r="G63" s="620"/>
      <c r="H63" s="621">
        <f t="shared" ref="H63" si="7">SUM(H37:I62)</f>
        <v>180.05</v>
      </c>
      <c r="I63" s="622"/>
      <c r="J63" s="621"/>
      <c r="K63" s="622"/>
      <c r="L63"/>
      <c r="M63"/>
      <c r="N63"/>
      <c r="O63"/>
      <c r="P63"/>
    </row>
    <row r="64" spans="1:16" s="5" customFormat="1" ht="18" customHeight="1" thickTop="1" thickBot="1">
      <c r="A64" s="105"/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4"/>
      <c r="M64" s="4"/>
      <c r="N64" s="4"/>
      <c r="O64" s="4"/>
      <c r="P64" s="20"/>
    </row>
    <row r="65" spans="1:20" s="5" customFormat="1" ht="13.9" customHeight="1" thickTop="1">
      <c r="A65" s="647" t="s">
        <v>68</v>
      </c>
      <c r="B65" s="648"/>
      <c r="C65" s="648"/>
      <c r="D65" s="648"/>
      <c r="E65" s="648"/>
      <c r="F65" s="649" t="s">
        <v>69</v>
      </c>
      <c r="G65" s="649"/>
      <c r="H65" s="649"/>
      <c r="I65" s="650"/>
      <c r="J65" s="650"/>
      <c r="K65" s="651"/>
      <c r="L65" s="4"/>
      <c r="M65" s="4"/>
      <c r="N65" s="4"/>
      <c r="O65" s="4"/>
      <c r="P65" s="4"/>
    </row>
    <row r="66" spans="1:20" s="5" customFormat="1" ht="13.9" customHeight="1">
      <c r="A66" s="583" t="s">
        <v>5</v>
      </c>
      <c r="B66" s="584"/>
      <c r="C66" s="584"/>
      <c r="D66" s="584"/>
      <c r="E66" s="584"/>
      <c r="F66" s="585" t="s">
        <v>6</v>
      </c>
      <c r="G66" s="585"/>
      <c r="H66" s="585"/>
      <c r="I66" s="586"/>
      <c r="J66" s="586"/>
      <c r="K66" s="587"/>
      <c r="L66" s="4"/>
      <c r="M66" s="4"/>
      <c r="N66" s="4"/>
      <c r="O66" s="4"/>
      <c r="P66" s="4"/>
    </row>
    <row r="67" spans="1:20" s="5" customFormat="1" ht="13.9" customHeight="1">
      <c r="A67" s="583" t="s">
        <v>836</v>
      </c>
      <c r="B67" s="584"/>
      <c r="C67" s="584"/>
      <c r="D67" s="584"/>
      <c r="E67" s="584"/>
      <c r="F67" s="590" t="s">
        <v>837</v>
      </c>
      <c r="G67" s="590"/>
      <c r="H67" s="590"/>
      <c r="I67" s="591"/>
      <c r="J67" s="591"/>
      <c r="K67" s="592"/>
      <c r="L67" s="4"/>
      <c r="M67" s="4"/>
      <c r="N67" s="4"/>
      <c r="O67" s="4"/>
      <c r="P67" s="4"/>
    </row>
    <row r="68" spans="1:20" s="5" customFormat="1" ht="13.9" customHeight="1">
      <c r="A68" s="583"/>
      <c r="B68" s="584"/>
      <c r="C68" s="584"/>
      <c r="D68" s="584"/>
      <c r="E68" s="584"/>
      <c r="F68" s="590"/>
      <c r="G68" s="590"/>
      <c r="H68" s="590"/>
      <c r="I68" s="591"/>
      <c r="J68" s="591"/>
      <c r="K68" s="592"/>
      <c r="L68" s="4"/>
      <c r="M68" s="4"/>
      <c r="N68" s="4"/>
      <c r="O68" s="4"/>
      <c r="P68" s="4"/>
    </row>
    <row r="69" spans="1:20" s="5" customFormat="1" ht="13.9" customHeight="1">
      <c r="A69" s="583"/>
      <c r="B69" s="584"/>
      <c r="C69" s="584"/>
      <c r="D69" s="584"/>
      <c r="E69" s="584"/>
      <c r="F69" s="590"/>
      <c r="G69" s="590"/>
      <c r="H69" s="590"/>
      <c r="I69" s="591"/>
      <c r="J69" s="591"/>
      <c r="K69" s="592"/>
      <c r="L69" s="4"/>
      <c r="M69" s="4"/>
      <c r="N69" s="4"/>
      <c r="O69" s="4"/>
      <c r="P69" s="4"/>
    </row>
    <row r="70" spans="1:20" s="5" customFormat="1" ht="13.9" customHeight="1">
      <c r="A70" s="583"/>
      <c r="B70" s="584"/>
      <c r="C70" s="584"/>
      <c r="D70" s="584"/>
      <c r="E70" s="584"/>
      <c r="F70" s="590"/>
      <c r="G70" s="590"/>
      <c r="H70" s="590"/>
      <c r="I70" s="591"/>
      <c r="J70" s="591"/>
      <c r="K70" s="592"/>
      <c r="L70" s="4"/>
      <c r="M70" s="4"/>
      <c r="N70" s="4"/>
      <c r="O70" s="4"/>
      <c r="P70" s="4"/>
    </row>
    <row r="71" spans="1:20" s="5" customFormat="1" ht="13.9" customHeight="1">
      <c r="A71" s="583"/>
      <c r="B71" s="584"/>
      <c r="C71" s="584"/>
      <c r="D71" s="584"/>
      <c r="E71" s="584"/>
      <c r="F71" s="590"/>
      <c r="G71" s="590"/>
      <c r="H71" s="590"/>
      <c r="I71" s="591"/>
      <c r="J71" s="591"/>
      <c r="K71" s="592"/>
      <c r="L71" s="4"/>
      <c r="M71" s="4"/>
      <c r="N71" s="4"/>
      <c r="O71" s="4"/>
      <c r="P71" s="4"/>
    </row>
    <row r="72" spans="1:20" s="5" customFormat="1" ht="13.9" customHeight="1">
      <c r="A72" s="583"/>
      <c r="B72" s="584"/>
      <c r="C72" s="584"/>
      <c r="D72" s="584"/>
      <c r="E72" s="584"/>
      <c r="F72" s="590"/>
      <c r="G72" s="590"/>
      <c r="H72" s="590"/>
      <c r="I72" s="591"/>
      <c r="J72" s="591"/>
      <c r="K72" s="592"/>
      <c r="L72" s="4"/>
      <c r="M72" s="4"/>
      <c r="N72" s="4"/>
      <c r="O72" s="4"/>
      <c r="P72" s="4"/>
    </row>
    <row r="73" spans="1:20" s="5" customFormat="1" ht="13.9" customHeight="1" thickBot="1">
      <c r="A73" s="588"/>
      <c r="B73" s="589"/>
      <c r="C73" s="589"/>
      <c r="D73" s="589"/>
      <c r="E73" s="589"/>
      <c r="F73" s="593"/>
      <c r="G73" s="593"/>
      <c r="H73" s="593"/>
      <c r="I73" s="594"/>
      <c r="J73" s="594"/>
      <c r="K73" s="595"/>
      <c r="L73" s="4"/>
      <c r="M73" s="4"/>
      <c r="N73" s="4"/>
      <c r="O73" s="4"/>
      <c r="P73" s="4"/>
    </row>
    <row r="74" spans="1:20" s="5" customFormat="1" ht="15.75" thickTop="1">
      <c r="A74" s="4"/>
      <c r="B74" s="12"/>
      <c r="C74" s="10"/>
      <c r="D74" s="10"/>
      <c r="E74" s="10"/>
      <c r="F74" s="13"/>
      <c r="G74" s="13"/>
      <c r="H74" s="13"/>
      <c r="I74" s="13"/>
      <c r="J74" s="13"/>
      <c r="K74" s="4"/>
      <c r="L74" s="4"/>
      <c r="M74" s="4"/>
      <c r="N74" s="4"/>
      <c r="O74" s="4"/>
      <c r="P74" s="4"/>
      <c r="R74" s="4"/>
      <c r="S74" s="4"/>
      <c r="T74" s="4"/>
    </row>
  </sheetData>
  <mergeCells count="146">
    <mergeCell ref="I9:I11"/>
    <mergeCell ref="J9:J11"/>
    <mergeCell ref="K9:K11"/>
    <mergeCell ref="C12:E12"/>
    <mergeCell ref="C13:E13"/>
    <mergeCell ref="A14:E14"/>
    <mergeCell ref="A1:K1"/>
    <mergeCell ref="A2:K2"/>
    <mergeCell ref="A3:K3"/>
    <mergeCell ref="A7:D7"/>
    <mergeCell ref="A9:A11"/>
    <mergeCell ref="B9:B11"/>
    <mergeCell ref="C9:E11"/>
    <mergeCell ref="F9:F11"/>
    <mergeCell ref="G9:G11"/>
    <mergeCell ref="H9:H11"/>
    <mergeCell ref="A26:K26"/>
    <mergeCell ref="A27:K27"/>
    <mergeCell ref="A28:K28"/>
    <mergeCell ref="A29:K29"/>
    <mergeCell ref="A30:K30"/>
    <mergeCell ref="A33:D33"/>
    <mergeCell ref="A16:E16"/>
    <mergeCell ref="F16:K16"/>
    <mergeCell ref="A17:E17"/>
    <mergeCell ref="F17:K17"/>
    <mergeCell ref="A18:E24"/>
    <mergeCell ref="F18:K24"/>
    <mergeCell ref="A35:A36"/>
    <mergeCell ref="B35:C36"/>
    <mergeCell ref="D35:G36"/>
    <mergeCell ref="H35:I36"/>
    <mergeCell ref="J35:K36"/>
    <mergeCell ref="B37:C37"/>
    <mergeCell ref="D37:G37"/>
    <mergeCell ref="H37:I37"/>
    <mergeCell ref="J37:K37"/>
    <mergeCell ref="B40:C40"/>
    <mergeCell ref="D40:G40"/>
    <mergeCell ref="H40:I40"/>
    <mergeCell ref="J40:K40"/>
    <mergeCell ref="B41:C41"/>
    <mergeCell ref="D41:G41"/>
    <mergeCell ref="H41:I41"/>
    <mergeCell ref="J41:K41"/>
    <mergeCell ref="B38:C38"/>
    <mergeCell ref="D38:G38"/>
    <mergeCell ref="H38:I38"/>
    <mergeCell ref="J38:K38"/>
    <mergeCell ref="B39:C39"/>
    <mergeCell ref="D39:G39"/>
    <mergeCell ref="H39:I39"/>
    <mergeCell ref="J39:K39"/>
    <mergeCell ref="B44:C44"/>
    <mergeCell ref="D44:G44"/>
    <mergeCell ref="H44:I44"/>
    <mergeCell ref="J44:K44"/>
    <mergeCell ref="B45:C45"/>
    <mergeCell ref="D45:G45"/>
    <mergeCell ref="H45:I45"/>
    <mergeCell ref="J45:K45"/>
    <mergeCell ref="B42:C42"/>
    <mergeCell ref="D42:G42"/>
    <mergeCell ref="H42:I42"/>
    <mergeCell ref="J42:K42"/>
    <mergeCell ref="B43:C43"/>
    <mergeCell ref="D43:G43"/>
    <mergeCell ref="H43:I43"/>
    <mergeCell ref="J43:K43"/>
    <mergeCell ref="B48:C48"/>
    <mergeCell ref="D48:G48"/>
    <mergeCell ref="H48:I48"/>
    <mergeCell ref="J48:K48"/>
    <mergeCell ref="B49:C49"/>
    <mergeCell ref="D49:G49"/>
    <mergeCell ref="H49:I49"/>
    <mergeCell ref="J49:K49"/>
    <mergeCell ref="B46:C46"/>
    <mergeCell ref="D46:G46"/>
    <mergeCell ref="H46:I46"/>
    <mergeCell ref="J46:K46"/>
    <mergeCell ref="B47:C47"/>
    <mergeCell ref="D47:G47"/>
    <mergeCell ref="H47:I47"/>
    <mergeCell ref="J47:K47"/>
    <mergeCell ref="B52:C52"/>
    <mergeCell ref="D52:G52"/>
    <mergeCell ref="H52:I52"/>
    <mergeCell ref="J52:K52"/>
    <mergeCell ref="B53:C53"/>
    <mergeCell ref="D53:G53"/>
    <mergeCell ref="H53:I53"/>
    <mergeCell ref="J53:K53"/>
    <mergeCell ref="B50:C50"/>
    <mergeCell ref="D50:G50"/>
    <mergeCell ref="H50:I50"/>
    <mergeCell ref="J50:K50"/>
    <mergeCell ref="B51:C51"/>
    <mergeCell ref="D51:G51"/>
    <mergeCell ref="H51:I51"/>
    <mergeCell ref="J51:K51"/>
    <mergeCell ref="B56:C56"/>
    <mergeCell ref="D56:G56"/>
    <mergeCell ref="H56:I56"/>
    <mergeCell ref="J56:K56"/>
    <mergeCell ref="B57:C57"/>
    <mergeCell ref="D57:G57"/>
    <mergeCell ref="H57:I57"/>
    <mergeCell ref="J57:K57"/>
    <mergeCell ref="B54:C54"/>
    <mergeCell ref="D54:G54"/>
    <mergeCell ref="H54:I54"/>
    <mergeCell ref="J54:K54"/>
    <mergeCell ref="B55:C55"/>
    <mergeCell ref="D55:G55"/>
    <mergeCell ref="H55:I55"/>
    <mergeCell ref="J55:K55"/>
    <mergeCell ref="B60:C60"/>
    <mergeCell ref="D60:G60"/>
    <mergeCell ref="H60:I60"/>
    <mergeCell ref="J60:K60"/>
    <mergeCell ref="B61:C61"/>
    <mergeCell ref="D61:G61"/>
    <mergeCell ref="H61:I61"/>
    <mergeCell ref="J61:K61"/>
    <mergeCell ref="B58:C58"/>
    <mergeCell ref="D58:G58"/>
    <mergeCell ref="H58:I58"/>
    <mergeCell ref="J58:K58"/>
    <mergeCell ref="B59:C59"/>
    <mergeCell ref="D59:G59"/>
    <mergeCell ref="H59:I59"/>
    <mergeCell ref="J59:K59"/>
    <mergeCell ref="A65:E65"/>
    <mergeCell ref="F65:K65"/>
    <mergeCell ref="A66:E66"/>
    <mergeCell ref="F66:K66"/>
    <mergeCell ref="A67:E73"/>
    <mergeCell ref="F67:K73"/>
    <mergeCell ref="B62:C62"/>
    <mergeCell ref="D62:G62"/>
    <mergeCell ref="H62:I62"/>
    <mergeCell ref="J62:K62"/>
    <mergeCell ref="A63:G63"/>
    <mergeCell ref="H63:I63"/>
    <mergeCell ref="J63:K63"/>
  </mergeCells>
  <pageMargins left="0.78740157480314965" right="0.19685039370078741" top="0.59055118110236227" bottom="0.39370078740157483" header="0.19685039370078741" footer="0.23622047244094491"/>
  <pageSetup paperSize="9" scale="85" orientation="portrait" blackAndWhite="1" r:id="rId1"/>
  <headerFooter alignWithMargins="0"/>
  <rowBreaks count="1" manualBreakCount="1">
    <brk id="25" max="10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82</vt:i4>
      </vt:variant>
      <vt:variant>
        <vt:lpstr>Named Ranges</vt:lpstr>
      </vt:variant>
      <vt:variant>
        <vt:i4>84</vt:i4>
      </vt:variant>
    </vt:vector>
  </HeadingPairs>
  <TitlesOfParts>
    <vt:vector size="166" baseType="lpstr">
      <vt:lpstr>THKL</vt:lpstr>
      <vt:lpstr>BIA</vt:lpstr>
      <vt:lpstr>THKLQT</vt:lpstr>
      <vt:lpstr>PHAN KHAI</vt:lpstr>
      <vt:lpstr>C.I.1.1</vt:lpstr>
      <vt:lpstr>C.I.1.2</vt:lpstr>
      <vt:lpstr>C.I.1.3</vt:lpstr>
      <vt:lpstr>C.I.1.4</vt:lpstr>
      <vt:lpstr>C.I.1.5</vt:lpstr>
      <vt:lpstr>C.I.1.6</vt:lpstr>
      <vt:lpstr>C.I.2.1.1</vt:lpstr>
      <vt:lpstr>C.I.2.2.1</vt:lpstr>
      <vt:lpstr>C.I.2.2.2</vt:lpstr>
      <vt:lpstr>C.I.2.2.3</vt:lpstr>
      <vt:lpstr>C.I.2.2.5</vt:lpstr>
      <vt:lpstr>C.I.2.2.6</vt:lpstr>
      <vt:lpstr>C.I.2.2.7</vt:lpstr>
      <vt:lpstr>C.I.2.2.8</vt:lpstr>
      <vt:lpstr>C.I.2.2.9</vt:lpstr>
      <vt:lpstr>C.I.2.2.10</vt:lpstr>
      <vt:lpstr>C.I.2.3.1</vt:lpstr>
      <vt:lpstr>C.I.3.1</vt:lpstr>
      <vt:lpstr>C.I.3.2</vt:lpstr>
      <vt:lpstr>C.I.3.3</vt:lpstr>
      <vt:lpstr>C.I.3.4</vt:lpstr>
      <vt:lpstr>C.II.1.1.1</vt:lpstr>
      <vt:lpstr>C.II.1.1.2</vt:lpstr>
      <vt:lpstr>C.II.1.1.3</vt:lpstr>
      <vt:lpstr>C.II.1.1.4</vt:lpstr>
      <vt:lpstr>C.II.1.1.5</vt:lpstr>
      <vt:lpstr>C.II.1.1.6</vt:lpstr>
      <vt:lpstr>C.II.1.1.7</vt:lpstr>
      <vt:lpstr>C.II.1.1.8</vt:lpstr>
      <vt:lpstr>C.II.1.1.9</vt:lpstr>
      <vt:lpstr>C.II.1.1.10</vt:lpstr>
      <vt:lpstr>C.II.1.1.11</vt:lpstr>
      <vt:lpstr>C.II.1.1.12</vt:lpstr>
      <vt:lpstr>C.II.1.1.13</vt:lpstr>
      <vt:lpstr>C.II.1.1.14</vt:lpstr>
      <vt:lpstr>C.II.1.1.15</vt:lpstr>
      <vt:lpstr>C.II.1.1.16</vt:lpstr>
      <vt:lpstr>C.II.1.2.1</vt:lpstr>
      <vt:lpstr>C.II.1.2.2</vt:lpstr>
      <vt:lpstr>C.II.1.2.3</vt:lpstr>
      <vt:lpstr>C.II.1.2.4</vt:lpstr>
      <vt:lpstr>C.II.1.2.5</vt:lpstr>
      <vt:lpstr>C.II.1.2.6</vt:lpstr>
      <vt:lpstr>C.II.1.2.7</vt:lpstr>
      <vt:lpstr>C.II.1.2.8</vt:lpstr>
      <vt:lpstr>C.II.1.3.1</vt:lpstr>
      <vt:lpstr>C.II.1.4.1</vt:lpstr>
      <vt:lpstr>C.II.1.4.2</vt:lpstr>
      <vt:lpstr>C.II.1.4.3</vt:lpstr>
      <vt:lpstr>C.II.1.4.4</vt:lpstr>
      <vt:lpstr>C.II.1.5.1</vt:lpstr>
      <vt:lpstr>C.II.1.5.2</vt:lpstr>
      <vt:lpstr>C.II.1.5.3</vt:lpstr>
      <vt:lpstr>C.II.1.5.4</vt:lpstr>
      <vt:lpstr>C.II.1.5.5</vt:lpstr>
      <vt:lpstr>C.II.1.6.1</vt:lpstr>
      <vt:lpstr>C.II.1.6.2</vt:lpstr>
      <vt:lpstr>C.II.1.7.1</vt:lpstr>
      <vt:lpstr>C.II.1.7.2</vt:lpstr>
      <vt:lpstr>C.II.1.7.3</vt:lpstr>
      <vt:lpstr>C.II.1.7.4</vt:lpstr>
      <vt:lpstr>C.II.1.7.5</vt:lpstr>
      <vt:lpstr>C.II.1.7.6</vt:lpstr>
      <vt:lpstr>C.II.2.1</vt:lpstr>
      <vt:lpstr>C.II.2.2</vt:lpstr>
      <vt:lpstr>C.II.2.3</vt:lpstr>
      <vt:lpstr>C.II.2.4</vt:lpstr>
      <vt:lpstr>C.II.2.5</vt:lpstr>
      <vt:lpstr>C.II.2.7</vt:lpstr>
      <vt:lpstr>C.II.2.8</vt:lpstr>
      <vt:lpstr>C.II.2.9</vt:lpstr>
      <vt:lpstr>C.II.2.11</vt:lpstr>
      <vt:lpstr>C.III.1.1</vt:lpstr>
      <vt:lpstr>C.III.1.2</vt:lpstr>
      <vt:lpstr>C.III.1.4</vt:lpstr>
      <vt:lpstr>C.III.1.5</vt:lpstr>
      <vt:lpstr>C.III.1.6</vt:lpstr>
      <vt:lpstr>C.III.2.1</vt:lpstr>
      <vt:lpstr>hamchuigoi3</vt:lpstr>
      <vt:lpstr>C.I.1.1!Print_Area</vt:lpstr>
      <vt:lpstr>C.I.1.2!Print_Area</vt:lpstr>
      <vt:lpstr>C.I.1.3!Print_Area</vt:lpstr>
      <vt:lpstr>C.I.1.4!Print_Area</vt:lpstr>
      <vt:lpstr>C.I.1.5!Print_Area</vt:lpstr>
      <vt:lpstr>C.I.1.6!Print_Area</vt:lpstr>
      <vt:lpstr>C.I.2.1.1!Print_Area</vt:lpstr>
      <vt:lpstr>C.I.2.2.1!Print_Area</vt:lpstr>
      <vt:lpstr>C.I.2.2.10!Print_Area</vt:lpstr>
      <vt:lpstr>C.I.2.2.2!Print_Area</vt:lpstr>
      <vt:lpstr>C.I.2.2.3!Print_Area</vt:lpstr>
      <vt:lpstr>C.I.2.2.5!Print_Area</vt:lpstr>
      <vt:lpstr>C.I.2.2.6!Print_Area</vt:lpstr>
      <vt:lpstr>C.I.2.2.7!Print_Area</vt:lpstr>
      <vt:lpstr>C.I.2.2.8!Print_Area</vt:lpstr>
      <vt:lpstr>C.I.2.2.9!Print_Area</vt:lpstr>
      <vt:lpstr>C.I.2.3.1!Print_Area</vt:lpstr>
      <vt:lpstr>C.I.3.1!Print_Area</vt:lpstr>
      <vt:lpstr>C.I.3.2!Print_Area</vt:lpstr>
      <vt:lpstr>C.I.3.3!Print_Area</vt:lpstr>
      <vt:lpstr>C.I.3.4!Print_Area</vt:lpstr>
      <vt:lpstr>C.II.1.1.1!Print_Area</vt:lpstr>
      <vt:lpstr>C.II.1.1.10!Print_Area</vt:lpstr>
      <vt:lpstr>C.II.1.1.11!Print_Area</vt:lpstr>
      <vt:lpstr>C.II.1.1.12!Print_Area</vt:lpstr>
      <vt:lpstr>C.II.1.1.13!Print_Area</vt:lpstr>
      <vt:lpstr>C.II.1.1.14!Print_Area</vt:lpstr>
      <vt:lpstr>C.II.1.1.15!Print_Area</vt:lpstr>
      <vt:lpstr>C.II.1.1.16!Print_Area</vt:lpstr>
      <vt:lpstr>C.II.1.1.2!Print_Area</vt:lpstr>
      <vt:lpstr>C.II.1.1.3!Print_Area</vt:lpstr>
      <vt:lpstr>C.II.1.1.4!Print_Area</vt:lpstr>
      <vt:lpstr>C.II.1.1.5!Print_Area</vt:lpstr>
      <vt:lpstr>C.II.1.1.6!Print_Area</vt:lpstr>
      <vt:lpstr>C.II.1.1.7!Print_Area</vt:lpstr>
      <vt:lpstr>C.II.1.1.8!Print_Area</vt:lpstr>
      <vt:lpstr>C.II.1.1.9!Print_Area</vt:lpstr>
      <vt:lpstr>C.II.1.2.1!Print_Area</vt:lpstr>
      <vt:lpstr>C.II.1.2.2!Print_Area</vt:lpstr>
      <vt:lpstr>C.II.1.2.3!Print_Area</vt:lpstr>
      <vt:lpstr>C.II.1.2.4!Print_Area</vt:lpstr>
      <vt:lpstr>C.II.1.2.5!Print_Area</vt:lpstr>
      <vt:lpstr>C.II.1.2.6!Print_Area</vt:lpstr>
      <vt:lpstr>C.II.1.2.7!Print_Area</vt:lpstr>
      <vt:lpstr>C.II.1.2.8!Print_Area</vt:lpstr>
      <vt:lpstr>C.II.1.3.1!Print_Area</vt:lpstr>
      <vt:lpstr>C.II.1.4.1!Print_Area</vt:lpstr>
      <vt:lpstr>C.II.1.4.2!Print_Area</vt:lpstr>
      <vt:lpstr>C.II.1.4.3!Print_Area</vt:lpstr>
      <vt:lpstr>C.II.1.4.4!Print_Area</vt:lpstr>
      <vt:lpstr>C.II.1.5.1!Print_Area</vt:lpstr>
      <vt:lpstr>C.II.1.5.2!Print_Area</vt:lpstr>
      <vt:lpstr>C.II.1.5.3!Print_Area</vt:lpstr>
      <vt:lpstr>C.II.1.5.4!Print_Area</vt:lpstr>
      <vt:lpstr>C.II.1.5.5!Print_Area</vt:lpstr>
      <vt:lpstr>C.II.1.6.1!Print_Area</vt:lpstr>
      <vt:lpstr>C.II.1.6.2!Print_Area</vt:lpstr>
      <vt:lpstr>C.II.1.7.1!Print_Area</vt:lpstr>
      <vt:lpstr>C.II.1.7.2!Print_Area</vt:lpstr>
      <vt:lpstr>C.II.1.7.3!Print_Area</vt:lpstr>
      <vt:lpstr>C.II.1.7.4!Print_Area</vt:lpstr>
      <vt:lpstr>C.II.1.7.5!Print_Area</vt:lpstr>
      <vt:lpstr>C.II.1.7.6!Print_Area</vt:lpstr>
      <vt:lpstr>C.II.2.1!Print_Area</vt:lpstr>
      <vt:lpstr>C.II.2.11!Print_Area</vt:lpstr>
      <vt:lpstr>C.II.2.2!Print_Area</vt:lpstr>
      <vt:lpstr>C.II.2.3!Print_Area</vt:lpstr>
      <vt:lpstr>C.II.2.4!Print_Area</vt:lpstr>
      <vt:lpstr>C.II.2.5!Print_Area</vt:lpstr>
      <vt:lpstr>C.II.2.7!Print_Area</vt:lpstr>
      <vt:lpstr>C.II.2.8!Print_Area</vt:lpstr>
      <vt:lpstr>C.II.2.9!Print_Area</vt:lpstr>
      <vt:lpstr>C.III.1.1!Print_Area</vt:lpstr>
      <vt:lpstr>C.III.1.2!Print_Area</vt:lpstr>
      <vt:lpstr>C.III.1.4!Print_Area</vt:lpstr>
      <vt:lpstr>C.III.1.5!Print_Area</vt:lpstr>
      <vt:lpstr>C.III.1.6!Print_Area</vt:lpstr>
      <vt:lpstr>C.III.2.1!Print_Area</vt:lpstr>
      <vt:lpstr>'PHAN KHAI'!Print_Area</vt:lpstr>
      <vt:lpstr>THKL!Print_Area</vt:lpstr>
      <vt:lpstr>THKLQT!Print_Area</vt:lpstr>
      <vt:lpstr>C.I.1.1!Print_Titles</vt:lpstr>
      <vt:lpstr>C.I.1.2!Print_Titles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Administrator</cp:lastModifiedBy>
  <cp:lastPrinted>2020-08-13T07:41:53Z</cp:lastPrinted>
  <dcterms:created xsi:type="dcterms:W3CDTF">2010-12-22T02:12:12Z</dcterms:created>
  <dcterms:modified xsi:type="dcterms:W3CDTF">2020-11-16T09:55:35Z</dcterms:modified>
</cp:coreProperties>
</file>