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/Dropbox/Jill current docs/Data_current/AK2004 Burns/Transplants/"/>
    </mc:Choice>
  </mc:AlternateContent>
  <xr:revisionPtr revIDLastSave="0" documentId="13_ncr:1_{DEE46CE2-3CA5-F04C-902A-FE65CAC5C85B}" xr6:coauthVersionLast="47" xr6:coauthVersionMax="47" xr10:uidLastSave="{00000000-0000-0000-0000-000000000000}"/>
  <bookViews>
    <workbookView xWindow="-31940" yWindow="-5020" windowWidth="30560" windowHeight="20760" xr2:uid="{7623B196-AB93-764B-96EB-0BB968856B25}"/>
  </bookViews>
  <sheets>
    <sheet name="LP_field" sheetId="5" r:id="rId1"/>
    <sheet name="LP_biomass" sheetId="1" r:id="rId2"/>
    <sheet name="LP_escapees" sheetId="3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4" i="1" l="1"/>
  <c r="W44" i="1"/>
  <c r="V44" i="1"/>
  <c r="U44" i="1" s="1"/>
  <c r="R44" i="1"/>
  <c r="Q44" i="1"/>
  <c r="S44" i="1" s="1"/>
  <c r="P44" i="1"/>
  <c r="O44" i="1" s="1"/>
  <c r="K44" i="1"/>
  <c r="G44" i="1"/>
  <c r="Y43" i="1"/>
  <c r="U43" i="1"/>
  <c r="S43" i="1"/>
  <c r="O43" i="1"/>
  <c r="K43" i="1"/>
  <c r="G43" i="1"/>
  <c r="AE42" i="1"/>
  <c r="AA42" i="1"/>
  <c r="W42" i="1"/>
  <c r="Y42" i="1" s="1"/>
  <c r="U42" i="1"/>
  <c r="Q42" i="1"/>
  <c r="S42" i="1" s="1"/>
  <c r="T42" i="1" s="1"/>
  <c r="K42" i="1"/>
  <c r="G42" i="1"/>
  <c r="L42" i="1" s="1"/>
  <c r="Y41" i="1"/>
  <c r="U41" i="1"/>
  <c r="Z41" i="1" s="1"/>
  <c r="AG41" i="1" s="1"/>
  <c r="S41" i="1"/>
  <c r="O41" i="1"/>
  <c r="K41" i="1"/>
  <c r="G41" i="1"/>
  <c r="AC40" i="1"/>
  <c r="AE40" i="1" s="1"/>
  <c r="AF40" i="1" s="1"/>
  <c r="Y40" i="1"/>
  <c r="U40" i="1"/>
  <c r="S40" i="1"/>
  <c r="T40" i="1" s="1"/>
  <c r="L40" i="1"/>
  <c r="K40" i="1"/>
  <c r="G40" i="1"/>
  <c r="AC39" i="1"/>
  <c r="AB39" i="1"/>
  <c r="W39" i="1"/>
  <c r="Y39" i="1" s="1"/>
  <c r="U39" i="1"/>
  <c r="S39" i="1"/>
  <c r="T39" i="1" s="1"/>
  <c r="K39" i="1"/>
  <c r="G39" i="1"/>
  <c r="AE38" i="1"/>
  <c r="AA38" i="1"/>
  <c r="AF38" i="1" s="1"/>
  <c r="W38" i="1"/>
  <c r="Y38" i="1" s="1"/>
  <c r="U38" i="1"/>
  <c r="Q38" i="1"/>
  <c r="S38" i="1" s="1"/>
  <c r="T38" i="1" s="1"/>
  <c r="K38" i="1"/>
  <c r="G38" i="1"/>
  <c r="AE37" i="1"/>
  <c r="AA37" i="1"/>
  <c r="W37" i="1"/>
  <c r="Y37" i="1" s="1"/>
  <c r="U37" i="1"/>
  <c r="S37" i="1"/>
  <c r="T37" i="1" s="1"/>
  <c r="I37" i="1"/>
  <c r="K37" i="1" s="1"/>
  <c r="G37" i="1"/>
  <c r="Y36" i="1"/>
  <c r="U36" i="1"/>
  <c r="S36" i="1"/>
  <c r="O36" i="1"/>
  <c r="K36" i="1"/>
  <c r="G36" i="1"/>
  <c r="L36" i="1" s="1"/>
  <c r="Y35" i="1"/>
  <c r="U35" i="1"/>
  <c r="T35" i="1"/>
  <c r="S35" i="1"/>
  <c r="O35" i="1"/>
  <c r="K35" i="1"/>
  <c r="G35" i="1"/>
  <c r="Y34" i="1"/>
  <c r="U34" i="1"/>
  <c r="Z34" i="1" s="1"/>
  <c r="AG34" i="1" s="1"/>
  <c r="S34" i="1"/>
  <c r="O34" i="1"/>
  <c r="K34" i="1"/>
  <c r="G34" i="1"/>
  <c r="Y33" i="1"/>
  <c r="U33" i="1"/>
  <c r="S33" i="1"/>
  <c r="O33" i="1"/>
  <c r="K33" i="1"/>
  <c r="G33" i="1"/>
  <c r="Y32" i="1"/>
  <c r="U32" i="1"/>
  <c r="S32" i="1"/>
  <c r="O32" i="1"/>
  <c r="K32" i="1"/>
  <c r="G32" i="1"/>
  <c r="L32" i="1" s="1"/>
  <c r="Y31" i="1"/>
  <c r="U31" i="1"/>
  <c r="S31" i="1"/>
  <c r="T31" i="1" s="1"/>
  <c r="K31" i="1"/>
  <c r="L31" i="1" s="1"/>
  <c r="Y30" i="1"/>
  <c r="U30" i="1"/>
  <c r="S30" i="1"/>
  <c r="T30" i="1" s="1"/>
  <c r="K30" i="1"/>
  <c r="L30" i="1" s="1"/>
  <c r="AE29" i="1"/>
  <c r="AF29" i="1" s="1"/>
  <c r="X29" i="1"/>
  <c r="W29" i="1"/>
  <c r="V29" i="1"/>
  <c r="U29" i="1" s="1"/>
  <c r="S29" i="1"/>
  <c r="T29" i="1" s="1"/>
  <c r="J29" i="1"/>
  <c r="I29" i="1"/>
  <c r="H29" i="1"/>
  <c r="G29" i="1" s="1"/>
  <c r="AI28" i="1"/>
  <c r="Y28" i="1"/>
  <c r="Z28" i="1" s="1"/>
  <c r="AG28" i="1" s="1"/>
  <c r="S28" i="1"/>
  <c r="T28" i="1" s="1"/>
  <c r="K28" i="1"/>
  <c r="L28" i="1" s="1"/>
  <c r="Y27" i="1"/>
  <c r="U27" i="1"/>
  <c r="S27" i="1"/>
  <c r="O27" i="1"/>
  <c r="T27" i="1" s="1"/>
  <c r="K27" i="1"/>
  <c r="L27" i="1" s="1"/>
  <c r="AE26" i="1"/>
  <c r="AA26" i="1"/>
  <c r="Y26" i="1"/>
  <c r="Z26" i="1" s="1"/>
  <c r="S26" i="1"/>
  <c r="O26" i="1"/>
  <c r="K26" i="1"/>
  <c r="G26" i="1"/>
  <c r="L26" i="1" s="1"/>
  <c r="AE25" i="1"/>
  <c r="AA25" i="1"/>
  <c r="Y25" i="1"/>
  <c r="Z25" i="1" s="1"/>
  <c r="S25" i="1"/>
  <c r="O25" i="1"/>
  <c r="K25" i="1"/>
  <c r="G25" i="1"/>
  <c r="AE24" i="1"/>
  <c r="AF24" i="1" s="1"/>
  <c r="Y24" i="1"/>
  <c r="U24" i="1"/>
  <c r="R24" i="1"/>
  <c r="Q24" i="1"/>
  <c r="P24" i="1"/>
  <c r="O24" i="1"/>
  <c r="K24" i="1"/>
  <c r="G24" i="1"/>
  <c r="L24" i="1" s="1"/>
  <c r="Y23" i="1"/>
  <c r="Z23" i="1" s="1"/>
  <c r="AG23" i="1" s="1"/>
  <c r="S23" i="1"/>
  <c r="T23" i="1" s="1"/>
  <c r="K23" i="1"/>
  <c r="G23" i="1"/>
  <c r="AI22" i="1"/>
  <c r="Y22" i="1"/>
  <c r="Z22" i="1" s="1"/>
  <c r="AG22" i="1" s="1"/>
  <c r="S22" i="1"/>
  <c r="T22" i="1" s="1"/>
  <c r="K22" i="1"/>
  <c r="L22" i="1" s="1"/>
  <c r="AF21" i="1"/>
  <c r="AE21" i="1"/>
  <c r="Y21" i="1"/>
  <c r="Z21" i="1" s="1"/>
  <c r="R21" i="1"/>
  <c r="Q21" i="1"/>
  <c r="P21" i="1"/>
  <c r="O21" i="1"/>
  <c r="K21" i="1"/>
  <c r="G21" i="1"/>
  <c r="AI20" i="1"/>
  <c r="AE20" i="1"/>
  <c r="AF20" i="1" s="1"/>
  <c r="Y20" i="1"/>
  <c r="Z20" i="1" s="1"/>
  <c r="S20" i="1"/>
  <c r="T20" i="1" s="1"/>
  <c r="K20" i="1"/>
  <c r="L20" i="1" s="1"/>
  <c r="AI19" i="1"/>
  <c r="AE19" i="1"/>
  <c r="AF19" i="1" s="1"/>
  <c r="Y19" i="1"/>
  <c r="Z19" i="1" s="1"/>
  <c r="S19" i="1"/>
  <c r="T19" i="1" s="1"/>
  <c r="K19" i="1"/>
  <c r="L19" i="1" s="1"/>
  <c r="AE18" i="1"/>
  <c r="AF18" i="1" s="1"/>
  <c r="X18" i="1"/>
  <c r="W18" i="1"/>
  <c r="V18" i="1"/>
  <c r="R18" i="1"/>
  <c r="Q18" i="1"/>
  <c r="P18" i="1"/>
  <c r="J18" i="1"/>
  <c r="I18" i="1"/>
  <c r="H18" i="1"/>
  <c r="G18" i="1"/>
  <c r="AE17" i="1"/>
  <c r="AF17" i="1" s="1"/>
  <c r="Y17" i="1"/>
  <c r="S17" i="1"/>
  <c r="N17" i="1"/>
  <c r="O17" i="1" s="1"/>
  <c r="T17" i="1" s="1"/>
  <c r="K17" i="1"/>
  <c r="L17" i="1" s="1"/>
  <c r="AI16" i="1"/>
  <c r="Z16" i="1"/>
  <c r="AG16" i="1" s="1"/>
  <c r="Y16" i="1"/>
  <c r="Q16" i="1"/>
  <c r="P16" i="1"/>
  <c r="N16" i="1" s="1"/>
  <c r="K16" i="1"/>
  <c r="L16" i="1" s="1"/>
  <c r="AE15" i="1"/>
  <c r="AA15" i="1"/>
  <c r="AI15" i="1" s="1"/>
  <c r="Y15" i="1"/>
  <c r="Z15" i="1" s="1"/>
  <c r="S15" i="1"/>
  <c r="T15" i="1" s="1"/>
  <c r="N15" i="1"/>
  <c r="M15" i="1"/>
  <c r="K15" i="1"/>
  <c r="L15" i="1" s="1"/>
  <c r="AE14" i="1"/>
  <c r="AF14" i="1" s="1"/>
  <c r="Y14" i="1"/>
  <c r="S14" i="1"/>
  <c r="N14" i="1"/>
  <c r="M14" i="1"/>
  <c r="K14" i="1"/>
  <c r="L14" i="1" s="1"/>
  <c r="AI13" i="1"/>
  <c r="Z13" i="1"/>
  <c r="AG13" i="1" s="1"/>
  <c r="Y13" i="1"/>
  <c r="S13" i="1"/>
  <c r="T13" i="1" s="1"/>
  <c r="N13" i="1"/>
  <c r="K13" i="1"/>
  <c r="L13" i="1" s="1"/>
  <c r="AE12" i="1"/>
  <c r="AF12" i="1" s="1"/>
  <c r="Y12" i="1"/>
  <c r="S12" i="1"/>
  <c r="N12" i="1"/>
  <c r="O12" i="1" s="1"/>
  <c r="K12" i="1"/>
  <c r="L12" i="1" s="1"/>
  <c r="AI11" i="1"/>
  <c r="AE11" i="1"/>
  <c r="AF11" i="1" s="1"/>
  <c r="Z11" i="1"/>
  <c r="AG11" i="1" s="1"/>
  <c r="Y11" i="1"/>
  <c r="S11" i="1"/>
  <c r="T11" i="1" s="1"/>
  <c r="N11" i="1"/>
  <c r="K11" i="1"/>
  <c r="L11" i="1" s="1"/>
  <c r="AI10" i="1"/>
  <c r="AE10" i="1"/>
  <c r="AF10" i="1" s="1"/>
  <c r="AG10" i="1" s="1"/>
  <c r="S10" i="1"/>
  <c r="T10" i="1" s="1"/>
  <c r="N10" i="1"/>
  <c r="K10" i="1"/>
  <c r="L10" i="1" s="1"/>
  <c r="AE9" i="1"/>
  <c r="AF9" i="1" s="1"/>
  <c r="Y9" i="1"/>
  <c r="S9" i="1"/>
  <c r="N9" i="1"/>
  <c r="O9" i="1" s="1"/>
  <c r="U9" i="1" s="1"/>
  <c r="K9" i="1"/>
  <c r="L9" i="1" s="1"/>
  <c r="AI8" i="1"/>
  <c r="Z8" i="1"/>
  <c r="AG8" i="1" s="1"/>
  <c r="Y8" i="1"/>
  <c r="S8" i="1"/>
  <c r="T8" i="1" s="1"/>
  <c r="N8" i="1"/>
  <c r="K8" i="1"/>
  <c r="L8" i="1" s="1"/>
  <c r="AI7" i="1"/>
  <c r="AF7" i="1"/>
  <c r="AE7" i="1"/>
  <c r="Z7" i="1"/>
  <c r="Y7" i="1"/>
  <c r="S7" i="1"/>
  <c r="T7" i="1" s="1"/>
  <c r="N7" i="1"/>
  <c r="K7" i="1"/>
  <c r="L7" i="1" s="1"/>
  <c r="AI6" i="1"/>
  <c r="Z6" i="1"/>
  <c r="AG6" i="1" s="1"/>
  <c r="Y6" i="1"/>
  <c r="S6" i="1"/>
  <c r="T6" i="1" s="1"/>
  <c r="N6" i="1"/>
  <c r="K6" i="1"/>
  <c r="L6" i="1" s="1"/>
  <c r="Z31" i="1" l="1"/>
  <c r="AG31" i="1" s="1"/>
  <c r="T34" i="1"/>
  <c r="L38" i="1"/>
  <c r="AF42" i="1"/>
  <c r="S18" i="1"/>
  <c r="T18" i="1" s="1"/>
  <c r="L21" i="1"/>
  <c r="Z40" i="1"/>
  <c r="T32" i="1"/>
  <c r="T43" i="1"/>
  <c r="O14" i="1"/>
  <c r="T14" i="1" s="1"/>
  <c r="AF26" i="1"/>
  <c r="T44" i="1"/>
  <c r="AG20" i="1"/>
  <c r="L35" i="1"/>
  <c r="L25" i="1"/>
  <c r="AH13" i="1"/>
  <c r="AJ13" i="1" s="1"/>
  <c r="AG21" i="1"/>
  <c r="Z33" i="1"/>
  <c r="AG33" i="1" s="1"/>
  <c r="AE39" i="1"/>
  <c r="AF39" i="1" s="1"/>
  <c r="AF25" i="1"/>
  <c r="L34" i="1"/>
  <c r="AH34" i="1" s="1"/>
  <c r="AF37" i="1"/>
  <c r="L41" i="1"/>
  <c r="AF15" i="1"/>
  <c r="AG15" i="1" s="1"/>
  <c r="AH15" i="1" s="1"/>
  <c r="AJ15" i="1" s="1"/>
  <c r="Z36" i="1"/>
  <c r="AG36" i="1" s="1"/>
  <c r="L39" i="1"/>
  <c r="T41" i="1"/>
  <c r="L43" i="1"/>
  <c r="T12" i="1"/>
  <c r="Z24" i="1"/>
  <c r="AG24" i="1" s="1"/>
  <c r="AH24" i="1" s="1"/>
  <c r="AG25" i="1"/>
  <c r="AG26" i="1"/>
  <c r="K29" i="1"/>
  <c r="L29" i="1" s="1"/>
  <c r="AH8" i="1"/>
  <c r="AJ8" i="1" s="1"/>
  <c r="AI43" i="1"/>
  <c r="S16" i="1"/>
  <c r="T16" i="1" s="1"/>
  <c r="Y44" i="1"/>
  <c r="Z44" i="1" s="1"/>
  <c r="AG44" i="1" s="1"/>
  <c r="AH31" i="1"/>
  <c r="AG40" i="1"/>
  <c r="AH40" i="1" s="1"/>
  <c r="AJ40" i="1" s="1"/>
  <c r="AI31" i="1"/>
  <c r="L37" i="1"/>
  <c r="AI36" i="1"/>
  <c r="AI40" i="1"/>
  <c r="L23" i="1"/>
  <c r="AH23" i="1" s="1"/>
  <c r="S24" i="1"/>
  <c r="T24" i="1" s="1"/>
  <c r="T26" i="1"/>
  <c r="Y29" i="1"/>
  <c r="Z29" i="1" s="1"/>
  <c r="AG29" i="1" s="1"/>
  <c r="T33" i="1"/>
  <c r="L44" i="1"/>
  <c r="AH6" i="1"/>
  <c r="AJ6" i="1" s="1"/>
  <c r="AH11" i="1"/>
  <c r="AJ11" i="1" s="1"/>
  <c r="Z9" i="1"/>
  <c r="AG9" i="1" s="1"/>
  <c r="AI9" i="1"/>
  <c r="AH10" i="1"/>
  <c r="AJ10" i="1" s="1"/>
  <c r="AH20" i="1"/>
  <c r="AJ20" i="1" s="1"/>
  <c r="AI26" i="1"/>
  <c r="AI21" i="1"/>
  <c r="AH28" i="1"/>
  <c r="AJ28" i="1" s="1"/>
  <c r="AI42" i="1"/>
  <c r="Z42" i="1"/>
  <c r="AG42" i="1" s="1"/>
  <c r="AH42" i="1" s="1"/>
  <c r="U17" i="1"/>
  <c r="K18" i="1"/>
  <c r="L18" i="1" s="1"/>
  <c r="Y18" i="1"/>
  <c r="Z18" i="1" s="1"/>
  <c r="AG18" i="1" s="1"/>
  <c r="S21" i="1"/>
  <c r="T21" i="1" s="1"/>
  <c r="AH21" i="1" s="1"/>
  <c r="AJ21" i="1" s="1"/>
  <c r="AI29" i="1"/>
  <c r="AI32" i="1"/>
  <c r="Z32" i="1"/>
  <c r="AG32" i="1" s="1"/>
  <c r="Z35" i="1"/>
  <c r="AG35" i="1" s="1"/>
  <c r="AI35" i="1"/>
  <c r="Z37" i="1"/>
  <c r="AG37" i="1" s="1"/>
  <c r="AH16" i="1"/>
  <c r="AJ16" i="1" s="1"/>
  <c r="AI34" i="1"/>
  <c r="AI41" i="1"/>
  <c r="AI18" i="1"/>
  <c r="T9" i="1"/>
  <c r="U12" i="1"/>
  <c r="AI44" i="1"/>
  <c r="AI30" i="1"/>
  <c r="Z30" i="1"/>
  <c r="AG30" i="1" s="1"/>
  <c r="AH30" i="1" s="1"/>
  <c r="AJ30" i="1" s="1"/>
  <c r="U14" i="1"/>
  <c r="AH22" i="1"/>
  <c r="AJ22" i="1" s="1"/>
  <c r="AI25" i="1"/>
  <c r="T25" i="1"/>
  <c r="Z38" i="1"/>
  <c r="AG38" i="1" s="1"/>
  <c r="AH38" i="1" s="1"/>
  <c r="Z27" i="1"/>
  <c r="AG27" i="1" s="1"/>
  <c r="AH27" i="1" s="1"/>
  <c r="AI27" i="1"/>
  <c r="L33" i="1"/>
  <c r="AI33" i="1"/>
  <c r="AG7" i="1"/>
  <c r="AH7" i="1" s="1"/>
  <c r="AJ7" i="1" s="1"/>
  <c r="AG19" i="1"/>
  <c r="AH19" i="1" s="1"/>
  <c r="AJ19" i="1" s="1"/>
  <c r="AI23" i="1"/>
  <c r="Z39" i="1"/>
  <c r="AI24" i="1"/>
  <c r="AI38" i="1"/>
  <c r="Z43" i="1"/>
  <c r="AG43" i="1" s="1"/>
  <c r="AH43" i="1" s="1"/>
  <c r="AJ43" i="1" s="1"/>
  <c r="AI37" i="1"/>
  <c r="T36" i="1"/>
  <c r="AI39" i="1"/>
  <c r="AH33" i="1" l="1"/>
  <c r="AH35" i="1"/>
  <c r="AH41" i="1"/>
  <c r="AH32" i="1"/>
  <c r="AJ32" i="1" s="1"/>
  <c r="AG39" i="1"/>
  <c r="AH39" i="1" s="1"/>
  <c r="AJ39" i="1" s="1"/>
  <c r="AJ31" i="1"/>
  <c r="AH44" i="1"/>
  <c r="AJ44" i="1" s="1"/>
  <c r="AJ24" i="1"/>
  <c r="AH37" i="1"/>
  <c r="AJ37" i="1" s="1"/>
  <c r="AH36" i="1"/>
  <c r="AJ36" i="1" s="1"/>
  <c r="AH29" i="1"/>
  <c r="AJ29" i="1" s="1"/>
  <c r="AH26" i="1"/>
  <c r="AJ26" i="1" s="1"/>
  <c r="AJ23" i="1"/>
  <c r="AJ33" i="1"/>
  <c r="AJ38" i="1"/>
  <c r="AH25" i="1"/>
  <c r="AJ25" i="1" s="1"/>
  <c r="AJ42" i="1"/>
  <c r="Z12" i="1"/>
  <c r="AG12" i="1" s="1"/>
  <c r="AH12" i="1" s="1"/>
  <c r="AI12" i="1"/>
  <c r="AH18" i="1"/>
  <c r="AJ18" i="1" s="1"/>
  <c r="AJ35" i="1"/>
  <c r="AI17" i="1"/>
  <c r="Z17" i="1"/>
  <c r="AG17" i="1" s="1"/>
  <c r="AH17" i="1" s="1"/>
  <c r="AJ17" i="1" s="1"/>
  <c r="Z14" i="1"/>
  <c r="AG14" i="1" s="1"/>
  <c r="AH14" i="1" s="1"/>
  <c r="AI14" i="1"/>
  <c r="AJ41" i="1"/>
  <c r="AJ27" i="1"/>
  <c r="AJ34" i="1"/>
  <c r="AH9" i="1"/>
  <c r="AJ9" i="1" s="1"/>
  <c r="AJ14" i="1" l="1"/>
  <c r="A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Jill Johnstone</author>
  </authors>
  <commentList>
    <comment ref="G5" authorId="0" shapeId="0" xr:uid="{4D6BC12F-ED8D-BD4B-87CD-28222FAA23E8}">
      <text>
        <r>
          <rPr>
            <sz val="9"/>
            <color rgb="FF000000"/>
            <rFont val="Calibri"/>
            <family val="2"/>
          </rPr>
          <t>Total wet weight of new growth (&lt;1 yr)</t>
        </r>
      </text>
    </comment>
    <comment ref="H5" authorId="0" shapeId="0" xr:uid="{7DC92EA9-EA92-6747-8765-EEBD2FEC4490}">
      <text>
        <r>
          <rPr>
            <sz val="9"/>
            <color indexed="81"/>
            <rFont val="Calibri"/>
            <family val="2"/>
          </rPr>
          <t>New (current year) growth (stems+needles). Wet weight (g) with bag included.</t>
        </r>
      </text>
    </comment>
    <comment ref="I5" authorId="0" shapeId="0" xr:uid="{A96CD2A5-CE87-8C4B-A72B-29A7D1B3198F}">
      <text>
        <r>
          <rPr>
            <sz val="9"/>
            <color indexed="81"/>
            <rFont val="Calibri"/>
            <family val="2"/>
          </rPr>
          <t>New (current year) growth (stems+needles) - Dry weight (g) with bag included.</t>
        </r>
      </text>
    </comment>
    <comment ref="J5" authorId="0" shapeId="0" xr:uid="{CB62FB71-3ED5-2547-9AFE-45BEEC370661}">
      <text>
        <r>
          <rPr>
            <sz val="9"/>
            <color rgb="FF000000"/>
            <rFont val="Calibri"/>
            <family val="2"/>
          </rPr>
          <t>Dry weight of sample bag for new growth (subtract from dry weight to obtain total)</t>
        </r>
      </text>
    </comment>
    <comment ref="K5" authorId="0" shapeId="0" xr:uid="{A864B98C-80B4-B742-865F-2BC493CCA31B}">
      <text>
        <r>
          <rPr>
            <sz val="9"/>
            <color rgb="FF000000"/>
            <rFont val="Calibri"/>
            <family val="2"/>
          </rPr>
          <t>Ratio of dry weight to original wet weight (as a proportion)</t>
        </r>
      </text>
    </comment>
    <comment ref="L5" authorId="0" shapeId="0" xr:uid="{352F208F-1B42-4D4F-97A3-C7A4F8937678}">
      <text>
        <r>
          <rPr>
            <sz val="9"/>
            <color rgb="FF000000"/>
            <rFont val="Calibri"/>
            <family val="2"/>
          </rPr>
          <t>Measured dry weight minus weight of bag. This is the final total biomass (new, current year growth).</t>
        </r>
      </text>
    </comment>
    <comment ref="M5" authorId="0" shapeId="0" xr:uid="{AB1905B4-61FB-1A46-B5D2-29C9E711088E}">
      <text>
        <r>
          <rPr>
            <sz val="9"/>
            <color rgb="FF000000"/>
            <rFont val="Calibri"/>
            <family val="2"/>
          </rPr>
          <t>Total wet weight of all branches (needles and twigs combined) - use when subsampling</t>
        </r>
      </text>
    </comment>
    <comment ref="N5" authorId="0" shapeId="0" xr:uid="{08F3A764-9FEB-DB48-BCF2-F83475E9E5F6}">
      <text>
        <r>
          <rPr>
            <sz val="9"/>
            <color rgb="FF000000"/>
            <rFont val="Calibri"/>
            <family val="2"/>
          </rPr>
          <t xml:space="preserve">Proportion of total wet biomass of sample that was leaves (needles).
</t>
        </r>
      </text>
    </comment>
    <comment ref="O5" authorId="0" shapeId="0" xr:uid="{A30E1CD0-7E32-1548-B284-C8A410FA1016}">
      <text>
        <r>
          <rPr>
            <sz val="9"/>
            <color rgb="FF000000"/>
            <rFont val="Calibri"/>
            <family val="2"/>
          </rPr>
          <t>Total wet weight of older leaves (&gt;1 yr)</t>
        </r>
      </text>
    </comment>
    <comment ref="P5" authorId="0" shapeId="0" xr:uid="{9B62607D-E36A-C04E-8988-5F01909F03AF}">
      <text>
        <r>
          <rPr>
            <sz val="9"/>
            <color rgb="FF000000"/>
            <rFont val="Calibri"/>
            <family val="2"/>
          </rPr>
          <t>Wet weight of leaf subsample that was dried.</t>
        </r>
      </text>
    </comment>
    <comment ref="Q5" authorId="0" shapeId="0" xr:uid="{5D83B5E1-91A5-B144-BCBA-E252145D217D}">
      <text>
        <r>
          <rPr>
            <sz val="9"/>
            <color rgb="FF000000"/>
            <rFont val="Calibri"/>
            <family val="2"/>
          </rPr>
          <t>Dry weight of leaf sample that was dried.</t>
        </r>
      </text>
    </comment>
    <comment ref="R5" authorId="0" shapeId="0" xr:uid="{DD96B75C-15C6-8744-A019-751FE84C466D}">
      <text>
        <r>
          <rPr>
            <sz val="9"/>
            <color rgb="FF000000"/>
            <rFont val="Calibri"/>
            <family val="2"/>
          </rPr>
          <t>Bag weight to be subtracted.</t>
        </r>
      </text>
    </comment>
    <comment ref="S5" authorId="0" shapeId="0" xr:uid="{4246E226-A0CC-C94B-A7ED-7894D5FD27F5}">
      <text>
        <r>
          <rPr>
            <sz val="9"/>
            <color indexed="81"/>
            <rFont val="Calibri"/>
            <family val="2"/>
          </rPr>
          <t>Ratio of dry weight to original wet weight (as a proportion)</t>
        </r>
      </text>
    </comment>
    <comment ref="T5" authorId="0" shapeId="0" xr:uid="{C51AC33A-4E6F-9A42-9C59-BFC7561D4E36}">
      <text>
        <r>
          <rPr>
            <sz val="9"/>
            <color indexed="81"/>
            <rFont val="Calibri"/>
            <family val="2"/>
          </rPr>
          <t>Calculated total dry biomass (g) of leaves, based on proportion of original sample weight and moisture ratio.</t>
        </r>
      </text>
    </comment>
    <comment ref="U5" authorId="0" shapeId="0" xr:uid="{EEDFD241-327E-C64B-9CD5-97839E00FF57}">
      <text>
        <r>
          <rPr>
            <sz val="9"/>
            <color indexed="81"/>
            <rFont val="Calibri"/>
            <family val="2"/>
          </rPr>
          <t>Total wet weight of older twigs (&gt;1 yr)</t>
        </r>
      </text>
    </comment>
    <comment ref="V5" authorId="0" shapeId="0" xr:uid="{73D4DC79-0B03-0A49-9647-11D93354194C}">
      <text>
        <r>
          <rPr>
            <sz val="9"/>
            <color rgb="FF000000"/>
            <rFont val="Calibri"/>
            <family val="2"/>
          </rPr>
          <t>Wet weight of leaf subsample that was dried.</t>
        </r>
      </text>
    </comment>
    <comment ref="W5" authorId="0" shapeId="0" xr:uid="{B4CF92E3-946F-0C44-9269-6E8424392076}">
      <text>
        <r>
          <rPr>
            <sz val="9"/>
            <color rgb="FF000000"/>
            <rFont val="Calibri"/>
            <family val="2"/>
          </rPr>
          <t>Dry weight of leaf sample that was dried.</t>
        </r>
      </text>
    </comment>
    <comment ref="X5" authorId="0" shapeId="0" xr:uid="{B7B04665-0936-4044-93FC-5DEDD732FFED}">
      <text>
        <r>
          <rPr>
            <sz val="9"/>
            <color rgb="FF000000"/>
            <rFont val="Calibri"/>
            <family val="2"/>
          </rPr>
          <t>Bag weight to be subtracted.</t>
        </r>
      </text>
    </comment>
    <comment ref="Y5" authorId="0" shapeId="0" xr:uid="{EAAE9D8E-3E20-E549-BD64-1712861D9161}">
      <text>
        <r>
          <rPr>
            <sz val="9"/>
            <color indexed="81"/>
            <rFont val="Calibri"/>
            <family val="2"/>
          </rPr>
          <t>Ratio of dry weight to original wet weight (as a proportion)</t>
        </r>
      </text>
    </comment>
    <comment ref="Z5" authorId="0" shapeId="0" xr:uid="{A0EED535-D6CE-A44A-B512-2895812722B6}">
      <text>
        <r>
          <rPr>
            <sz val="9"/>
            <color indexed="81"/>
            <rFont val="Calibri"/>
            <family val="2"/>
          </rPr>
          <t>Calculated total dry biomass (g) of twigs, based on proportion of original sample weight and moisture ratio.</t>
        </r>
      </text>
    </comment>
    <comment ref="AA5" authorId="0" shapeId="0" xr:uid="{FC36FB79-0915-D943-B6DB-8D598C1C62B7}">
      <text>
        <r>
          <rPr>
            <sz val="9"/>
            <color rgb="FF000000"/>
            <rFont val="Calibri"/>
            <family val="2"/>
          </rPr>
          <t>Total wet weight of all coarse wood (&gt;2 cm diameter)</t>
        </r>
      </text>
    </comment>
    <comment ref="AB5" authorId="0" shapeId="0" xr:uid="{E1225542-EE82-8A45-A161-44EC08E34A5D}">
      <text>
        <r>
          <rPr>
            <sz val="9"/>
            <color rgb="FF000000"/>
            <rFont val="Calibri"/>
            <family val="2"/>
          </rPr>
          <t>Wet weight of wood subsample that was dried.</t>
        </r>
      </text>
    </comment>
    <comment ref="AC5" authorId="0" shapeId="0" xr:uid="{B7AD66FF-FBFF-1B4F-92FB-8288759F808D}">
      <text>
        <r>
          <rPr>
            <sz val="9"/>
            <color rgb="FF000000"/>
            <rFont val="Calibri"/>
            <family val="2"/>
          </rPr>
          <t>Dry weight of wood sample that was dried.</t>
        </r>
      </text>
    </comment>
    <comment ref="AD5" authorId="0" shapeId="0" xr:uid="{53AAB4DB-4D15-BB40-A426-107F49894D51}">
      <text>
        <r>
          <rPr>
            <sz val="9"/>
            <color rgb="FF000000"/>
            <rFont val="Calibri"/>
            <family val="2"/>
          </rPr>
          <t>Bag weight to be subtracted, if applicable.</t>
        </r>
      </text>
    </comment>
    <comment ref="AE5" authorId="0" shapeId="0" xr:uid="{C56A0EB4-F682-9B4A-B6AA-3BD2562B6E30}">
      <text>
        <r>
          <rPr>
            <sz val="9"/>
            <color rgb="FF000000"/>
            <rFont val="Calibri"/>
            <family val="2"/>
          </rPr>
          <t>Ratio of dry weight to original wet weight (as a proportion)</t>
        </r>
      </text>
    </comment>
    <comment ref="AF5" authorId="0" shapeId="0" xr:uid="{787E0BED-C59B-1041-A237-6A4964B00652}">
      <text>
        <r>
          <rPr>
            <sz val="9"/>
            <color rgb="FF000000"/>
            <rFont val="Calibri"/>
            <family val="2"/>
          </rPr>
          <t>Calculated total coarse wood biomass, based on original total wet weight and moisture ratio.</t>
        </r>
      </text>
    </comment>
    <comment ref="AG5" authorId="0" shapeId="0" xr:uid="{FF18D1E3-D4DE-284F-BA14-EA3D367F1187}">
      <text>
        <r>
          <rPr>
            <sz val="9"/>
            <color rgb="FF000000"/>
            <rFont val="Calibri"/>
            <family val="2"/>
          </rPr>
          <t>Total dry biomass (g) of woody twigs and coarse stem.</t>
        </r>
      </text>
    </comment>
    <comment ref="AI5" authorId="0" shapeId="0" xr:uid="{DDE0E19B-838B-1046-8AC2-0AC6F931BA1B}">
      <text>
        <r>
          <rPr>
            <sz val="9"/>
            <color rgb="FF000000"/>
            <rFont val="Calibri"/>
            <family val="2"/>
          </rPr>
          <t xml:space="preserve">Cross check to make sure total wet weight is greater than total dry weight.
</t>
        </r>
        <r>
          <rPr>
            <sz val="9"/>
            <color rgb="FF000000"/>
            <rFont val="Calibri"/>
            <family val="2"/>
          </rPr>
          <t>When entered directly for samples with missing components, not that total wet weight does not include bag weights.</t>
        </r>
      </text>
    </comment>
    <comment ref="R16" authorId="0" shapeId="0" xr:uid="{05418416-0333-2B4B-B1F8-89478CD4AE7E}">
      <text>
        <r>
          <rPr>
            <sz val="9"/>
            <color rgb="FF000000"/>
            <rFont val="Calibri"/>
            <family val="2"/>
          </rPr>
          <t xml:space="preserve">weighed without bag for wet weight
</t>
        </r>
      </text>
    </comment>
  </commentList>
</comments>
</file>

<file path=xl/sharedStrings.xml><?xml version="1.0" encoding="utf-8"?>
<sst xmlns="http://schemas.openxmlformats.org/spreadsheetml/2006/main" count="917" uniqueCount="125">
  <si>
    <t>Biomass harvest of Lodgepole Pine transplants (2015)</t>
  </si>
  <si>
    <t>All values are in grams (to nearest 0.01 g)</t>
  </si>
  <si>
    <t>Blue font highlights biomass components that were subsampled</t>
  </si>
  <si>
    <t>Date</t>
  </si>
  <si>
    <t>Burn</t>
  </si>
  <si>
    <t>Site</t>
  </si>
  <si>
    <t>Transplant</t>
  </si>
  <si>
    <t>Height_cm</t>
  </si>
  <si>
    <t>Diam_cm</t>
  </si>
  <si>
    <t>New_Tot</t>
  </si>
  <si>
    <t>New_wet</t>
  </si>
  <si>
    <t>New_dry</t>
  </si>
  <si>
    <t>New_bag</t>
  </si>
  <si>
    <t>New_ratio</t>
  </si>
  <si>
    <t>New_biomass</t>
  </si>
  <si>
    <t>Branch_Tot</t>
  </si>
  <si>
    <t>Leaf_Prop</t>
  </si>
  <si>
    <t>Lvs_Tot</t>
  </si>
  <si>
    <t>Leaves_wet</t>
  </si>
  <si>
    <t>Leaves_dry</t>
  </si>
  <si>
    <t>Leaves_bag</t>
  </si>
  <si>
    <t>Leaves_ratio</t>
  </si>
  <si>
    <t>Leaf_biomass</t>
  </si>
  <si>
    <t>Twig_Tot</t>
  </si>
  <si>
    <t>Twigs_wet</t>
  </si>
  <si>
    <t>Twigs_dry</t>
  </si>
  <si>
    <t>Twigs_bag</t>
  </si>
  <si>
    <t>Twigs_ratio</t>
  </si>
  <si>
    <t>Twig_biomass</t>
  </si>
  <si>
    <t>Wood_Tot</t>
  </si>
  <si>
    <t>Wood_wet</t>
  </si>
  <si>
    <t>Wood_dry</t>
  </si>
  <si>
    <t>Wood_bag</t>
  </si>
  <si>
    <t>Wood_ratio</t>
  </si>
  <si>
    <t>CWood_biomass</t>
  </si>
  <si>
    <t>Woody_biomass</t>
  </si>
  <si>
    <t>Total_biomass</t>
  </si>
  <si>
    <t>Wet_Tot</t>
  </si>
  <si>
    <t>dry/wet</t>
  </si>
  <si>
    <t>Notes</t>
  </si>
  <si>
    <t>BF</t>
  </si>
  <si>
    <t>DC</t>
  </si>
  <si>
    <t>Tree in 2 bags</t>
  </si>
  <si>
    <t>Old leaves split in 2 bags</t>
  </si>
  <si>
    <t>new growth split into 3 bags</t>
  </si>
  <si>
    <t>TC</t>
  </si>
  <si>
    <t>old leaves and wood split in 2 bags</t>
  </si>
  <si>
    <t>Notes on LP seedlings found in addition to transplants</t>
  </si>
  <si>
    <t>Transect</t>
  </si>
  <si>
    <t>meter</t>
  </si>
  <si>
    <t># seedlings</t>
  </si>
  <si>
    <t>note</t>
  </si>
  <si>
    <t>BF78</t>
  </si>
  <si>
    <t>SW corner of plot</t>
  </si>
  <si>
    <t>BF84</t>
  </si>
  <si>
    <t>BF86</t>
  </si>
  <si>
    <t>TC25</t>
  </si>
  <si>
    <t>DC30</t>
  </si>
  <si>
    <t>DC49</t>
  </si>
  <si>
    <t>MetaData</t>
  </si>
  <si>
    <t>2015 Survey Notes</t>
  </si>
  <si>
    <t>Surveys conducted in July by Jill, Terry Chapin, Melanie Jean, and Dominic Olver</t>
  </si>
  <si>
    <t>Sample period: 30 June 2015 to 13 July 2015</t>
  </si>
  <si>
    <t>Measured all remaining transplanted seedlings at intensive sites (blocks 8-14)</t>
  </si>
  <si>
    <t>Paper birch transplants are almost entirely gone (initial planting at BF61-87 only + harvest)</t>
  </si>
  <si>
    <t>2015 was the final harvest year for all planted lodgepole pine.</t>
  </si>
  <si>
    <t>Cut down all of the LP, and took the largest LP from each site to the lab for biomass weights</t>
  </si>
  <si>
    <t>Recorded foliage dieback for LP using 2013 scale; if value is missing, assume score of 0</t>
  </si>
  <si>
    <t>Any LP seedlings found at the sites (presumably arising from planted seed) were uprooted, and listed as "escapees"</t>
  </si>
  <si>
    <t>Data entered and QA/QC by JJ in Feb 2018</t>
  </si>
  <si>
    <t>Field measurements from 2013 that were inconsistent with 2015 measurements were noted and corrected where possible.</t>
  </si>
  <si>
    <t>Discovered some field data recorded on the backs of printed data sheets (for sites missed in 2013 surveys)</t>
  </si>
  <si>
    <t>Biomass data for 2015 LP samples were assembled from existing records in spreadsheet (BF)</t>
  </si>
  <si>
    <t>Some biomass data was in JJ's field notebook, and remainder from separate file compiled by Melanie Jean</t>
  </si>
  <si>
    <t>Biomass data were checked for consistent dry/wet weights, and for complete data on new growth, old leaves, and woody tissue</t>
  </si>
  <si>
    <t>burn</t>
  </si>
  <si>
    <t>site</t>
  </si>
  <si>
    <t>block</t>
  </si>
  <si>
    <t>spp</t>
  </si>
  <si>
    <t>LP</t>
  </si>
  <si>
    <t>chlorotic</t>
  </si>
  <si>
    <t>biomass sample</t>
  </si>
  <si>
    <t>has died back several times</t>
  </si>
  <si>
    <t>dead</t>
  </si>
  <si>
    <t>chlorotic; biomass sample</t>
  </si>
  <si>
    <t>Bent stem</t>
  </si>
  <si>
    <t>Untagged - possibly from seed? Chlorotic</t>
  </si>
  <si>
    <t>Chlorotic</t>
  </si>
  <si>
    <t>plot dug out</t>
  </si>
  <si>
    <t>DFoliage_15</t>
  </si>
  <si>
    <t>Foliage Scale (dead foliage on LP)</t>
  </si>
  <si>
    <t>0-5% dead foliage</t>
  </si>
  <si>
    <t xml:space="preserve"> 5-25%</t>
  </si>
  <si>
    <t>25-50%</t>
  </si>
  <si>
    <t xml:space="preserve"> 50-75%</t>
  </si>
  <si>
    <t xml:space="preserve"> 75-100% dead foliage</t>
  </si>
  <si>
    <t>dead transplant</t>
  </si>
  <si>
    <t>Foliage dieback was scored for each LP seedling in 2013 &amp; 2015</t>
  </si>
  <si>
    <t>NA</t>
  </si>
  <si>
    <t>DFoliage_13</t>
  </si>
  <si>
    <t xml:space="preserve">Height and diameter measured in cm in 2013 and 2015. </t>
  </si>
  <si>
    <t>NA values indicate seedlings previously harvested or dead</t>
  </si>
  <si>
    <t>BD_2015</t>
  </si>
  <si>
    <t>DBH_2015</t>
  </si>
  <si>
    <t>ConesM_15</t>
  </si>
  <si>
    <t>ConesF_15</t>
  </si>
  <si>
    <t>StatePrior</t>
  </si>
  <si>
    <t>HT_2015</t>
  </si>
  <si>
    <t>HT_2013</t>
  </si>
  <si>
    <t>BD_2013</t>
  </si>
  <si>
    <t>DBH_2013</t>
  </si>
  <si>
    <t>harvested</t>
  </si>
  <si>
    <t>Dieback_15</t>
  </si>
  <si>
    <t>Herbivory_15</t>
  </si>
  <si>
    <t>Harves1_15</t>
  </si>
  <si>
    <t>Stem dieback was recorded by noting presence (=1) of apical stem or bud dieback</t>
  </si>
  <si>
    <t>Previous state as dead or previously harvested was recorded for 2015 surveys based on written notes</t>
  </si>
  <si>
    <t>defoliation along one side of the stem</t>
  </si>
  <si>
    <t>damaged by tree fall</t>
  </si>
  <si>
    <t>dead since 2013</t>
  </si>
  <si>
    <t>hare herbivory</t>
  </si>
  <si>
    <t>missing 2013 records</t>
  </si>
  <si>
    <t>hare</t>
  </si>
  <si>
    <t>did not record BD</t>
  </si>
  <si>
    <t xml:space="preserve">moose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</si>
</sst>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>
    <font>
      <sz val="11"/>
      <color theme="1"/>
      <name val="ArialMT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432FF"/>
      <name val="Calibri"/>
      <family val="2"/>
      <scheme val="minor"/>
    </font>
    <font>
      <sz val="10"/>
      <color rgb="FF0432FF"/>
      <name val="Verdana"/>
      <family val="2"/>
    </font>
    <font>
      <sz val="10"/>
      <color theme="1"/>
      <name val="Verdana"/>
      <family val="2"/>
    </font>
    <font>
      <sz val="9"/>
      <color rgb="FF000000"/>
      <name val="Calibri"/>
      <family val="2"/>
    </font>
    <font>
      <sz val="9"/>
      <color indexed="8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0" xfId="0" applyFont="1"/>
    <xf numFmtId="164" fontId="5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4" fontId="4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2" fontId="7" fillId="0" borderId="0" xfId="0" applyNumberFormat="1" applyFont="1"/>
    <xf numFmtId="0" fontId="13" fillId="0" borderId="0" xfId="0" applyFont="1" applyAlignment="1">
      <alignment horizontal="left" readingOrder="1"/>
    </xf>
    <xf numFmtId="0" fontId="13" fillId="0" borderId="0" xfId="0" applyFont="1" applyAlignment="1">
      <alignment horizontal="right"/>
    </xf>
    <xf numFmtId="0" fontId="13" fillId="0" borderId="0" xfId="0" applyFont="1"/>
    <xf numFmtId="1" fontId="13" fillId="0" borderId="0" xfId="0" applyNumberFormat="1" applyFont="1" applyAlignment="1">
      <alignment horizontal="right" readingOrder="1"/>
    </xf>
    <xf numFmtId="0" fontId="13" fillId="0" borderId="0" xfId="0" applyFont="1" applyAlignment="1">
      <alignment horizontal="right" readingOrder="1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left" readingOrder="1"/>
    </xf>
    <xf numFmtId="2" fontId="16" fillId="0" borderId="0" xfId="0" applyNumberFormat="1" applyFont="1" applyAlignment="1">
      <alignment horizontal="left" readingOrder="1"/>
    </xf>
    <xf numFmtId="0" fontId="16" fillId="0" borderId="0" xfId="0" applyFont="1"/>
    <xf numFmtId="2" fontId="13" fillId="0" borderId="0" xfId="0" applyNumberFormat="1" applyFont="1"/>
    <xf numFmtId="2" fontId="13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left" readingOrder="1"/>
    </xf>
    <xf numFmtId="0" fontId="14" fillId="0" borderId="0" xfId="0" applyFont="1" applyAlignment="1">
      <alignment horizontal="left"/>
    </xf>
    <xf numFmtId="2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E1FC-971F-6E41-A645-888E44876D22}">
  <dimension ref="A1:S274"/>
  <sheetViews>
    <sheetView tabSelected="1" workbookViewId="0">
      <pane ySplit="1" topLeftCell="A2" activePane="bottomLeft" state="frozen"/>
      <selection pane="bottomLeft" activeCell="N15" sqref="N15"/>
    </sheetView>
  </sheetViews>
  <sheetFormatPr baseColWidth="10" defaultRowHeight="14"/>
  <cols>
    <col min="1" max="16384" width="10.83203125" style="28"/>
  </cols>
  <sheetData>
    <row r="1" spans="1:19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108</v>
      </c>
      <c r="F1" s="32" t="s">
        <v>109</v>
      </c>
      <c r="G1" s="31" t="s">
        <v>110</v>
      </c>
      <c r="H1" s="31" t="s">
        <v>99</v>
      </c>
      <c r="I1" s="31" t="s">
        <v>107</v>
      </c>
      <c r="J1" s="32" t="s">
        <v>102</v>
      </c>
      <c r="K1" s="31" t="s">
        <v>103</v>
      </c>
      <c r="L1" s="31" t="s">
        <v>89</v>
      </c>
      <c r="M1" s="31" t="s">
        <v>105</v>
      </c>
      <c r="N1" s="31" t="s">
        <v>104</v>
      </c>
      <c r="O1" s="31" t="s">
        <v>113</v>
      </c>
      <c r="P1" s="31" t="s">
        <v>112</v>
      </c>
      <c r="Q1" s="31" t="s">
        <v>114</v>
      </c>
      <c r="R1" s="31" t="s">
        <v>106</v>
      </c>
      <c r="S1" s="33" t="s">
        <v>39</v>
      </c>
    </row>
    <row r="2" spans="1:19">
      <c r="A2" s="23" t="s">
        <v>45</v>
      </c>
      <c r="B2" s="23">
        <v>1</v>
      </c>
      <c r="C2" s="24">
        <v>8</v>
      </c>
      <c r="D2" s="23" t="s">
        <v>79</v>
      </c>
      <c r="E2" s="25"/>
      <c r="F2" s="25"/>
      <c r="G2" s="25"/>
      <c r="H2" s="25"/>
      <c r="I2" s="25"/>
      <c r="J2" s="34"/>
      <c r="K2" s="25"/>
      <c r="L2" s="25"/>
      <c r="M2" s="25"/>
      <c r="N2" s="24"/>
      <c r="O2" s="25"/>
      <c r="P2" s="25"/>
      <c r="Q2" s="24"/>
      <c r="R2" s="24" t="s">
        <v>83</v>
      </c>
      <c r="S2" s="25"/>
    </row>
    <row r="3" spans="1:19">
      <c r="A3" s="23" t="s">
        <v>45</v>
      </c>
      <c r="B3" s="23">
        <v>1</v>
      </c>
      <c r="C3" s="24">
        <v>9</v>
      </c>
      <c r="D3" s="23" t="s">
        <v>79</v>
      </c>
      <c r="E3" s="24">
        <v>18</v>
      </c>
      <c r="F3" s="24">
        <v>0.5</v>
      </c>
      <c r="G3" s="25"/>
      <c r="H3" s="24">
        <v>1</v>
      </c>
      <c r="I3" s="24">
        <v>23</v>
      </c>
      <c r="J3" s="35">
        <v>0.62</v>
      </c>
      <c r="K3" s="25"/>
      <c r="L3" s="24">
        <v>1</v>
      </c>
      <c r="M3" s="24"/>
      <c r="N3" s="24"/>
      <c r="O3" s="25"/>
      <c r="P3" s="25"/>
      <c r="Q3" s="24"/>
      <c r="R3" s="24"/>
      <c r="S3" s="25"/>
    </row>
    <row r="4" spans="1:19">
      <c r="A4" s="23" t="s">
        <v>45</v>
      </c>
      <c r="B4" s="23">
        <v>1</v>
      </c>
      <c r="C4" s="24">
        <v>10</v>
      </c>
      <c r="D4" s="23" t="s">
        <v>79</v>
      </c>
      <c r="E4" s="25"/>
      <c r="F4" s="25"/>
      <c r="G4" s="25"/>
      <c r="H4" s="25"/>
      <c r="I4" s="25"/>
      <c r="J4" s="34"/>
      <c r="K4" s="25"/>
      <c r="L4" s="25"/>
      <c r="M4" s="25"/>
      <c r="N4" s="24"/>
      <c r="O4" s="25"/>
      <c r="P4" s="25"/>
      <c r="Q4" s="24"/>
      <c r="R4" s="24" t="s">
        <v>83</v>
      </c>
      <c r="S4" s="25"/>
    </row>
    <row r="5" spans="1:19">
      <c r="A5" s="23" t="s">
        <v>45</v>
      </c>
      <c r="B5" s="23">
        <v>1</v>
      </c>
      <c r="C5" s="24">
        <v>11</v>
      </c>
      <c r="D5" s="23" t="s">
        <v>79</v>
      </c>
      <c r="E5" s="24">
        <v>58</v>
      </c>
      <c r="F5" s="24">
        <v>1.21</v>
      </c>
      <c r="G5" s="25"/>
      <c r="H5" s="24">
        <v>0</v>
      </c>
      <c r="I5" s="24">
        <v>113</v>
      </c>
      <c r="J5" s="35">
        <v>2.82</v>
      </c>
      <c r="K5" s="25"/>
      <c r="L5" s="24"/>
      <c r="M5" s="24"/>
      <c r="N5" s="24"/>
      <c r="O5" s="23"/>
      <c r="P5" s="23"/>
      <c r="Q5" s="27">
        <v>1</v>
      </c>
      <c r="R5" s="27"/>
      <c r="S5" s="25"/>
    </row>
    <row r="6" spans="1:19">
      <c r="A6" s="23" t="s">
        <v>45</v>
      </c>
      <c r="B6" s="23">
        <v>1</v>
      </c>
      <c r="C6" s="24">
        <v>12</v>
      </c>
      <c r="D6" s="23" t="s">
        <v>79</v>
      </c>
      <c r="E6" s="25"/>
      <c r="F6" s="25"/>
      <c r="G6" s="25"/>
      <c r="H6" s="25"/>
      <c r="I6" s="25"/>
      <c r="J6" s="34"/>
      <c r="K6" s="25"/>
      <c r="L6" s="25"/>
      <c r="M6" s="25"/>
      <c r="N6" s="24"/>
      <c r="O6" s="25"/>
      <c r="P6" s="25"/>
      <c r="Q6" s="24"/>
      <c r="R6" s="24" t="s">
        <v>83</v>
      </c>
      <c r="S6" s="25"/>
    </row>
    <row r="7" spans="1:19">
      <c r="A7" s="23" t="s">
        <v>45</v>
      </c>
      <c r="B7" s="23">
        <v>1</v>
      </c>
      <c r="C7" s="24">
        <v>13</v>
      </c>
      <c r="D7" s="23" t="s">
        <v>79</v>
      </c>
      <c r="E7" s="24">
        <v>12</v>
      </c>
      <c r="F7" s="24">
        <v>0.3</v>
      </c>
      <c r="G7" s="25"/>
      <c r="H7" s="24">
        <v>0</v>
      </c>
      <c r="I7" s="24">
        <v>23</v>
      </c>
      <c r="J7" s="35">
        <v>0.8</v>
      </c>
      <c r="K7" s="25"/>
      <c r="L7" s="24"/>
      <c r="M7" s="24"/>
      <c r="N7" s="24"/>
      <c r="O7" s="25"/>
      <c r="P7" s="25"/>
      <c r="Q7" s="24"/>
      <c r="R7" s="24"/>
      <c r="S7" s="25"/>
    </row>
    <row r="8" spans="1:19">
      <c r="A8" s="23" t="s">
        <v>45</v>
      </c>
      <c r="B8" s="23">
        <v>1</v>
      </c>
      <c r="C8" s="24">
        <v>14</v>
      </c>
      <c r="D8" s="23" t="s">
        <v>79</v>
      </c>
      <c r="E8" s="25"/>
      <c r="F8" s="25"/>
      <c r="G8" s="25"/>
      <c r="H8" s="25"/>
      <c r="I8" s="25"/>
      <c r="J8" s="34"/>
      <c r="K8" s="25"/>
      <c r="L8" s="25"/>
      <c r="M8" s="25"/>
      <c r="N8" s="24"/>
      <c r="O8" s="25"/>
      <c r="P8" s="25"/>
      <c r="Q8" s="24"/>
      <c r="R8" s="24" t="s">
        <v>83</v>
      </c>
      <c r="S8" s="25"/>
    </row>
    <row r="9" spans="1:19">
      <c r="A9" s="23" t="s">
        <v>45</v>
      </c>
      <c r="B9" s="23">
        <v>4</v>
      </c>
      <c r="C9" s="24">
        <v>8</v>
      </c>
      <c r="D9" s="23" t="s">
        <v>79</v>
      </c>
      <c r="E9" s="25"/>
      <c r="F9" s="25"/>
      <c r="G9" s="25"/>
      <c r="H9" s="25"/>
      <c r="J9" s="34"/>
      <c r="K9" s="25"/>
      <c r="L9" s="25"/>
      <c r="M9" s="25"/>
      <c r="N9" s="24"/>
      <c r="O9" s="25"/>
      <c r="P9" s="25"/>
      <c r="Q9" s="24"/>
      <c r="R9" s="24" t="s">
        <v>83</v>
      </c>
      <c r="S9" s="25"/>
    </row>
    <row r="10" spans="1:19">
      <c r="A10" s="23" t="s">
        <v>45</v>
      </c>
      <c r="B10" s="23">
        <v>4</v>
      </c>
      <c r="C10" s="24">
        <v>9</v>
      </c>
      <c r="D10" s="23" t="s">
        <v>79</v>
      </c>
      <c r="E10" s="25"/>
      <c r="F10" s="25"/>
      <c r="G10" s="25"/>
      <c r="H10" s="25"/>
      <c r="I10" s="25"/>
      <c r="J10" s="34"/>
      <c r="K10" s="25"/>
      <c r="L10" s="25"/>
      <c r="M10" s="25"/>
      <c r="N10" s="24"/>
      <c r="O10" s="25"/>
      <c r="P10" s="25"/>
      <c r="Q10" s="24"/>
      <c r="R10" s="24" t="s">
        <v>83</v>
      </c>
      <c r="S10" s="25"/>
    </row>
    <row r="11" spans="1:19">
      <c r="A11" s="23" t="s">
        <v>45</v>
      </c>
      <c r="B11" s="23">
        <v>4</v>
      </c>
      <c r="C11" s="24">
        <v>10</v>
      </c>
      <c r="D11" s="23" t="s">
        <v>79</v>
      </c>
      <c r="E11" s="24">
        <v>53</v>
      </c>
      <c r="F11" s="24">
        <v>0.78</v>
      </c>
      <c r="G11" s="25"/>
      <c r="H11" s="24">
        <v>0</v>
      </c>
      <c r="I11" s="24">
        <v>60</v>
      </c>
      <c r="J11" s="35">
        <v>1.1100000000000001</v>
      </c>
      <c r="K11" s="25"/>
      <c r="L11" s="24">
        <v>1</v>
      </c>
      <c r="M11" s="24"/>
      <c r="N11" s="24"/>
      <c r="O11" s="25">
        <v>1</v>
      </c>
      <c r="P11" s="25"/>
      <c r="Q11" s="24">
        <v>1</v>
      </c>
      <c r="R11" s="24"/>
      <c r="S11" s="25" t="s">
        <v>117</v>
      </c>
    </row>
    <row r="12" spans="1:19">
      <c r="A12" s="23" t="s">
        <v>45</v>
      </c>
      <c r="B12" s="23">
        <v>4</v>
      </c>
      <c r="C12" s="24">
        <v>11</v>
      </c>
      <c r="D12" s="23" t="s">
        <v>79</v>
      </c>
      <c r="E12" s="25"/>
      <c r="F12" s="25"/>
      <c r="G12" s="25"/>
      <c r="H12" s="25"/>
      <c r="I12" s="25"/>
      <c r="J12" s="34"/>
      <c r="K12" s="25"/>
      <c r="L12" s="25"/>
      <c r="M12" s="25"/>
      <c r="N12" s="24"/>
      <c r="O12" s="25"/>
      <c r="P12" s="25"/>
      <c r="Q12" s="24"/>
      <c r="R12" s="24" t="s">
        <v>83</v>
      </c>
      <c r="S12" s="25"/>
    </row>
    <row r="13" spans="1:19">
      <c r="A13" s="23" t="s">
        <v>45</v>
      </c>
      <c r="B13" s="23">
        <v>4</v>
      </c>
      <c r="C13" s="24">
        <v>12</v>
      </c>
      <c r="D13" s="23" t="s">
        <v>79</v>
      </c>
      <c r="E13" s="25"/>
      <c r="F13" s="25"/>
      <c r="G13" s="25"/>
      <c r="H13" s="25"/>
      <c r="I13" s="25"/>
      <c r="J13" s="34"/>
      <c r="K13" s="25"/>
      <c r="L13" s="25"/>
      <c r="M13" s="25"/>
      <c r="N13" s="24"/>
      <c r="O13" s="25"/>
      <c r="P13" s="25"/>
      <c r="Q13" s="24"/>
      <c r="R13" s="24" t="s">
        <v>83</v>
      </c>
      <c r="S13" s="25"/>
    </row>
    <row r="14" spans="1:19">
      <c r="A14" s="23" t="s">
        <v>45</v>
      </c>
      <c r="B14" s="23">
        <v>4</v>
      </c>
      <c r="C14" s="24">
        <v>13</v>
      </c>
      <c r="D14" s="23" t="s">
        <v>79</v>
      </c>
      <c r="E14" s="24">
        <v>36</v>
      </c>
      <c r="F14" s="24">
        <v>0.74</v>
      </c>
      <c r="G14" s="25"/>
      <c r="H14" s="23">
        <v>1</v>
      </c>
      <c r="I14" s="24">
        <v>40</v>
      </c>
      <c r="J14" s="35">
        <v>0.84</v>
      </c>
      <c r="K14" s="25"/>
      <c r="L14" s="36">
        <v>1</v>
      </c>
      <c r="M14" s="23"/>
      <c r="N14" s="24"/>
      <c r="O14" s="25"/>
      <c r="P14" s="25"/>
      <c r="Q14" s="24"/>
      <c r="R14" s="24"/>
      <c r="S14" s="25" t="s">
        <v>80</v>
      </c>
    </row>
    <row r="15" spans="1:19">
      <c r="A15" s="23" t="s">
        <v>45</v>
      </c>
      <c r="B15" s="23">
        <v>4</v>
      </c>
      <c r="C15" s="24">
        <v>14</v>
      </c>
      <c r="D15" s="23" t="s">
        <v>79</v>
      </c>
      <c r="E15" s="25"/>
      <c r="F15" s="25"/>
      <c r="G15" s="25"/>
      <c r="H15" s="25"/>
      <c r="I15" s="25">
        <v>15</v>
      </c>
      <c r="J15" s="34">
        <v>0.44</v>
      </c>
      <c r="K15" s="25"/>
      <c r="L15" s="25"/>
      <c r="M15" s="25"/>
      <c r="N15" s="24"/>
      <c r="O15" s="25"/>
      <c r="P15" s="25"/>
      <c r="Q15" s="24"/>
      <c r="R15" s="24"/>
      <c r="S15" s="25" t="s">
        <v>80</v>
      </c>
    </row>
    <row r="16" spans="1:19">
      <c r="A16" s="23" t="s">
        <v>45</v>
      </c>
      <c r="B16" s="23">
        <v>8</v>
      </c>
      <c r="C16" s="24">
        <v>8</v>
      </c>
      <c r="D16" s="23" t="s">
        <v>79</v>
      </c>
      <c r="E16" s="24">
        <v>39</v>
      </c>
      <c r="F16" s="24">
        <v>0.6</v>
      </c>
      <c r="G16" s="25"/>
      <c r="H16" s="24">
        <v>0</v>
      </c>
      <c r="I16" s="24">
        <v>50</v>
      </c>
      <c r="J16" s="35">
        <v>0.95</v>
      </c>
      <c r="K16" s="25"/>
      <c r="L16" s="24"/>
      <c r="M16" s="24"/>
      <c r="N16" s="24"/>
      <c r="O16" s="25"/>
      <c r="P16" s="25"/>
      <c r="Q16" s="24"/>
      <c r="R16" s="24"/>
      <c r="S16" s="25"/>
    </row>
    <row r="17" spans="1:19">
      <c r="A17" s="23" t="s">
        <v>45</v>
      </c>
      <c r="B17" s="23">
        <v>8</v>
      </c>
      <c r="C17" s="24">
        <v>9</v>
      </c>
      <c r="D17" s="23" t="s">
        <v>79</v>
      </c>
      <c r="E17" s="24">
        <v>71</v>
      </c>
      <c r="F17" s="24">
        <v>1.27</v>
      </c>
      <c r="G17" s="25"/>
      <c r="H17" s="24">
        <v>1</v>
      </c>
      <c r="I17" s="24">
        <v>105</v>
      </c>
      <c r="J17" s="35">
        <v>2.3199999999999998</v>
      </c>
      <c r="K17" s="25"/>
      <c r="L17" s="24"/>
      <c r="M17" s="24"/>
      <c r="N17" s="24"/>
      <c r="O17" s="25"/>
      <c r="P17" s="25"/>
      <c r="Q17" s="24">
        <v>1</v>
      </c>
      <c r="R17" s="24"/>
      <c r="S17" s="25"/>
    </row>
    <row r="18" spans="1:19">
      <c r="A18" s="23" t="s">
        <v>45</v>
      </c>
      <c r="B18" s="23">
        <v>8</v>
      </c>
      <c r="C18" s="24">
        <v>10</v>
      </c>
      <c r="D18" s="23" t="s">
        <v>79</v>
      </c>
      <c r="E18" s="25"/>
      <c r="F18" s="25"/>
      <c r="G18" s="25"/>
      <c r="H18" s="25"/>
      <c r="I18" s="25"/>
      <c r="J18" s="34"/>
      <c r="K18" s="25"/>
      <c r="L18" s="25"/>
      <c r="M18" s="25"/>
      <c r="N18" s="24"/>
      <c r="O18" s="25"/>
      <c r="P18" s="25"/>
      <c r="Q18" s="24"/>
      <c r="R18" s="24" t="s">
        <v>83</v>
      </c>
      <c r="S18" s="25"/>
    </row>
    <row r="19" spans="1:19">
      <c r="A19" s="23" t="s">
        <v>45</v>
      </c>
      <c r="B19" s="23">
        <v>8</v>
      </c>
      <c r="C19" s="24">
        <v>11</v>
      </c>
      <c r="D19" s="23" t="s">
        <v>79</v>
      </c>
      <c r="E19" s="24">
        <v>16</v>
      </c>
      <c r="F19" s="24">
        <v>0.28999999999999998</v>
      </c>
      <c r="G19" s="25"/>
      <c r="H19" s="24">
        <v>0</v>
      </c>
      <c r="I19" s="24">
        <v>22</v>
      </c>
      <c r="J19" s="35">
        <v>0.42</v>
      </c>
      <c r="K19" s="25"/>
      <c r="L19" s="24">
        <v>2</v>
      </c>
      <c r="M19" s="24"/>
      <c r="N19" s="24"/>
      <c r="O19" s="25"/>
      <c r="P19" s="25"/>
      <c r="Q19" s="24"/>
      <c r="R19" s="24"/>
      <c r="S19" s="25"/>
    </row>
    <row r="20" spans="1:19">
      <c r="A20" s="23" t="s">
        <v>45</v>
      </c>
      <c r="B20" s="23">
        <v>8</v>
      </c>
      <c r="C20" s="24">
        <v>12</v>
      </c>
      <c r="D20" s="23" t="s">
        <v>79</v>
      </c>
      <c r="E20" s="25"/>
      <c r="F20" s="25"/>
      <c r="G20" s="25"/>
      <c r="H20" s="25"/>
      <c r="I20" s="25"/>
      <c r="J20" s="34"/>
      <c r="K20" s="25"/>
      <c r="L20" s="25"/>
      <c r="M20" s="25"/>
      <c r="N20" s="24"/>
      <c r="O20" s="25"/>
      <c r="P20" s="25"/>
      <c r="Q20" s="24"/>
      <c r="R20" s="24" t="s">
        <v>83</v>
      </c>
      <c r="S20" s="25"/>
    </row>
    <row r="21" spans="1:19">
      <c r="A21" s="23" t="s">
        <v>45</v>
      </c>
      <c r="B21" s="23">
        <v>8</v>
      </c>
      <c r="C21" s="24">
        <v>13</v>
      </c>
      <c r="D21" s="23" t="s">
        <v>79</v>
      </c>
      <c r="E21" s="24">
        <v>14</v>
      </c>
      <c r="F21" s="24">
        <v>0.22</v>
      </c>
      <c r="G21" s="25"/>
      <c r="H21" s="24">
        <v>0</v>
      </c>
      <c r="I21" s="24">
        <v>19</v>
      </c>
      <c r="J21" s="35">
        <v>0.35</v>
      </c>
      <c r="K21" s="25"/>
      <c r="L21" s="24"/>
      <c r="M21" s="24"/>
      <c r="N21" s="27"/>
      <c r="O21" s="25"/>
      <c r="P21" s="25"/>
      <c r="Q21" s="24"/>
      <c r="R21" s="24"/>
      <c r="S21" s="25"/>
    </row>
    <row r="22" spans="1:19">
      <c r="A22" s="23" t="s">
        <v>45</v>
      </c>
      <c r="B22" s="23">
        <v>8</v>
      </c>
      <c r="C22" s="24">
        <v>14</v>
      </c>
      <c r="D22" s="23" t="s">
        <v>79</v>
      </c>
      <c r="E22" s="24">
        <v>21</v>
      </c>
      <c r="F22" s="24">
        <v>0.38</v>
      </c>
      <c r="G22" s="25"/>
      <c r="H22" s="24">
        <v>0</v>
      </c>
      <c r="I22" s="24">
        <v>27</v>
      </c>
      <c r="J22" s="35">
        <v>0.49</v>
      </c>
      <c r="K22" s="25"/>
      <c r="L22" s="24"/>
      <c r="M22" s="24"/>
      <c r="N22" s="24"/>
      <c r="O22" s="25"/>
      <c r="P22" s="25"/>
      <c r="Q22" s="24"/>
      <c r="R22" s="24"/>
      <c r="S22" s="25"/>
    </row>
    <row r="23" spans="1:19">
      <c r="A23" s="23" t="s">
        <v>45</v>
      </c>
      <c r="B23" s="23">
        <v>10</v>
      </c>
      <c r="C23" s="24">
        <v>8</v>
      </c>
      <c r="D23" s="23" t="s">
        <v>79</v>
      </c>
      <c r="E23" s="25"/>
      <c r="F23" s="25"/>
      <c r="G23" s="25"/>
      <c r="H23" s="25"/>
      <c r="I23" s="25"/>
      <c r="J23" s="34"/>
      <c r="K23" s="25"/>
      <c r="L23" s="25"/>
      <c r="M23" s="25"/>
      <c r="N23" s="24"/>
      <c r="O23" s="25"/>
      <c r="P23" s="25"/>
      <c r="Q23" s="24"/>
      <c r="R23" s="24" t="s">
        <v>83</v>
      </c>
      <c r="S23" s="25"/>
    </row>
    <row r="24" spans="1:19">
      <c r="A24" s="23" t="s">
        <v>45</v>
      </c>
      <c r="B24" s="23">
        <v>10</v>
      </c>
      <c r="C24" s="24">
        <v>9</v>
      </c>
      <c r="D24" s="23" t="s">
        <v>79</v>
      </c>
      <c r="E24" s="24">
        <v>29</v>
      </c>
      <c r="F24" s="24">
        <v>0.72</v>
      </c>
      <c r="G24" s="25"/>
      <c r="H24" s="23">
        <v>1</v>
      </c>
      <c r="I24" s="24">
        <v>41</v>
      </c>
      <c r="J24" s="35">
        <v>0.98</v>
      </c>
      <c r="K24" s="25"/>
      <c r="L24" s="23">
        <v>1</v>
      </c>
      <c r="M24" s="23"/>
      <c r="N24" s="24"/>
      <c r="O24" s="25"/>
      <c r="P24" s="25"/>
      <c r="Q24" s="24"/>
      <c r="R24" s="24"/>
      <c r="S24" s="25"/>
    </row>
    <row r="25" spans="1:19">
      <c r="A25" s="23" t="s">
        <v>45</v>
      </c>
      <c r="B25" s="23">
        <v>10</v>
      </c>
      <c r="C25" s="24">
        <v>10</v>
      </c>
      <c r="D25" s="23" t="s">
        <v>79</v>
      </c>
      <c r="E25" s="25"/>
      <c r="F25" s="25"/>
      <c r="G25" s="25"/>
      <c r="H25" s="25"/>
      <c r="I25" s="25"/>
      <c r="J25" s="34"/>
      <c r="K25" s="25"/>
      <c r="L25" s="25"/>
      <c r="M25" s="25"/>
      <c r="N25" s="24"/>
      <c r="O25" s="25"/>
      <c r="P25" s="25"/>
      <c r="Q25" s="24"/>
      <c r="R25" s="24" t="s">
        <v>83</v>
      </c>
      <c r="S25" s="25"/>
    </row>
    <row r="26" spans="1:19">
      <c r="A26" s="23" t="s">
        <v>45</v>
      </c>
      <c r="B26" s="23">
        <v>10</v>
      </c>
      <c r="C26" s="24">
        <v>11</v>
      </c>
      <c r="D26" s="23" t="s">
        <v>79</v>
      </c>
      <c r="E26" s="25"/>
      <c r="F26" s="25"/>
      <c r="G26" s="25"/>
      <c r="H26" s="25"/>
      <c r="I26" s="25"/>
      <c r="J26" s="34"/>
      <c r="K26" s="25"/>
      <c r="L26" s="25"/>
      <c r="M26" s="25"/>
      <c r="N26" s="24"/>
      <c r="O26" s="25"/>
      <c r="P26" s="25"/>
      <c r="Q26" s="24"/>
      <c r="R26" s="24" t="s">
        <v>83</v>
      </c>
      <c r="S26" s="25"/>
    </row>
    <row r="27" spans="1:19">
      <c r="A27" s="23" t="s">
        <v>45</v>
      </c>
      <c r="B27" s="23">
        <v>10</v>
      </c>
      <c r="C27" s="24">
        <v>12</v>
      </c>
      <c r="D27" s="23" t="s">
        <v>79</v>
      </c>
      <c r="E27" s="24">
        <v>22</v>
      </c>
      <c r="F27" s="24">
        <v>0.44</v>
      </c>
      <c r="G27" s="25"/>
      <c r="H27" s="24">
        <v>0</v>
      </c>
      <c r="I27" s="24">
        <v>40</v>
      </c>
      <c r="J27" s="35">
        <v>0.57999999999999996</v>
      </c>
      <c r="K27" s="25"/>
      <c r="L27" s="24"/>
      <c r="M27" s="24"/>
      <c r="N27" s="24"/>
      <c r="O27" s="25"/>
      <c r="P27" s="25"/>
      <c r="Q27" s="24"/>
      <c r="R27" s="24"/>
      <c r="S27" s="25"/>
    </row>
    <row r="28" spans="1:19">
      <c r="A28" s="23" t="s">
        <v>45</v>
      </c>
      <c r="B28" s="23">
        <v>10</v>
      </c>
      <c r="C28" s="24">
        <v>13</v>
      </c>
      <c r="D28" s="23" t="s">
        <v>79</v>
      </c>
      <c r="E28" s="24">
        <v>75</v>
      </c>
      <c r="F28" s="24">
        <v>1.04</v>
      </c>
      <c r="G28" s="25"/>
      <c r="H28" s="24">
        <v>0</v>
      </c>
      <c r="I28" s="24">
        <v>111</v>
      </c>
      <c r="J28" s="35">
        <v>2.0499999999999998</v>
      </c>
      <c r="K28" s="25"/>
      <c r="L28" s="24"/>
      <c r="M28" s="24"/>
      <c r="N28" s="24"/>
      <c r="O28" s="25"/>
      <c r="P28" s="25"/>
      <c r="Q28" s="24">
        <v>1</v>
      </c>
      <c r="R28" s="24"/>
      <c r="S28" s="25"/>
    </row>
    <row r="29" spans="1:19">
      <c r="A29" s="23" t="s">
        <v>45</v>
      </c>
      <c r="B29" s="23">
        <v>10</v>
      </c>
      <c r="C29" s="24">
        <v>14</v>
      </c>
      <c r="D29" s="23" t="s">
        <v>79</v>
      </c>
      <c r="E29" s="24">
        <v>19</v>
      </c>
      <c r="F29" s="24">
        <v>0.48</v>
      </c>
      <c r="G29" s="25"/>
      <c r="H29" s="24">
        <v>0</v>
      </c>
      <c r="I29" s="24">
        <v>27</v>
      </c>
      <c r="J29" s="35">
        <v>0.49</v>
      </c>
      <c r="K29" s="25"/>
      <c r="L29" s="24"/>
      <c r="M29" s="24"/>
      <c r="N29" s="24"/>
      <c r="O29" s="25"/>
      <c r="P29" s="25"/>
      <c r="Q29" s="24"/>
      <c r="R29" s="24"/>
      <c r="S29" s="25"/>
    </row>
    <row r="30" spans="1:19">
      <c r="A30" s="23" t="s">
        <v>45</v>
      </c>
      <c r="B30" s="23">
        <v>13</v>
      </c>
      <c r="C30" s="24">
        <v>8</v>
      </c>
      <c r="D30" s="23" t="s">
        <v>79</v>
      </c>
      <c r="E30" s="24">
        <v>64</v>
      </c>
      <c r="F30" s="24">
        <v>1.21</v>
      </c>
      <c r="G30" s="25"/>
      <c r="H30" s="24">
        <v>1</v>
      </c>
      <c r="I30" s="24"/>
      <c r="J30" s="35"/>
      <c r="K30" s="25"/>
      <c r="L30" s="24"/>
      <c r="M30" s="24"/>
      <c r="N30" s="24"/>
      <c r="O30" s="23"/>
      <c r="P30" s="23"/>
      <c r="Q30" s="27"/>
      <c r="R30" s="27" t="s">
        <v>111</v>
      </c>
      <c r="S30" s="25"/>
    </row>
    <row r="31" spans="1:19">
      <c r="A31" s="23" t="s">
        <v>45</v>
      </c>
      <c r="B31" s="23">
        <v>13</v>
      </c>
      <c r="C31" s="24">
        <v>9</v>
      </c>
      <c r="D31" s="23" t="s">
        <v>79</v>
      </c>
      <c r="E31" s="24">
        <v>21</v>
      </c>
      <c r="F31" s="24">
        <v>0.41</v>
      </c>
      <c r="G31" s="25"/>
      <c r="H31" s="24">
        <v>0</v>
      </c>
      <c r="I31" s="24"/>
      <c r="J31" s="35"/>
      <c r="K31" s="25"/>
      <c r="L31" s="24"/>
      <c r="M31" s="24"/>
      <c r="N31" s="24"/>
      <c r="O31" s="25"/>
      <c r="P31" s="25"/>
      <c r="Q31" s="24"/>
      <c r="R31" s="27" t="s">
        <v>111</v>
      </c>
      <c r="S31" s="25"/>
    </row>
    <row r="32" spans="1:19">
      <c r="A32" s="23" t="s">
        <v>45</v>
      </c>
      <c r="B32" s="23">
        <v>13</v>
      </c>
      <c r="C32" s="24">
        <v>10</v>
      </c>
      <c r="D32" s="23" t="s">
        <v>79</v>
      </c>
      <c r="E32" s="24">
        <v>49</v>
      </c>
      <c r="F32" s="24">
        <v>1.19</v>
      </c>
      <c r="G32" s="25"/>
      <c r="H32" s="24">
        <v>0</v>
      </c>
      <c r="I32" s="24"/>
      <c r="J32" s="35"/>
      <c r="K32" s="25"/>
      <c r="L32" s="24"/>
      <c r="M32" s="24"/>
      <c r="N32" s="24"/>
      <c r="O32" s="25"/>
      <c r="P32" s="25"/>
      <c r="Q32" s="24"/>
      <c r="R32" s="27" t="s">
        <v>111</v>
      </c>
      <c r="S32" s="25"/>
    </row>
    <row r="33" spans="1:19">
      <c r="A33" s="23" t="s">
        <v>45</v>
      </c>
      <c r="B33" s="23">
        <v>13</v>
      </c>
      <c r="C33" s="24">
        <v>11</v>
      </c>
      <c r="D33" s="23" t="s">
        <v>79</v>
      </c>
      <c r="E33" s="24">
        <v>34</v>
      </c>
      <c r="F33" s="24">
        <v>1.01</v>
      </c>
      <c r="G33" s="25"/>
      <c r="H33" s="24">
        <v>1</v>
      </c>
      <c r="I33" s="24">
        <v>49</v>
      </c>
      <c r="J33" s="35">
        <v>1.1000000000000001</v>
      </c>
      <c r="K33" s="25"/>
      <c r="L33" s="24"/>
      <c r="M33" s="24"/>
      <c r="N33" s="24"/>
      <c r="O33" s="25"/>
      <c r="P33" s="25"/>
      <c r="Q33" s="24"/>
      <c r="R33" s="24"/>
      <c r="S33" s="25"/>
    </row>
    <row r="34" spans="1:19">
      <c r="A34" s="23" t="s">
        <v>45</v>
      </c>
      <c r="B34" s="23">
        <v>13</v>
      </c>
      <c r="C34" s="24">
        <v>12</v>
      </c>
      <c r="D34" s="23" t="s">
        <v>79</v>
      </c>
      <c r="E34" s="24">
        <v>25</v>
      </c>
      <c r="F34" s="24">
        <v>0.51</v>
      </c>
      <c r="G34" s="25"/>
      <c r="H34" s="24">
        <v>0</v>
      </c>
      <c r="I34" s="24">
        <v>39</v>
      </c>
      <c r="J34" s="35">
        <v>0.81</v>
      </c>
      <c r="K34" s="25"/>
      <c r="L34" s="24"/>
      <c r="M34" s="24"/>
      <c r="N34" s="24"/>
      <c r="O34" s="25"/>
      <c r="P34" s="25"/>
      <c r="Q34" s="24"/>
      <c r="R34" s="24"/>
      <c r="S34" s="25"/>
    </row>
    <row r="35" spans="1:19">
      <c r="A35" s="23" t="s">
        <v>45</v>
      </c>
      <c r="B35" s="23">
        <v>13</v>
      </c>
      <c r="C35" s="24">
        <v>13</v>
      </c>
      <c r="D35" s="23" t="s">
        <v>79</v>
      </c>
      <c r="E35" s="24">
        <v>21</v>
      </c>
      <c r="F35" s="24">
        <v>0.35</v>
      </c>
      <c r="G35" s="25"/>
      <c r="H35" s="25"/>
      <c r="I35" s="24">
        <v>15</v>
      </c>
      <c r="J35" s="35">
        <v>0.44</v>
      </c>
      <c r="K35" s="25"/>
      <c r="L35" s="25">
        <v>1</v>
      </c>
      <c r="M35" s="25"/>
      <c r="N35" s="24"/>
      <c r="O35" s="25"/>
      <c r="P35" s="25">
        <v>1</v>
      </c>
      <c r="Q35" s="24"/>
      <c r="R35" s="24"/>
      <c r="S35" s="25"/>
    </row>
    <row r="36" spans="1:19">
      <c r="A36" s="23" t="s">
        <v>45</v>
      </c>
      <c r="B36" s="23">
        <v>13</v>
      </c>
      <c r="C36" s="24">
        <v>14</v>
      </c>
      <c r="D36" s="23" t="s">
        <v>79</v>
      </c>
      <c r="E36" s="24">
        <v>40</v>
      </c>
      <c r="F36" s="24">
        <v>0.68</v>
      </c>
      <c r="G36" s="25"/>
      <c r="H36" s="24">
        <v>0</v>
      </c>
      <c r="I36" s="24">
        <v>54</v>
      </c>
      <c r="J36" s="35">
        <v>0.8</v>
      </c>
      <c r="K36" s="25"/>
      <c r="L36" s="24"/>
      <c r="M36" s="24"/>
      <c r="N36" s="24"/>
      <c r="O36" s="25"/>
      <c r="P36" s="25"/>
      <c r="Q36" s="24">
        <v>1</v>
      </c>
      <c r="R36" s="24"/>
      <c r="S36" s="25"/>
    </row>
    <row r="37" spans="1:19">
      <c r="A37" s="23" t="s">
        <v>45</v>
      </c>
      <c r="B37" s="23">
        <v>14</v>
      </c>
      <c r="C37" s="24">
        <v>8</v>
      </c>
      <c r="D37" s="23" t="s">
        <v>79</v>
      </c>
      <c r="E37" s="24">
        <v>112</v>
      </c>
      <c r="F37" s="24">
        <v>2.58</v>
      </c>
      <c r="G37" s="25"/>
      <c r="H37" s="24">
        <v>1</v>
      </c>
      <c r="I37" s="24">
        <v>161</v>
      </c>
      <c r="J37" s="35">
        <v>4.6399999999999997</v>
      </c>
      <c r="K37" s="25">
        <v>0.88</v>
      </c>
      <c r="L37" s="24"/>
      <c r="M37" s="24"/>
      <c r="N37" s="24"/>
      <c r="O37" s="25"/>
      <c r="P37" s="25">
        <v>1</v>
      </c>
      <c r="Q37" s="24"/>
      <c r="R37" s="24"/>
      <c r="S37" s="25"/>
    </row>
    <row r="38" spans="1:19">
      <c r="A38" s="23" t="s">
        <v>45</v>
      </c>
      <c r="B38" s="23">
        <v>14</v>
      </c>
      <c r="C38" s="24">
        <v>9</v>
      </c>
      <c r="D38" s="23" t="s">
        <v>79</v>
      </c>
      <c r="E38" s="24">
        <v>50</v>
      </c>
      <c r="F38" s="24">
        <v>0.78</v>
      </c>
      <c r="G38" s="25"/>
      <c r="H38" s="24">
        <v>3</v>
      </c>
      <c r="I38" s="24">
        <v>73</v>
      </c>
      <c r="J38" s="35">
        <v>1.08</v>
      </c>
      <c r="K38" s="25"/>
      <c r="L38" s="24">
        <v>1</v>
      </c>
      <c r="M38" s="24"/>
      <c r="N38" s="24"/>
      <c r="O38" s="25"/>
      <c r="P38" s="25"/>
      <c r="Q38" s="24"/>
      <c r="R38" s="24"/>
      <c r="S38" s="25"/>
    </row>
    <row r="39" spans="1:19">
      <c r="A39" s="23" t="s">
        <v>45</v>
      </c>
      <c r="B39" s="23">
        <v>14</v>
      </c>
      <c r="C39" s="24">
        <v>10</v>
      </c>
      <c r="D39" s="23" t="s">
        <v>79</v>
      </c>
      <c r="E39" s="24">
        <v>131</v>
      </c>
      <c r="F39" s="24">
        <v>1.51</v>
      </c>
      <c r="G39" s="25"/>
      <c r="H39" s="24">
        <v>1</v>
      </c>
      <c r="I39" s="24">
        <v>184</v>
      </c>
      <c r="J39" s="35">
        <v>5.46</v>
      </c>
      <c r="K39" s="25">
        <v>2.0099999999999998</v>
      </c>
      <c r="L39" s="24"/>
      <c r="M39" s="24">
        <v>3</v>
      </c>
      <c r="N39" s="27"/>
      <c r="O39" s="25"/>
      <c r="P39" s="25"/>
      <c r="Q39" s="24">
        <v>1</v>
      </c>
      <c r="R39" s="24"/>
      <c r="S39" s="25"/>
    </row>
    <row r="40" spans="1:19">
      <c r="A40" s="23" t="s">
        <v>45</v>
      </c>
      <c r="B40" s="23">
        <v>14</v>
      </c>
      <c r="C40" s="24">
        <v>11</v>
      </c>
      <c r="D40" s="23" t="s">
        <v>79</v>
      </c>
      <c r="E40" s="24">
        <v>65</v>
      </c>
      <c r="F40" s="24">
        <v>1.06</v>
      </c>
      <c r="G40" s="25"/>
      <c r="H40" s="26">
        <v>1</v>
      </c>
      <c r="I40" s="24">
        <v>99</v>
      </c>
      <c r="J40" s="35">
        <v>1.88</v>
      </c>
      <c r="K40" s="25"/>
      <c r="L40" s="26"/>
      <c r="M40" s="26"/>
      <c r="N40" s="24"/>
      <c r="O40" s="23"/>
      <c r="P40" s="23"/>
      <c r="Q40" s="27"/>
      <c r="R40" s="27"/>
      <c r="S40" s="25"/>
    </row>
    <row r="41" spans="1:19">
      <c r="A41" s="23" t="s">
        <v>45</v>
      </c>
      <c r="B41" s="23">
        <v>14</v>
      </c>
      <c r="C41" s="24">
        <v>12</v>
      </c>
      <c r="D41" s="23" t="s">
        <v>79</v>
      </c>
      <c r="E41" s="24">
        <v>88</v>
      </c>
      <c r="F41" s="24">
        <v>2.0499999999999998</v>
      </c>
      <c r="G41" s="25"/>
      <c r="H41" s="24">
        <v>2</v>
      </c>
      <c r="I41" s="24">
        <v>147</v>
      </c>
      <c r="J41" s="35">
        <v>2.93</v>
      </c>
      <c r="K41" s="25">
        <v>0.78</v>
      </c>
      <c r="L41" s="24">
        <v>1</v>
      </c>
      <c r="M41" s="24"/>
      <c r="N41" s="24"/>
      <c r="O41" s="23">
        <v>1</v>
      </c>
      <c r="P41" s="23"/>
      <c r="Q41" s="27"/>
      <c r="R41" s="27"/>
      <c r="S41" s="25"/>
    </row>
    <row r="42" spans="1:19">
      <c r="A42" s="23" t="s">
        <v>45</v>
      </c>
      <c r="B42" s="23">
        <v>14</v>
      </c>
      <c r="C42" s="24">
        <v>13</v>
      </c>
      <c r="D42" s="23" t="s">
        <v>79</v>
      </c>
      <c r="E42" s="25"/>
      <c r="F42" s="25"/>
      <c r="G42" s="25"/>
      <c r="H42" s="25"/>
      <c r="J42" s="34"/>
      <c r="K42" s="25"/>
      <c r="L42" s="25"/>
      <c r="M42" s="25"/>
      <c r="N42" s="24"/>
      <c r="O42" s="25"/>
      <c r="P42" s="25"/>
      <c r="Q42" s="24"/>
      <c r="R42" s="24" t="s">
        <v>83</v>
      </c>
      <c r="S42" s="25"/>
    </row>
    <row r="43" spans="1:19">
      <c r="A43" s="23" t="s">
        <v>45</v>
      </c>
      <c r="B43" s="23">
        <v>14</v>
      </c>
      <c r="C43" s="24">
        <v>14</v>
      </c>
      <c r="D43" s="23" t="s">
        <v>79</v>
      </c>
      <c r="E43" s="24">
        <v>62</v>
      </c>
      <c r="F43" s="24">
        <v>1.1100000000000001</v>
      </c>
      <c r="G43" s="25"/>
      <c r="H43" s="24">
        <v>0</v>
      </c>
      <c r="I43" s="24">
        <v>94</v>
      </c>
      <c r="J43" s="35">
        <v>1.75</v>
      </c>
      <c r="K43" s="25"/>
      <c r="L43" s="24"/>
      <c r="M43" s="24"/>
      <c r="N43" s="24"/>
      <c r="O43" s="25">
        <v>1</v>
      </c>
      <c r="P43" s="25"/>
      <c r="Q43" s="24"/>
      <c r="R43" s="24"/>
      <c r="S43" s="25"/>
    </row>
    <row r="44" spans="1:19">
      <c r="A44" s="23" t="s">
        <v>45</v>
      </c>
      <c r="B44" s="23">
        <v>19</v>
      </c>
      <c r="C44" s="24">
        <v>8</v>
      </c>
      <c r="D44" s="23" t="s">
        <v>79</v>
      </c>
      <c r="E44" s="24" t="s">
        <v>98</v>
      </c>
      <c r="F44" s="24" t="s">
        <v>98</v>
      </c>
      <c r="G44" s="25"/>
      <c r="H44" s="25"/>
      <c r="I44" s="24">
        <v>176</v>
      </c>
      <c r="J44" s="35">
        <v>4.34</v>
      </c>
      <c r="K44" s="25">
        <v>1.41</v>
      </c>
      <c r="L44" s="25"/>
      <c r="M44" s="25"/>
      <c r="N44" s="24"/>
      <c r="O44" s="25"/>
      <c r="P44" s="25"/>
      <c r="Q44" s="24">
        <v>1</v>
      </c>
      <c r="R44" s="24"/>
      <c r="S44" s="25"/>
    </row>
    <row r="45" spans="1:19">
      <c r="A45" s="23" t="s">
        <v>45</v>
      </c>
      <c r="B45" s="23">
        <v>19</v>
      </c>
      <c r="C45" s="24">
        <v>9</v>
      </c>
      <c r="D45" s="23" t="s">
        <v>79</v>
      </c>
      <c r="E45" s="24" t="s">
        <v>98</v>
      </c>
      <c r="F45" s="24" t="s">
        <v>98</v>
      </c>
      <c r="G45" s="25"/>
      <c r="H45" s="25"/>
      <c r="I45" s="24"/>
      <c r="J45" s="35"/>
      <c r="K45" s="25"/>
      <c r="L45" s="25"/>
      <c r="M45" s="25"/>
      <c r="N45" s="24"/>
      <c r="O45" s="25"/>
      <c r="P45" s="25"/>
      <c r="Q45" s="24"/>
      <c r="R45" s="24" t="s">
        <v>83</v>
      </c>
      <c r="S45" s="25"/>
    </row>
    <row r="46" spans="1:19">
      <c r="A46" s="23" t="s">
        <v>45</v>
      </c>
      <c r="B46" s="23">
        <v>19</v>
      </c>
      <c r="C46" s="24">
        <v>10</v>
      </c>
      <c r="D46" s="23" t="s">
        <v>79</v>
      </c>
      <c r="E46" s="24" t="s">
        <v>98</v>
      </c>
      <c r="F46" s="24" t="s">
        <v>98</v>
      </c>
      <c r="G46" s="25"/>
      <c r="H46" s="25"/>
      <c r="I46" s="24"/>
      <c r="J46" s="35"/>
      <c r="K46" s="25"/>
      <c r="L46" s="25"/>
      <c r="M46" s="25"/>
      <c r="N46" s="24"/>
      <c r="O46" s="25"/>
      <c r="P46" s="25"/>
      <c r="Q46" s="24"/>
      <c r="R46" s="24" t="s">
        <v>83</v>
      </c>
      <c r="S46" s="25"/>
    </row>
    <row r="47" spans="1:19">
      <c r="A47" s="23" t="s">
        <v>45</v>
      </c>
      <c r="B47" s="23">
        <v>19</v>
      </c>
      <c r="C47" s="24">
        <v>11</v>
      </c>
      <c r="D47" s="23" t="s">
        <v>79</v>
      </c>
      <c r="E47" s="24" t="s">
        <v>98</v>
      </c>
      <c r="F47" s="24" t="s">
        <v>98</v>
      </c>
      <c r="G47" s="25"/>
      <c r="H47" s="25"/>
      <c r="I47" s="24">
        <v>94</v>
      </c>
      <c r="J47" s="35">
        <v>2.3199999999999998</v>
      </c>
      <c r="K47" s="25"/>
      <c r="L47" s="25"/>
      <c r="M47" s="25">
        <v>1</v>
      </c>
      <c r="N47" s="24"/>
      <c r="O47" s="25"/>
      <c r="P47" s="25"/>
      <c r="Q47" s="24"/>
      <c r="R47" s="24"/>
      <c r="S47" s="25"/>
    </row>
    <row r="48" spans="1:19">
      <c r="A48" s="23" t="s">
        <v>45</v>
      </c>
      <c r="B48" s="23">
        <v>19</v>
      </c>
      <c r="C48" s="24">
        <v>12</v>
      </c>
      <c r="D48" s="23" t="s">
        <v>79</v>
      </c>
      <c r="E48" s="24" t="s">
        <v>98</v>
      </c>
      <c r="F48" s="24" t="s">
        <v>98</v>
      </c>
      <c r="G48" s="25"/>
      <c r="H48" s="25"/>
      <c r="I48" s="24"/>
      <c r="J48" s="35"/>
      <c r="K48" s="25"/>
      <c r="L48" s="25"/>
      <c r="M48" s="25"/>
      <c r="N48" s="24"/>
      <c r="O48" s="25"/>
      <c r="P48" s="25"/>
      <c r="Q48" s="24"/>
      <c r="R48" s="24" t="s">
        <v>83</v>
      </c>
      <c r="S48" s="25"/>
    </row>
    <row r="49" spans="1:19">
      <c r="A49" s="23" t="s">
        <v>45</v>
      </c>
      <c r="B49" s="23">
        <v>19</v>
      </c>
      <c r="C49" s="24">
        <v>13</v>
      </c>
      <c r="D49" s="23" t="s">
        <v>79</v>
      </c>
      <c r="E49" s="24" t="s">
        <v>98</v>
      </c>
      <c r="F49" s="24" t="s">
        <v>98</v>
      </c>
      <c r="G49" s="25"/>
      <c r="H49" s="25"/>
      <c r="I49" s="24">
        <v>106</v>
      </c>
      <c r="J49" s="35">
        <v>2.14</v>
      </c>
      <c r="K49" s="25"/>
      <c r="L49" s="25"/>
      <c r="M49" s="25"/>
      <c r="N49" s="24"/>
      <c r="O49" s="25"/>
      <c r="P49" s="25"/>
      <c r="Q49" s="24"/>
      <c r="R49" s="24"/>
      <c r="S49" s="25" t="s">
        <v>80</v>
      </c>
    </row>
    <row r="50" spans="1:19">
      <c r="A50" s="23" t="s">
        <v>45</v>
      </c>
      <c r="B50" s="23">
        <v>19</v>
      </c>
      <c r="C50" s="24">
        <v>14</v>
      </c>
      <c r="D50" s="23" t="s">
        <v>79</v>
      </c>
      <c r="E50" s="24" t="s">
        <v>98</v>
      </c>
      <c r="F50" s="24" t="s">
        <v>98</v>
      </c>
      <c r="G50" s="25"/>
      <c r="H50" s="25"/>
      <c r="I50" s="24">
        <v>92</v>
      </c>
      <c r="J50" s="35">
        <v>1.68</v>
      </c>
      <c r="K50" s="25"/>
      <c r="L50" s="25"/>
      <c r="M50" s="25"/>
      <c r="N50" s="24"/>
      <c r="O50" s="25"/>
      <c r="P50" s="25"/>
      <c r="Q50" s="24"/>
      <c r="R50" s="24"/>
      <c r="S50" s="25" t="s">
        <v>80</v>
      </c>
    </row>
    <row r="51" spans="1:19">
      <c r="A51" s="23" t="s">
        <v>45</v>
      </c>
      <c r="B51" s="23">
        <v>23</v>
      </c>
      <c r="C51" s="24">
        <v>8</v>
      </c>
      <c r="D51" s="23" t="s">
        <v>79</v>
      </c>
      <c r="E51" s="24">
        <v>168</v>
      </c>
      <c r="F51" s="24">
        <v>3.45</v>
      </c>
      <c r="G51" s="24">
        <v>1.38</v>
      </c>
      <c r="H51" s="24">
        <v>1</v>
      </c>
      <c r="I51" s="24">
        <v>255</v>
      </c>
      <c r="J51" s="35">
        <v>6.29</v>
      </c>
      <c r="K51" s="24">
        <v>2.93</v>
      </c>
      <c r="L51" s="24"/>
      <c r="M51" s="24">
        <v>1</v>
      </c>
      <c r="N51" s="24"/>
      <c r="O51" s="25"/>
      <c r="P51" s="25"/>
      <c r="Q51" s="24">
        <v>1</v>
      </c>
      <c r="R51" s="24"/>
      <c r="S51" s="25"/>
    </row>
    <row r="52" spans="1:19">
      <c r="A52" s="23" t="s">
        <v>45</v>
      </c>
      <c r="B52" s="23">
        <v>23</v>
      </c>
      <c r="C52" s="24">
        <v>9</v>
      </c>
      <c r="D52" s="23" t="s">
        <v>79</v>
      </c>
      <c r="E52" s="24">
        <v>140</v>
      </c>
      <c r="F52" s="24">
        <v>2.84</v>
      </c>
      <c r="G52" s="25"/>
      <c r="H52" s="24">
        <v>1</v>
      </c>
      <c r="I52" s="24">
        <v>227</v>
      </c>
      <c r="J52" s="35">
        <v>5.19</v>
      </c>
      <c r="K52" s="25">
        <v>2.23</v>
      </c>
      <c r="L52" s="24"/>
      <c r="M52" s="24"/>
      <c r="N52" s="24"/>
      <c r="O52" s="23"/>
      <c r="P52" s="23"/>
      <c r="Q52" s="27"/>
      <c r="R52" s="27"/>
      <c r="S52" s="25"/>
    </row>
    <row r="53" spans="1:19">
      <c r="A53" s="23" t="s">
        <v>45</v>
      </c>
      <c r="B53" s="23">
        <v>23</v>
      </c>
      <c r="C53" s="24">
        <v>10</v>
      </c>
      <c r="D53" s="23" t="s">
        <v>79</v>
      </c>
      <c r="E53" s="24">
        <v>150</v>
      </c>
      <c r="F53" s="24">
        <v>2.61</v>
      </c>
      <c r="G53" s="24">
        <v>0.89</v>
      </c>
      <c r="H53" s="24">
        <v>0</v>
      </c>
      <c r="I53" s="24">
        <v>201</v>
      </c>
      <c r="J53" s="35">
        <v>4.2699999999999996</v>
      </c>
      <c r="K53" s="24">
        <v>2.56</v>
      </c>
      <c r="L53" s="24"/>
      <c r="M53" s="24">
        <v>3</v>
      </c>
      <c r="N53" s="27"/>
      <c r="O53" s="25"/>
      <c r="P53" s="25"/>
      <c r="Q53" s="24"/>
      <c r="R53" s="24"/>
      <c r="S53" s="25" t="s">
        <v>118</v>
      </c>
    </row>
    <row r="54" spans="1:19">
      <c r="A54" s="23" t="s">
        <v>45</v>
      </c>
      <c r="B54" s="23">
        <v>23</v>
      </c>
      <c r="C54" s="24">
        <v>11</v>
      </c>
      <c r="D54" s="23" t="s">
        <v>79</v>
      </c>
      <c r="E54" s="24">
        <v>70</v>
      </c>
      <c r="F54" s="24">
        <v>1.56</v>
      </c>
      <c r="G54" s="25"/>
      <c r="H54" s="24">
        <v>0</v>
      </c>
      <c r="I54" s="24">
        <v>82</v>
      </c>
      <c r="J54" s="35">
        <v>2.2200000000000002</v>
      </c>
      <c r="K54" s="25"/>
      <c r="L54" s="24">
        <v>2</v>
      </c>
      <c r="M54" s="24"/>
      <c r="N54" s="24"/>
      <c r="O54" s="25"/>
      <c r="P54" s="25"/>
      <c r="Q54" s="24"/>
      <c r="R54" s="24"/>
      <c r="S54" s="25"/>
    </row>
    <row r="55" spans="1:19">
      <c r="A55" s="23" t="s">
        <v>45</v>
      </c>
      <c r="B55" s="23">
        <v>23</v>
      </c>
      <c r="C55" s="24">
        <v>12</v>
      </c>
      <c r="D55" s="23" t="s">
        <v>79</v>
      </c>
      <c r="E55" s="24">
        <v>123</v>
      </c>
      <c r="F55" s="24">
        <v>3.35</v>
      </c>
      <c r="G55" s="25"/>
      <c r="H55" s="24">
        <v>0</v>
      </c>
      <c r="I55" s="24">
        <v>190</v>
      </c>
      <c r="J55" s="35">
        <v>6.29</v>
      </c>
      <c r="K55" s="25">
        <v>1.22</v>
      </c>
      <c r="L55" s="24"/>
      <c r="M55" s="24">
        <v>1</v>
      </c>
      <c r="N55" s="24">
        <v>8</v>
      </c>
      <c r="O55" s="23"/>
      <c r="P55" s="23"/>
      <c r="Q55" s="27"/>
      <c r="R55" s="27"/>
      <c r="S55" s="25" t="s">
        <v>118</v>
      </c>
    </row>
    <row r="56" spans="1:19">
      <c r="A56" s="23" t="s">
        <v>45</v>
      </c>
      <c r="B56" s="23">
        <v>23</v>
      </c>
      <c r="C56" s="24">
        <v>13</v>
      </c>
      <c r="D56" s="23" t="s">
        <v>79</v>
      </c>
      <c r="E56" s="24">
        <v>143</v>
      </c>
      <c r="F56" s="24">
        <v>3.31</v>
      </c>
      <c r="G56" s="25"/>
      <c r="H56" s="24">
        <v>2</v>
      </c>
      <c r="I56" s="24">
        <v>216</v>
      </c>
      <c r="J56" s="35">
        <v>5.03</v>
      </c>
      <c r="K56" s="25">
        <v>1.98</v>
      </c>
      <c r="L56" s="24"/>
      <c r="M56" s="24">
        <v>1</v>
      </c>
      <c r="N56" s="24">
        <v>14</v>
      </c>
      <c r="O56" s="25"/>
      <c r="P56" s="25"/>
      <c r="Q56" s="24"/>
      <c r="R56" s="24"/>
      <c r="S56" s="25"/>
    </row>
    <row r="57" spans="1:19">
      <c r="A57" s="23" t="s">
        <v>45</v>
      </c>
      <c r="B57" s="23">
        <v>23</v>
      </c>
      <c r="C57" s="24">
        <v>14</v>
      </c>
      <c r="D57" s="23" t="s">
        <v>79</v>
      </c>
      <c r="E57" s="24">
        <v>86</v>
      </c>
      <c r="F57" s="24">
        <v>2.7</v>
      </c>
      <c r="G57" s="25"/>
      <c r="H57" s="24">
        <v>1</v>
      </c>
      <c r="I57" s="24">
        <v>149</v>
      </c>
      <c r="J57" s="35">
        <v>4.58</v>
      </c>
      <c r="K57" s="25">
        <v>1.01</v>
      </c>
      <c r="L57" s="24"/>
      <c r="M57" s="24"/>
      <c r="N57" s="24"/>
      <c r="O57" s="23"/>
      <c r="P57" s="23"/>
      <c r="Q57" s="27"/>
      <c r="R57" s="27"/>
      <c r="S57" s="25"/>
    </row>
    <row r="58" spans="1:19">
      <c r="A58" s="23" t="s">
        <v>45</v>
      </c>
      <c r="B58" s="23">
        <v>24</v>
      </c>
      <c r="C58" s="24">
        <v>8</v>
      </c>
      <c r="D58" s="23" t="s">
        <v>79</v>
      </c>
      <c r="E58" s="24">
        <v>120</v>
      </c>
      <c r="F58" s="24">
        <v>2.38</v>
      </c>
      <c r="G58" s="25"/>
      <c r="H58" s="24">
        <v>2</v>
      </c>
      <c r="I58" s="24">
        <v>190</v>
      </c>
      <c r="J58" s="35">
        <v>3.77</v>
      </c>
      <c r="K58" s="25">
        <v>1.84</v>
      </c>
      <c r="L58" s="24"/>
      <c r="M58" s="24"/>
      <c r="N58" s="24"/>
      <c r="O58" s="25"/>
      <c r="P58" s="25"/>
      <c r="Q58" s="24"/>
      <c r="R58" s="24"/>
      <c r="S58" s="25"/>
    </row>
    <row r="59" spans="1:19">
      <c r="A59" s="23" t="s">
        <v>45</v>
      </c>
      <c r="B59" s="23">
        <v>24</v>
      </c>
      <c r="C59" s="24">
        <v>9</v>
      </c>
      <c r="D59" s="23" t="s">
        <v>79</v>
      </c>
      <c r="E59" s="25"/>
      <c r="F59" s="25"/>
      <c r="G59" s="25"/>
      <c r="H59" s="25"/>
      <c r="I59" s="25"/>
      <c r="J59" s="34"/>
      <c r="K59" s="25"/>
      <c r="L59" s="25"/>
      <c r="M59" s="25"/>
      <c r="N59" s="24"/>
      <c r="O59" s="25"/>
      <c r="P59" s="25"/>
      <c r="Q59" s="24"/>
      <c r="R59" s="25" t="s">
        <v>83</v>
      </c>
    </row>
    <row r="60" spans="1:19">
      <c r="A60" s="23" t="s">
        <v>45</v>
      </c>
      <c r="B60" s="23">
        <v>24</v>
      </c>
      <c r="C60" s="24">
        <v>10</v>
      </c>
      <c r="D60" s="23" t="s">
        <v>79</v>
      </c>
      <c r="E60" s="25"/>
      <c r="F60" s="25"/>
      <c r="G60" s="25"/>
      <c r="H60" s="25"/>
      <c r="I60" s="25"/>
      <c r="J60" s="34"/>
      <c r="K60" s="25"/>
      <c r="L60" s="25"/>
      <c r="M60" s="25"/>
      <c r="N60" s="24"/>
      <c r="O60" s="25"/>
      <c r="P60" s="25"/>
      <c r="Q60" s="24"/>
      <c r="R60" s="25" t="s">
        <v>83</v>
      </c>
    </row>
    <row r="61" spans="1:19">
      <c r="A61" s="23" t="s">
        <v>45</v>
      </c>
      <c r="B61" s="23">
        <v>24</v>
      </c>
      <c r="C61" s="24">
        <v>11</v>
      </c>
      <c r="D61" s="23" t="s">
        <v>79</v>
      </c>
      <c r="E61" s="25"/>
      <c r="F61" s="25"/>
      <c r="G61" s="25"/>
      <c r="H61" s="25"/>
      <c r="I61" s="25"/>
      <c r="J61" s="34"/>
      <c r="K61" s="25"/>
      <c r="L61" s="25"/>
      <c r="M61" s="25"/>
      <c r="N61" s="24"/>
      <c r="O61" s="25"/>
      <c r="P61" s="25"/>
      <c r="Q61" s="24"/>
      <c r="R61" s="25" t="s">
        <v>83</v>
      </c>
    </row>
    <row r="62" spans="1:19">
      <c r="A62" s="23" t="s">
        <v>45</v>
      </c>
      <c r="B62" s="23">
        <v>24</v>
      </c>
      <c r="C62" s="24">
        <v>12</v>
      </c>
      <c r="D62" s="23" t="s">
        <v>79</v>
      </c>
      <c r="E62" s="25"/>
      <c r="F62" s="25"/>
      <c r="G62" s="25"/>
      <c r="H62" s="25"/>
      <c r="I62" s="25"/>
      <c r="J62" s="34"/>
      <c r="K62" s="25"/>
      <c r="L62" s="25"/>
      <c r="M62" s="25"/>
      <c r="N62" s="24"/>
      <c r="O62" s="25"/>
      <c r="P62" s="25"/>
      <c r="Q62" s="24"/>
      <c r="R62" s="25" t="s">
        <v>83</v>
      </c>
    </row>
    <row r="63" spans="1:19">
      <c r="A63" s="23" t="s">
        <v>45</v>
      </c>
      <c r="B63" s="23">
        <v>24</v>
      </c>
      <c r="C63" s="24">
        <v>13</v>
      </c>
      <c r="D63" s="23" t="s">
        <v>79</v>
      </c>
      <c r="E63" s="25"/>
      <c r="F63" s="25"/>
      <c r="G63" s="25"/>
      <c r="H63" s="25"/>
      <c r="I63" s="25"/>
      <c r="J63" s="34"/>
      <c r="K63" s="25"/>
      <c r="L63" s="25"/>
      <c r="M63" s="25"/>
      <c r="N63" s="24"/>
      <c r="O63" s="25"/>
      <c r="P63" s="25"/>
      <c r="Q63" s="24"/>
      <c r="R63" s="25" t="s">
        <v>83</v>
      </c>
    </row>
    <row r="64" spans="1:19">
      <c r="A64" s="23" t="s">
        <v>45</v>
      </c>
      <c r="B64" s="23">
        <v>24</v>
      </c>
      <c r="C64" s="24">
        <v>14</v>
      </c>
      <c r="D64" s="23" t="s">
        <v>79</v>
      </c>
      <c r="E64" s="24">
        <v>133</v>
      </c>
      <c r="F64" s="24">
        <v>2.46</v>
      </c>
      <c r="G64" s="25"/>
      <c r="H64" s="24">
        <v>0</v>
      </c>
      <c r="I64" s="24">
        <v>191</v>
      </c>
      <c r="J64" s="35">
        <v>3.97</v>
      </c>
      <c r="K64" s="25">
        <v>1.84</v>
      </c>
      <c r="L64" s="24"/>
      <c r="M64" s="24">
        <v>1</v>
      </c>
      <c r="N64" s="24">
        <v>1</v>
      </c>
      <c r="O64" s="23"/>
      <c r="P64" s="23"/>
      <c r="Q64" s="27">
        <v>1</v>
      </c>
      <c r="R64" s="27"/>
      <c r="S64" s="25"/>
    </row>
    <row r="65" spans="1:19">
      <c r="A65" s="23" t="s">
        <v>45</v>
      </c>
      <c r="B65" s="23">
        <v>25</v>
      </c>
      <c r="C65" s="24">
        <v>8</v>
      </c>
      <c r="D65" s="23" t="s">
        <v>79</v>
      </c>
      <c r="E65" s="24">
        <v>40</v>
      </c>
      <c r="F65" s="24">
        <v>0.8</v>
      </c>
      <c r="G65" s="25"/>
      <c r="H65" s="24">
        <v>0</v>
      </c>
      <c r="I65" s="24"/>
      <c r="J65" s="35"/>
      <c r="K65" s="25"/>
      <c r="L65" s="24"/>
      <c r="M65" s="24"/>
      <c r="N65" s="24"/>
      <c r="O65" s="25"/>
      <c r="P65" s="25"/>
      <c r="Q65" s="24"/>
      <c r="R65" s="24" t="s">
        <v>111</v>
      </c>
      <c r="S65" s="25"/>
    </row>
    <row r="66" spans="1:19">
      <c r="A66" s="23" t="s">
        <v>45</v>
      </c>
      <c r="B66" s="23">
        <v>25</v>
      </c>
      <c r="C66" s="24">
        <v>9</v>
      </c>
      <c r="D66" s="23" t="s">
        <v>79</v>
      </c>
      <c r="E66" s="24">
        <v>23</v>
      </c>
      <c r="F66" s="24">
        <v>0.49</v>
      </c>
      <c r="G66" s="25"/>
      <c r="H66" s="24">
        <v>0</v>
      </c>
      <c r="I66" s="24"/>
      <c r="J66" s="35"/>
      <c r="K66" s="25"/>
      <c r="L66" s="24"/>
      <c r="M66" s="24"/>
      <c r="N66" s="24"/>
      <c r="O66" s="25"/>
      <c r="P66" s="25"/>
      <c r="Q66" s="24"/>
      <c r="R66" s="24" t="s">
        <v>111</v>
      </c>
      <c r="S66" s="25"/>
    </row>
    <row r="67" spans="1:19">
      <c r="A67" s="23" t="s">
        <v>45</v>
      </c>
      <c r="B67" s="23">
        <v>25</v>
      </c>
      <c r="C67" s="24">
        <v>10</v>
      </c>
      <c r="D67" s="23" t="s">
        <v>79</v>
      </c>
      <c r="E67" s="24">
        <v>48</v>
      </c>
      <c r="F67" s="24">
        <v>1.18</v>
      </c>
      <c r="G67" s="25"/>
      <c r="H67" s="27">
        <v>1</v>
      </c>
      <c r="I67" s="24"/>
      <c r="J67" s="35"/>
      <c r="K67" s="25"/>
      <c r="L67" s="27"/>
      <c r="M67" s="27"/>
      <c r="N67" s="24"/>
      <c r="O67" s="25"/>
      <c r="P67" s="25"/>
      <c r="Q67" s="24"/>
      <c r="R67" s="24" t="s">
        <v>111</v>
      </c>
      <c r="S67" s="25"/>
    </row>
    <row r="68" spans="1:19">
      <c r="A68" s="23" t="s">
        <v>45</v>
      </c>
      <c r="B68" s="23">
        <v>25</v>
      </c>
      <c r="C68" s="24">
        <v>11</v>
      </c>
      <c r="D68" s="23" t="s">
        <v>79</v>
      </c>
      <c r="E68" s="24">
        <v>51</v>
      </c>
      <c r="F68" s="24">
        <v>1</v>
      </c>
      <c r="G68" s="25"/>
      <c r="H68" s="27">
        <v>1</v>
      </c>
      <c r="I68" s="24">
        <v>68</v>
      </c>
      <c r="J68" s="35">
        <v>1.62</v>
      </c>
      <c r="K68" s="25"/>
      <c r="L68" s="27">
        <v>1</v>
      </c>
      <c r="M68" s="27"/>
      <c r="N68" s="24"/>
      <c r="O68" s="25"/>
      <c r="P68" s="25"/>
      <c r="Q68" s="24">
        <v>1</v>
      </c>
      <c r="R68" s="24"/>
      <c r="S68" s="25"/>
    </row>
    <row r="69" spans="1:19">
      <c r="A69" s="23" t="s">
        <v>45</v>
      </c>
      <c r="B69" s="23">
        <v>25</v>
      </c>
      <c r="C69" s="24">
        <v>12</v>
      </c>
      <c r="D69" s="23" t="s">
        <v>79</v>
      </c>
      <c r="E69" s="24">
        <v>30</v>
      </c>
      <c r="F69" s="24">
        <v>0.49</v>
      </c>
      <c r="G69" s="25"/>
      <c r="H69" s="24">
        <v>0</v>
      </c>
      <c r="I69" s="24">
        <v>48</v>
      </c>
      <c r="J69" s="35">
        <v>0.78</v>
      </c>
      <c r="K69" s="25"/>
      <c r="L69" s="24">
        <v>0</v>
      </c>
      <c r="M69" s="24"/>
      <c r="N69" s="24"/>
      <c r="O69" s="25"/>
      <c r="P69" s="25"/>
      <c r="Q69" s="24"/>
      <c r="R69" s="24"/>
      <c r="S69" s="25"/>
    </row>
    <row r="70" spans="1:19">
      <c r="A70" s="23" t="s">
        <v>45</v>
      </c>
      <c r="B70" s="23">
        <v>25</v>
      </c>
      <c r="C70" s="24">
        <v>13</v>
      </c>
      <c r="D70" s="23" t="s">
        <v>79</v>
      </c>
      <c r="E70" s="24">
        <v>12</v>
      </c>
      <c r="F70" s="24">
        <v>0.27</v>
      </c>
      <c r="G70" s="25"/>
      <c r="H70" s="24">
        <v>3</v>
      </c>
      <c r="I70" s="24">
        <v>14</v>
      </c>
      <c r="J70" s="35">
        <v>0.31</v>
      </c>
      <c r="K70" s="25"/>
      <c r="L70" s="24">
        <v>4</v>
      </c>
      <c r="M70" s="24"/>
      <c r="N70" s="24"/>
      <c r="O70" s="25"/>
      <c r="P70" s="25"/>
      <c r="Q70" s="24"/>
      <c r="R70" s="24"/>
      <c r="S70" s="25"/>
    </row>
    <row r="71" spans="1:19">
      <c r="A71" s="23" t="s">
        <v>45</v>
      </c>
      <c r="B71" s="23">
        <v>25</v>
      </c>
      <c r="C71" s="24">
        <v>14</v>
      </c>
      <c r="D71" s="23" t="s">
        <v>79</v>
      </c>
      <c r="E71" s="24">
        <v>35</v>
      </c>
      <c r="F71" s="24">
        <v>0.79</v>
      </c>
      <c r="G71" s="25"/>
      <c r="H71" s="24">
        <v>0</v>
      </c>
      <c r="I71" s="24">
        <v>46</v>
      </c>
      <c r="J71" s="35">
        <v>0.9</v>
      </c>
      <c r="K71" s="25"/>
      <c r="L71" s="24">
        <v>3</v>
      </c>
      <c r="M71" s="24"/>
      <c r="N71" s="24"/>
      <c r="O71" s="25"/>
      <c r="P71" s="25"/>
      <c r="Q71" s="24"/>
      <c r="R71" s="24"/>
      <c r="S71" s="25"/>
    </row>
    <row r="72" spans="1:19">
      <c r="A72" s="23" t="s">
        <v>45</v>
      </c>
      <c r="B72" s="23">
        <v>26</v>
      </c>
      <c r="C72" s="24">
        <v>8</v>
      </c>
      <c r="D72" s="23" t="s">
        <v>79</v>
      </c>
      <c r="E72" s="24">
        <v>88</v>
      </c>
      <c r="F72" s="24">
        <v>1.92</v>
      </c>
      <c r="G72" s="25"/>
      <c r="H72" s="24">
        <v>0</v>
      </c>
      <c r="I72" s="24"/>
      <c r="J72" s="35"/>
      <c r="K72" s="25"/>
      <c r="L72" s="24"/>
      <c r="M72" s="24"/>
      <c r="N72" s="24"/>
      <c r="O72" s="23"/>
      <c r="P72" s="23"/>
      <c r="Q72" s="27"/>
      <c r="R72" s="24" t="s">
        <v>111</v>
      </c>
      <c r="S72" s="25"/>
    </row>
    <row r="73" spans="1:19">
      <c r="A73" s="23" t="s">
        <v>45</v>
      </c>
      <c r="B73" s="23">
        <v>26</v>
      </c>
      <c r="C73" s="24">
        <v>9</v>
      </c>
      <c r="D73" s="23" t="s">
        <v>79</v>
      </c>
      <c r="E73" s="24">
        <v>35</v>
      </c>
      <c r="F73" s="24">
        <v>0.89</v>
      </c>
      <c r="G73" s="25"/>
      <c r="H73" s="27">
        <v>1</v>
      </c>
      <c r="I73" s="24"/>
      <c r="J73" s="35"/>
      <c r="K73" s="25"/>
      <c r="L73" s="27"/>
      <c r="M73" s="27"/>
      <c r="N73" s="24"/>
      <c r="O73" s="25"/>
      <c r="P73" s="25"/>
      <c r="Q73" s="24"/>
      <c r="R73" s="24" t="s">
        <v>111</v>
      </c>
      <c r="S73" s="25"/>
    </row>
    <row r="74" spans="1:19">
      <c r="A74" s="23" t="s">
        <v>45</v>
      </c>
      <c r="B74" s="23">
        <v>26</v>
      </c>
      <c r="C74" s="24">
        <v>10</v>
      </c>
      <c r="D74" s="23" t="s">
        <v>79</v>
      </c>
      <c r="E74" s="24">
        <v>77</v>
      </c>
      <c r="F74" s="24">
        <v>1.85</v>
      </c>
      <c r="G74" s="25"/>
      <c r="H74" s="24">
        <v>2</v>
      </c>
      <c r="I74" s="24"/>
      <c r="J74" s="35"/>
      <c r="K74" s="25"/>
      <c r="L74" s="24"/>
      <c r="M74" s="24"/>
      <c r="N74" s="24"/>
      <c r="O74" s="25"/>
      <c r="P74" s="25"/>
      <c r="Q74" s="24"/>
      <c r="R74" s="24" t="s">
        <v>111</v>
      </c>
      <c r="S74" s="25"/>
    </row>
    <row r="75" spans="1:19">
      <c r="A75" s="23" t="s">
        <v>45</v>
      </c>
      <c r="B75" s="23">
        <v>26</v>
      </c>
      <c r="C75" s="24">
        <v>11</v>
      </c>
      <c r="D75" s="23" t="s">
        <v>79</v>
      </c>
      <c r="E75" s="24">
        <v>31</v>
      </c>
      <c r="F75" s="24">
        <v>0.68</v>
      </c>
      <c r="G75" s="25"/>
      <c r="H75" s="24">
        <v>0</v>
      </c>
      <c r="I75" s="24">
        <v>42</v>
      </c>
      <c r="J75" s="35">
        <v>0.88</v>
      </c>
      <c r="K75" s="25"/>
      <c r="L75" s="24"/>
      <c r="M75" s="24"/>
      <c r="N75" s="24"/>
      <c r="O75" s="25"/>
      <c r="P75" s="25"/>
      <c r="Q75" s="24"/>
      <c r="R75" s="24"/>
      <c r="S75" s="25"/>
    </row>
    <row r="76" spans="1:19">
      <c r="A76" s="23" t="s">
        <v>45</v>
      </c>
      <c r="B76" s="23">
        <v>26</v>
      </c>
      <c r="C76" s="24">
        <v>12</v>
      </c>
      <c r="D76" s="23" t="s">
        <v>79</v>
      </c>
      <c r="E76" s="24">
        <v>24</v>
      </c>
      <c r="F76" s="24">
        <v>0.66</v>
      </c>
      <c r="G76" s="25"/>
      <c r="H76" s="25"/>
      <c r="I76" s="24">
        <v>42</v>
      </c>
      <c r="J76" s="35">
        <v>1.08</v>
      </c>
      <c r="K76" s="25"/>
      <c r="L76" s="25"/>
      <c r="M76" s="25"/>
      <c r="N76" s="24"/>
      <c r="O76" s="25"/>
      <c r="P76" s="25"/>
      <c r="Q76" s="24"/>
      <c r="R76" s="24"/>
      <c r="S76" s="25"/>
    </row>
    <row r="77" spans="1:19">
      <c r="A77" s="23" t="s">
        <v>45</v>
      </c>
      <c r="B77" s="23">
        <v>26</v>
      </c>
      <c r="C77" s="24">
        <v>13</v>
      </c>
      <c r="D77" s="23" t="s">
        <v>79</v>
      </c>
      <c r="E77" s="24">
        <v>91</v>
      </c>
      <c r="F77" s="24">
        <v>2.11</v>
      </c>
      <c r="G77" s="25"/>
      <c r="H77" s="24">
        <v>1</v>
      </c>
      <c r="I77" s="24">
        <v>152</v>
      </c>
      <c r="J77" s="35">
        <v>3.86</v>
      </c>
      <c r="K77" s="25"/>
      <c r="L77" s="24"/>
      <c r="M77" s="24"/>
      <c r="N77" s="24"/>
      <c r="O77" s="25"/>
      <c r="P77" s="25"/>
      <c r="Q77" s="24">
        <v>1</v>
      </c>
      <c r="R77" s="24"/>
      <c r="S77" s="25"/>
    </row>
    <row r="78" spans="1:19">
      <c r="A78" s="23" t="s">
        <v>45</v>
      </c>
      <c r="B78" s="23">
        <v>26</v>
      </c>
      <c r="C78" s="24">
        <v>14</v>
      </c>
      <c r="D78" s="23" t="s">
        <v>79</v>
      </c>
      <c r="E78" s="24">
        <v>79</v>
      </c>
      <c r="F78" s="24">
        <v>2</v>
      </c>
      <c r="G78" s="25"/>
      <c r="H78" s="24">
        <v>0</v>
      </c>
      <c r="I78" s="24">
        <v>104</v>
      </c>
      <c r="J78" s="35">
        <v>2.98</v>
      </c>
      <c r="K78" s="25"/>
      <c r="L78" s="24"/>
      <c r="M78" s="24">
        <v>1</v>
      </c>
      <c r="N78" s="24"/>
      <c r="O78" s="25"/>
      <c r="P78" s="25"/>
      <c r="Q78" s="24"/>
      <c r="R78" s="24"/>
      <c r="S78" s="25" t="s">
        <v>80</v>
      </c>
    </row>
    <row r="79" spans="1:19">
      <c r="A79" s="28" t="s">
        <v>45</v>
      </c>
      <c r="B79" s="37">
        <v>27</v>
      </c>
      <c r="C79" s="24">
        <v>8</v>
      </c>
      <c r="D79" s="23" t="s">
        <v>79</v>
      </c>
      <c r="E79" s="24" t="s">
        <v>98</v>
      </c>
      <c r="F79" s="24" t="s">
        <v>98</v>
      </c>
      <c r="G79" s="25"/>
      <c r="H79" s="25"/>
      <c r="I79" s="28">
        <v>58</v>
      </c>
      <c r="J79" s="38">
        <v>1.23</v>
      </c>
      <c r="N79" s="30"/>
      <c r="Q79" s="30"/>
      <c r="R79" s="30"/>
    </row>
    <row r="80" spans="1:19">
      <c r="A80" s="28" t="s">
        <v>45</v>
      </c>
      <c r="B80" s="37">
        <v>27</v>
      </c>
      <c r="C80" s="24">
        <v>9</v>
      </c>
      <c r="D80" s="23" t="s">
        <v>79</v>
      </c>
      <c r="E80" s="24" t="s">
        <v>98</v>
      </c>
      <c r="F80" s="24" t="s">
        <v>98</v>
      </c>
      <c r="G80" s="25"/>
      <c r="H80" s="25"/>
      <c r="I80" s="28">
        <v>56</v>
      </c>
      <c r="J80" s="38">
        <v>1.1100000000000001</v>
      </c>
      <c r="L80" s="28">
        <v>1</v>
      </c>
      <c r="N80" s="30"/>
      <c r="Q80" s="30"/>
      <c r="R80" s="30"/>
    </row>
    <row r="81" spans="1:19">
      <c r="A81" s="28" t="s">
        <v>45</v>
      </c>
      <c r="B81" s="37">
        <v>27</v>
      </c>
      <c r="C81" s="24">
        <v>10</v>
      </c>
      <c r="D81" s="23" t="s">
        <v>79</v>
      </c>
      <c r="E81" s="24" t="s">
        <v>98</v>
      </c>
      <c r="F81" s="24" t="s">
        <v>98</v>
      </c>
      <c r="G81" s="25"/>
      <c r="H81" s="25"/>
      <c r="I81" s="28">
        <v>23</v>
      </c>
      <c r="J81" s="38">
        <v>0.51</v>
      </c>
      <c r="N81" s="30"/>
      <c r="Q81" s="30"/>
      <c r="R81" s="30"/>
    </row>
    <row r="82" spans="1:19">
      <c r="A82" s="28" t="s">
        <v>45</v>
      </c>
      <c r="B82" s="37">
        <v>27</v>
      </c>
      <c r="C82" s="24">
        <v>11</v>
      </c>
      <c r="D82" s="23" t="s">
        <v>79</v>
      </c>
      <c r="E82" s="24" t="s">
        <v>98</v>
      </c>
      <c r="F82" s="24" t="s">
        <v>98</v>
      </c>
      <c r="G82" s="25"/>
      <c r="H82" s="25"/>
      <c r="I82" s="28">
        <v>49</v>
      </c>
      <c r="J82" s="38">
        <v>0.98</v>
      </c>
      <c r="N82" s="30"/>
      <c r="Q82" s="30"/>
      <c r="R82" s="30"/>
    </row>
    <row r="83" spans="1:19">
      <c r="A83" s="28" t="s">
        <v>45</v>
      </c>
      <c r="B83" s="37">
        <v>27</v>
      </c>
      <c r="C83" s="24">
        <v>12</v>
      </c>
      <c r="D83" s="23" t="s">
        <v>79</v>
      </c>
      <c r="E83" s="24" t="s">
        <v>98</v>
      </c>
      <c r="F83" s="24" t="s">
        <v>98</v>
      </c>
      <c r="G83" s="25"/>
      <c r="H83" s="25"/>
      <c r="J83" s="38"/>
      <c r="N83" s="30"/>
      <c r="Q83" s="30"/>
      <c r="R83" s="30"/>
    </row>
    <row r="84" spans="1:19">
      <c r="A84" s="28" t="s">
        <v>45</v>
      </c>
      <c r="B84" s="37">
        <v>27</v>
      </c>
      <c r="C84" s="24">
        <v>13</v>
      </c>
      <c r="D84" s="23" t="s">
        <v>79</v>
      </c>
      <c r="E84" s="24" t="s">
        <v>98</v>
      </c>
      <c r="F84" s="24" t="s">
        <v>98</v>
      </c>
      <c r="G84" s="25"/>
      <c r="H84" s="25"/>
      <c r="I84" s="28">
        <v>59</v>
      </c>
      <c r="J84" s="38">
        <v>0.93</v>
      </c>
      <c r="N84" s="30"/>
      <c r="Q84" s="30">
        <v>1</v>
      </c>
      <c r="R84" s="30"/>
      <c r="S84" s="28" t="s">
        <v>81</v>
      </c>
    </row>
    <row r="85" spans="1:19">
      <c r="A85" s="28" t="s">
        <v>45</v>
      </c>
      <c r="B85" s="37">
        <v>27</v>
      </c>
      <c r="C85" s="24">
        <v>14</v>
      </c>
      <c r="D85" s="23" t="s">
        <v>79</v>
      </c>
      <c r="E85" s="24" t="s">
        <v>98</v>
      </c>
      <c r="F85" s="24" t="s">
        <v>98</v>
      </c>
      <c r="G85" s="25"/>
      <c r="H85" s="25"/>
      <c r="I85" s="28">
        <v>35</v>
      </c>
      <c r="J85" s="38">
        <v>0.7</v>
      </c>
      <c r="N85" s="30"/>
      <c r="Q85" s="30"/>
      <c r="R85" s="30"/>
    </row>
    <row r="86" spans="1:19">
      <c r="A86" s="23" t="s">
        <v>45</v>
      </c>
      <c r="B86" s="23">
        <v>29</v>
      </c>
      <c r="C86" s="24">
        <v>8</v>
      </c>
      <c r="D86" s="23" t="s">
        <v>79</v>
      </c>
      <c r="E86" s="24">
        <v>149.5</v>
      </c>
      <c r="F86" s="24">
        <v>3.4</v>
      </c>
      <c r="G86" s="24">
        <v>0.8</v>
      </c>
      <c r="H86" s="24">
        <v>2</v>
      </c>
      <c r="I86" s="24"/>
      <c r="J86" s="35"/>
      <c r="K86" s="24"/>
      <c r="L86" s="24"/>
      <c r="M86" s="24"/>
      <c r="N86" s="24"/>
      <c r="O86" s="25"/>
      <c r="P86" s="25"/>
      <c r="Q86" s="24"/>
      <c r="R86" s="24" t="s">
        <v>111</v>
      </c>
      <c r="S86" s="25"/>
    </row>
    <row r="87" spans="1:19">
      <c r="A87" s="23" t="s">
        <v>45</v>
      </c>
      <c r="B87" s="23">
        <v>29</v>
      </c>
      <c r="C87" s="24">
        <v>9</v>
      </c>
      <c r="D87" s="23" t="s">
        <v>79</v>
      </c>
      <c r="E87" s="24">
        <v>109</v>
      </c>
      <c r="F87" s="24">
        <v>1.9</v>
      </c>
      <c r="G87" s="25"/>
      <c r="H87" s="24">
        <v>2</v>
      </c>
      <c r="I87" s="24"/>
      <c r="J87" s="35"/>
      <c r="K87" s="25"/>
      <c r="L87" s="24"/>
      <c r="M87" s="24"/>
      <c r="N87" s="27"/>
      <c r="O87" s="25"/>
      <c r="P87" s="25"/>
      <c r="Q87" s="24"/>
      <c r="R87" s="24" t="s">
        <v>111</v>
      </c>
      <c r="S87" s="25"/>
    </row>
    <row r="88" spans="1:19">
      <c r="A88" s="23" t="s">
        <v>45</v>
      </c>
      <c r="B88" s="23">
        <v>29</v>
      </c>
      <c r="C88" s="24">
        <v>10</v>
      </c>
      <c r="D88" s="23" t="s">
        <v>79</v>
      </c>
      <c r="E88" s="24">
        <v>50</v>
      </c>
      <c r="F88" s="24">
        <v>0.65</v>
      </c>
      <c r="G88" s="25"/>
      <c r="H88" s="24">
        <v>1</v>
      </c>
      <c r="I88" s="24"/>
      <c r="J88" s="35"/>
      <c r="K88" s="25"/>
      <c r="L88" s="24"/>
      <c r="M88" s="24"/>
      <c r="N88" s="24"/>
      <c r="O88" s="25"/>
      <c r="P88" s="25"/>
      <c r="Q88" s="24"/>
      <c r="R88" s="24" t="s">
        <v>111</v>
      </c>
      <c r="S88" s="25"/>
    </row>
    <row r="89" spans="1:19">
      <c r="A89" s="23" t="s">
        <v>45</v>
      </c>
      <c r="B89" s="23">
        <v>29</v>
      </c>
      <c r="C89" s="24">
        <v>11</v>
      </c>
      <c r="D89" s="23" t="s">
        <v>79</v>
      </c>
      <c r="E89" s="25"/>
      <c r="F89" s="25"/>
      <c r="G89" s="25"/>
      <c r="H89" s="25"/>
      <c r="I89" s="25"/>
      <c r="J89" s="34"/>
      <c r="K89" s="25"/>
      <c r="L89" s="25"/>
      <c r="M89" s="25"/>
      <c r="N89" s="24"/>
      <c r="O89" s="25"/>
      <c r="P89" s="25"/>
      <c r="Q89" s="24"/>
      <c r="R89" s="24" t="s">
        <v>83</v>
      </c>
      <c r="S89" s="25"/>
    </row>
    <row r="90" spans="1:19">
      <c r="A90" s="23" t="s">
        <v>45</v>
      </c>
      <c r="B90" s="23">
        <v>29</v>
      </c>
      <c r="C90" s="24">
        <v>12</v>
      </c>
      <c r="D90" s="23" t="s">
        <v>79</v>
      </c>
      <c r="E90" s="24">
        <v>51</v>
      </c>
      <c r="F90" s="24">
        <v>1</v>
      </c>
      <c r="G90" s="25"/>
      <c r="H90" s="24">
        <v>4</v>
      </c>
      <c r="I90" s="24">
        <v>55</v>
      </c>
      <c r="J90" s="35">
        <v>1.21</v>
      </c>
      <c r="K90" s="25"/>
      <c r="L90" s="24">
        <v>2</v>
      </c>
      <c r="M90" s="24"/>
      <c r="N90" s="24"/>
      <c r="O90" s="25"/>
      <c r="P90" s="25">
        <v>1</v>
      </c>
      <c r="Q90" s="24"/>
      <c r="R90" s="24"/>
      <c r="S90" s="25"/>
    </row>
    <row r="91" spans="1:19">
      <c r="A91" s="23" t="s">
        <v>45</v>
      </c>
      <c r="B91" s="23">
        <v>29</v>
      </c>
      <c r="C91" s="24">
        <v>13</v>
      </c>
      <c r="D91" s="23" t="s">
        <v>79</v>
      </c>
      <c r="E91" s="24">
        <v>108</v>
      </c>
      <c r="F91" s="24">
        <v>1.8</v>
      </c>
      <c r="G91" s="25"/>
      <c r="H91" s="24">
        <v>1</v>
      </c>
      <c r="I91" s="24">
        <v>203</v>
      </c>
      <c r="J91" s="35">
        <v>3.9</v>
      </c>
      <c r="K91" s="25">
        <v>1.93</v>
      </c>
      <c r="L91" s="24"/>
      <c r="M91" s="24">
        <v>1</v>
      </c>
      <c r="N91" s="24"/>
      <c r="O91" s="25"/>
      <c r="P91" s="25"/>
      <c r="Q91" s="24">
        <v>1</v>
      </c>
      <c r="R91" s="24"/>
      <c r="S91" s="25"/>
    </row>
    <row r="92" spans="1:19">
      <c r="A92" s="23" t="s">
        <v>45</v>
      </c>
      <c r="B92" s="23">
        <v>29</v>
      </c>
      <c r="C92" s="24">
        <v>14</v>
      </c>
      <c r="D92" s="23" t="s">
        <v>79</v>
      </c>
      <c r="E92" s="24">
        <v>67</v>
      </c>
      <c r="F92" s="24">
        <v>0.95</v>
      </c>
      <c r="G92" s="25"/>
      <c r="H92" s="24">
        <v>0</v>
      </c>
      <c r="I92" s="24">
        <v>123</v>
      </c>
      <c r="J92" s="35">
        <v>1.98</v>
      </c>
      <c r="K92" s="25"/>
      <c r="L92" s="24"/>
      <c r="M92" s="24"/>
      <c r="N92" s="24"/>
      <c r="O92" s="25"/>
      <c r="P92" s="25"/>
      <c r="Q92" s="24"/>
      <c r="R92" s="24"/>
      <c r="S92" s="25"/>
    </row>
    <row r="93" spans="1:19">
      <c r="A93" s="23" t="s">
        <v>41</v>
      </c>
      <c r="B93" s="23">
        <v>30</v>
      </c>
      <c r="C93" s="24">
        <v>8</v>
      </c>
      <c r="D93" s="23" t="s">
        <v>79</v>
      </c>
      <c r="E93" s="24">
        <v>154</v>
      </c>
      <c r="F93" s="24">
        <v>4.2</v>
      </c>
      <c r="G93" s="24">
        <v>0.9</v>
      </c>
      <c r="H93" s="24">
        <v>2</v>
      </c>
      <c r="I93" s="24">
        <v>206</v>
      </c>
      <c r="J93" s="35">
        <v>5.9</v>
      </c>
      <c r="K93" s="24">
        <v>2.0499999999999998</v>
      </c>
      <c r="L93" s="24">
        <v>1</v>
      </c>
      <c r="M93" s="24">
        <v>2</v>
      </c>
      <c r="N93" s="24"/>
      <c r="O93" s="25"/>
      <c r="P93" s="25"/>
      <c r="Q93" s="24">
        <v>1</v>
      </c>
      <c r="R93" s="24"/>
      <c r="S93" s="25"/>
    </row>
    <row r="94" spans="1:19">
      <c r="A94" s="23" t="s">
        <v>41</v>
      </c>
      <c r="B94" s="23">
        <v>30</v>
      </c>
      <c r="C94" s="24">
        <v>9</v>
      </c>
      <c r="D94" s="23" t="s">
        <v>79</v>
      </c>
      <c r="E94" s="24">
        <v>128</v>
      </c>
      <c r="F94" s="24">
        <v>3.5</v>
      </c>
      <c r="G94" s="25"/>
      <c r="H94" s="24">
        <v>2</v>
      </c>
      <c r="I94" s="24">
        <v>196</v>
      </c>
      <c r="J94" s="35">
        <v>5.0999999999999996</v>
      </c>
      <c r="K94" s="25">
        <v>1.69</v>
      </c>
      <c r="L94" s="24">
        <v>1</v>
      </c>
      <c r="M94" s="24"/>
      <c r="N94" s="24"/>
      <c r="O94" s="25"/>
      <c r="P94" s="25"/>
      <c r="Q94" s="24"/>
      <c r="R94" s="24"/>
      <c r="S94" s="25"/>
    </row>
    <row r="95" spans="1:19">
      <c r="A95" s="23" t="s">
        <v>41</v>
      </c>
      <c r="B95" s="23">
        <v>30</v>
      </c>
      <c r="C95" s="24">
        <v>10</v>
      </c>
      <c r="D95" s="23" t="s">
        <v>79</v>
      </c>
      <c r="E95" s="24">
        <v>72</v>
      </c>
      <c r="F95" s="24">
        <v>1.8</v>
      </c>
      <c r="G95" s="25"/>
      <c r="H95" s="24">
        <v>3</v>
      </c>
      <c r="I95" s="24">
        <v>103</v>
      </c>
      <c r="J95" s="35">
        <v>3.86</v>
      </c>
      <c r="K95" s="25"/>
      <c r="L95" s="24"/>
      <c r="M95" s="24"/>
      <c r="N95" s="24"/>
      <c r="O95" s="25"/>
      <c r="P95" s="25">
        <v>1</v>
      </c>
      <c r="Q95" s="24"/>
      <c r="R95" s="24"/>
      <c r="S95" s="25" t="s">
        <v>82</v>
      </c>
    </row>
    <row r="96" spans="1:19">
      <c r="A96" s="23" t="s">
        <v>41</v>
      </c>
      <c r="B96" s="23">
        <v>30</v>
      </c>
      <c r="C96" s="24">
        <v>11</v>
      </c>
      <c r="D96" s="23" t="s">
        <v>79</v>
      </c>
      <c r="E96" s="24">
        <v>155</v>
      </c>
      <c r="F96" s="24">
        <v>5.2</v>
      </c>
      <c r="G96" s="24">
        <v>1.4</v>
      </c>
      <c r="H96" s="24">
        <v>4</v>
      </c>
      <c r="I96" s="24">
        <v>181</v>
      </c>
      <c r="J96" s="35">
        <v>6.06</v>
      </c>
      <c r="K96" s="24">
        <v>1.9</v>
      </c>
      <c r="L96" s="24">
        <v>2</v>
      </c>
      <c r="M96" s="24"/>
      <c r="N96" s="24"/>
      <c r="O96" s="25"/>
      <c r="P96" s="25">
        <v>1</v>
      </c>
      <c r="Q96" s="24"/>
      <c r="R96" s="24"/>
      <c r="S96" s="25" t="s">
        <v>82</v>
      </c>
    </row>
    <row r="97" spans="1:19">
      <c r="A97" s="23" t="s">
        <v>41</v>
      </c>
      <c r="B97" s="23">
        <v>30</v>
      </c>
      <c r="C97" s="24">
        <v>12</v>
      </c>
      <c r="D97" s="23" t="s">
        <v>79</v>
      </c>
      <c r="E97" s="24">
        <v>101</v>
      </c>
      <c r="F97" s="24">
        <v>3.1</v>
      </c>
      <c r="G97" s="25"/>
      <c r="H97" s="24">
        <v>4</v>
      </c>
      <c r="I97" s="24">
        <v>122</v>
      </c>
      <c r="J97" s="35">
        <v>5.32</v>
      </c>
      <c r="K97" s="25"/>
      <c r="L97" s="24">
        <v>1</v>
      </c>
      <c r="M97" s="24"/>
      <c r="N97" s="24"/>
      <c r="O97" s="25"/>
      <c r="P97" s="25">
        <v>1</v>
      </c>
      <c r="Q97" s="24"/>
      <c r="R97" s="24"/>
      <c r="S97" s="25" t="s">
        <v>82</v>
      </c>
    </row>
    <row r="98" spans="1:19">
      <c r="A98" s="23" t="s">
        <v>41</v>
      </c>
      <c r="B98" s="23">
        <v>30</v>
      </c>
      <c r="C98" s="24">
        <v>13</v>
      </c>
      <c r="D98" s="23" t="s">
        <v>79</v>
      </c>
      <c r="E98" s="24">
        <v>77</v>
      </c>
      <c r="F98" s="24">
        <v>1.9</v>
      </c>
      <c r="G98" s="25"/>
      <c r="H98" s="24">
        <v>2</v>
      </c>
      <c r="I98" s="24">
        <v>113</v>
      </c>
      <c r="J98" s="35">
        <v>2.69</v>
      </c>
      <c r="K98" s="25"/>
      <c r="L98" s="24"/>
      <c r="M98" s="24"/>
      <c r="N98" s="24"/>
      <c r="O98" s="25"/>
      <c r="P98" s="25">
        <v>1</v>
      </c>
      <c r="Q98" s="24"/>
      <c r="R98" s="24"/>
      <c r="S98" s="25"/>
    </row>
    <row r="99" spans="1:19">
      <c r="A99" s="23" t="s">
        <v>41</v>
      </c>
      <c r="B99" s="23">
        <v>30</v>
      </c>
      <c r="C99" s="24">
        <v>14</v>
      </c>
      <c r="D99" s="23" t="s">
        <v>79</v>
      </c>
      <c r="E99" s="25"/>
      <c r="F99" s="25"/>
      <c r="G99" s="25"/>
      <c r="H99" s="25"/>
      <c r="I99" s="25"/>
      <c r="J99" s="34"/>
      <c r="K99" s="25"/>
      <c r="L99" s="25"/>
      <c r="M99" s="25"/>
      <c r="N99" s="24"/>
      <c r="O99" s="25"/>
      <c r="P99" s="25" t="s">
        <v>83</v>
      </c>
      <c r="Q99" s="24"/>
      <c r="R99" s="24"/>
      <c r="S99" s="25"/>
    </row>
    <row r="100" spans="1:19">
      <c r="A100" s="23" t="s">
        <v>41</v>
      </c>
      <c r="B100" s="23">
        <v>31</v>
      </c>
      <c r="C100" s="24">
        <v>8</v>
      </c>
      <c r="D100" s="23" t="s">
        <v>79</v>
      </c>
      <c r="E100" s="24">
        <v>90</v>
      </c>
      <c r="F100" s="24">
        <v>3.4</v>
      </c>
      <c r="G100" s="25"/>
      <c r="H100" s="24">
        <v>2</v>
      </c>
      <c r="I100" s="24">
        <v>140</v>
      </c>
      <c r="J100" s="35">
        <v>6.29</v>
      </c>
      <c r="K100" s="25">
        <v>0.82</v>
      </c>
      <c r="L100" s="24">
        <v>2</v>
      </c>
      <c r="M100" s="24"/>
      <c r="N100" s="24"/>
      <c r="O100" s="25"/>
      <c r="P100" s="25">
        <v>1</v>
      </c>
      <c r="Q100" s="24"/>
      <c r="R100" s="24"/>
      <c r="S100" s="25"/>
    </row>
    <row r="101" spans="1:19">
      <c r="A101" s="23" t="s">
        <v>41</v>
      </c>
      <c r="B101" s="23">
        <v>31</v>
      </c>
      <c r="C101" s="24">
        <v>9</v>
      </c>
      <c r="D101" s="23" t="s">
        <v>79</v>
      </c>
      <c r="E101" s="24">
        <v>139</v>
      </c>
      <c r="F101" s="24">
        <v>3.6</v>
      </c>
      <c r="G101" s="24">
        <v>1</v>
      </c>
      <c r="H101" s="24">
        <v>2</v>
      </c>
      <c r="I101" s="24">
        <v>199</v>
      </c>
      <c r="J101" s="35">
        <v>6.71</v>
      </c>
      <c r="K101" s="24">
        <v>1.78</v>
      </c>
      <c r="L101" s="24">
        <v>2</v>
      </c>
      <c r="M101" s="24"/>
      <c r="N101" s="24"/>
      <c r="O101" s="25"/>
      <c r="P101" s="25">
        <v>1</v>
      </c>
      <c r="Q101" s="24"/>
      <c r="R101" s="24"/>
      <c r="S101" s="25"/>
    </row>
    <row r="102" spans="1:19">
      <c r="A102" s="23" t="s">
        <v>41</v>
      </c>
      <c r="B102" s="23">
        <v>31</v>
      </c>
      <c r="C102" s="24">
        <v>10</v>
      </c>
      <c r="D102" s="23" t="s">
        <v>79</v>
      </c>
      <c r="E102" s="24">
        <v>141</v>
      </c>
      <c r="F102" s="24">
        <v>4.2</v>
      </c>
      <c r="G102" s="25"/>
      <c r="H102" s="24">
        <v>1</v>
      </c>
      <c r="I102" s="24">
        <v>198</v>
      </c>
      <c r="J102" s="35">
        <v>6.68</v>
      </c>
      <c r="K102" s="25">
        <v>2.16</v>
      </c>
      <c r="L102" s="24">
        <v>1</v>
      </c>
      <c r="M102" s="24"/>
      <c r="N102" s="24"/>
      <c r="O102" s="25"/>
      <c r="P102" s="25">
        <v>1</v>
      </c>
      <c r="Q102" s="24"/>
      <c r="R102" s="24"/>
      <c r="S102" s="25"/>
    </row>
    <row r="103" spans="1:19">
      <c r="A103" s="23" t="s">
        <v>41</v>
      </c>
      <c r="B103" s="23">
        <v>31</v>
      </c>
      <c r="C103" s="24">
        <v>11</v>
      </c>
      <c r="D103" s="23" t="s">
        <v>79</v>
      </c>
      <c r="E103" s="24">
        <v>112</v>
      </c>
      <c r="F103" s="24">
        <v>3.7</v>
      </c>
      <c r="G103" s="25"/>
      <c r="H103" s="24">
        <v>2</v>
      </c>
      <c r="I103" s="24">
        <v>134</v>
      </c>
      <c r="J103" s="35">
        <v>5.38</v>
      </c>
      <c r="K103" s="25">
        <v>0.81</v>
      </c>
      <c r="L103" s="24"/>
      <c r="M103" s="24"/>
      <c r="N103" s="24"/>
      <c r="O103" s="25"/>
      <c r="P103" s="25">
        <v>1</v>
      </c>
      <c r="Q103" s="24"/>
      <c r="R103" s="24"/>
      <c r="S103" s="25"/>
    </row>
    <row r="104" spans="1:19">
      <c r="A104" s="23" t="s">
        <v>41</v>
      </c>
      <c r="B104" s="23">
        <v>31</v>
      </c>
      <c r="C104" s="24">
        <v>12</v>
      </c>
      <c r="D104" s="23" t="s">
        <v>79</v>
      </c>
      <c r="E104" s="24">
        <v>132</v>
      </c>
      <c r="F104" s="24">
        <v>3.5</v>
      </c>
      <c r="G104" s="25"/>
      <c r="H104" s="24">
        <v>2</v>
      </c>
      <c r="I104" s="24">
        <v>176</v>
      </c>
      <c r="J104" s="35">
        <v>5.6</v>
      </c>
      <c r="K104" s="25">
        <v>1.42</v>
      </c>
      <c r="L104" s="24">
        <v>1</v>
      </c>
      <c r="M104" s="24"/>
      <c r="N104" s="24"/>
      <c r="O104" s="25"/>
      <c r="P104" s="25">
        <v>1</v>
      </c>
      <c r="Q104" s="24"/>
      <c r="R104" s="24"/>
      <c r="S104" s="25"/>
    </row>
    <row r="105" spans="1:19">
      <c r="A105" s="23" t="s">
        <v>41</v>
      </c>
      <c r="B105" s="23">
        <v>31</v>
      </c>
      <c r="C105" s="24">
        <v>13</v>
      </c>
      <c r="D105" s="23" t="s">
        <v>79</v>
      </c>
      <c r="E105" s="24">
        <v>119</v>
      </c>
      <c r="F105" s="24">
        <v>3.5</v>
      </c>
      <c r="G105" s="25"/>
      <c r="H105" s="24">
        <v>3</v>
      </c>
      <c r="I105" s="24">
        <v>145</v>
      </c>
      <c r="J105" s="35">
        <v>6.19</v>
      </c>
      <c r="K105" s="25">
        <v>0.79</v>
      </c>
      <c r="L105" s="24">
        <v>3</v>
      </c>
      <c r="M105" s="24"/>
      <c r="N105" s="24"/>
      <c r="O105" s="25"/>
      <c r="P105" s="25">
        <v>1</v>
      </c>
      <c r="Q105" s="24"/>
      <c r="R105" s="24"/>
      <c r="S105" s="25"/>
    </row>
    <row r="106" spans="1:19">
      <c r="A106" s="23" t="s">
        <v>41</v>
      </c>
      <c r="B106" s="23">
        <v>31</v>
      </c>
      <c r="C106" s="24">
        <v>14</v>
      </c>
      <c r="D106" s="23" t="s">
        <v>79</v>
      </c>
      <c r="E106" s="24">
        <v>130</v>
      </c>
      <c r="F106" s="24">
        <v>3.9</v>
      </c>
      <c r="G106" s="25"/>
      <c r="H106" s="24">
        <v>1</v>
      </c>
      <c r="I106" s="24">
        <v>206</v>
      </c>
      <c r="J106" s="35">
        <v>5.7</v>
      </c>
      <c r="K106" s="25">
        <v>2.06</v>
      </c>
      <c r="L106" s="24">
        <v>1</v>
      </c>
      <c r="M106" s="24"/>
      <c r="N106" s="24"/>
      <c r="O106" s="25"/>
      <c r="P106" s="25">
        <v>1</v>
      </c>
      <c r="Q106" s="24">
        <v>1</v>
      </c>
      <c r="R106" s="24"/>
      <c r="S106" s="25"/>
    </row>
    <row r="107" spans="1:19">
      <c r="A107" s="23" t="s">
        <v>41</v>
      </c>
      <c r="B107" s="23">
        <v>34</v>
      </c>
      <c r="C107" s="24">
        <v>8</v>
      </c>
      <c r="D107" s="23" t="s">
        <v>79</v>
      </c>
      <c r="E107" s="24">
        <v>49</v>
      </c>
      <c r="F107" s="24">
        <v>1.3</v>
      </c>
      <c r="G107" s="25"/>
      <c r="H107" s="24">
        <v>1</v>
      </c>
      <c r="I107" s="24">
        <v>68</v>
      </c>
      <c r="J107" s="35">
        <v>1.82</v>
      </c>
      <c r="K107" s="25"/>
      <c r="L107" s="24">
        <v>1</v>
      </c>
      <c r="M107" s="24"/>
      <c r="N107" s="24"/>
      <c r="O107" s="25"/>
      <c r="P107" s="25"/>
      <c r="Q107" s="24">
        <v>1</v>
      </c>
      <c r="R107" s="24"/>
      <c r="S107" s="25"/>
    </row>
    <row r="108" spans="1:19">
      <c r="A108" s="23" t="s">
        <v>41</v>
      </c>
      <c r="B108" s="23">
        <v>34</v>
      </c>
      <c r="C108" s="24">
        <v>9</v>
      </c>
      <c r="D108" s="23" t="s">
        <v>79</v>
      </c>
      <c r="E108" s="24">
        <v>27</v>
      </c>
      <c r="F108" s="24">
        <v>0.6</v>
      </c>
      <c r="G108" s="25"/>
      <c r="H108" s="24">
        <v>0</v>
      </c>
      <c r="I108" s="24">
        <v>42</v>
      </c>
      <c r="J108" s="35">
        <v>0.88</v>
      </c>
      <c r="K108" s="25"/>
      <c r="L108" s="24"/>
      <c r="M108" s="24"/>
      <c r="N108" s="24"/>
      <c r="O108" s="25"/>
      <c r="P108" s="25"/>
      <c r="Q108" s="24"/>
      <c r="R108" s="24"/>
      <c r="S108" s="25"/>
    </row>
    <row r="109" spans="1:19">
      <c r="A109" s="23" t="s">
        <v>41</v>
      </c>
      <c r="B109" s="23">
        <v>34</v>
      </c>
      <c r="C109" s="24">
        <v>10</v>
      </c>
      <c r="D109" s="23" t="s">
        <v>79</v>
      </c>
      <c r="E109" s="24">
        <v>24</v>
      </c>
      <c r="F109" s="24">
        <v>0.7</v>
      </c>
      <c r="G109" s="25"/>
      <c r="H109" s="24">
        <v>0</v>
      </c>
      <c r="I109" s="24">
        <v>29</v>
      </c>
      <c r="J109" s="35">
        <v>0.71</v>
      </c>
      <c r="K109" s="25"/>
      <c r="L109" s="24">
        <v>1</v>
      </c>
      <c r="M109" s="24"/>
      <c r="N109" s="24"/>
      <c r="O109" s="25"/>
      <c r="P109" s="25"/>
      <c r="Q109" s="24"/>
      <c r="R109" s="24"/>
      <c r="S109" s="25"/>
    </row>
    <row r="110" spans="1:19">
      <c r="A110" s="23" t="s">
        <v>41</v>
      </c>
      <c r="B110" s="23">
        <v>34</v>
      </c>
      <c r="C110" s="24">
        <v>11</v>
      </c>
      <c r="D110" s="23" t="s">
        <v>79</v>
      </c>
      <c r="E110" s="25"/>
      <c r="F110" s="25"/>
      <c r="G110" s="25"/>
      <c r="H110" s="25"/>
      <c r="I110" s="25"/>
      <c r="J110" s="34"/>
      <c r="K110" s="25"/>
      <c r="L110" s="25"/>
      <c r="M110" s="25"/>
      <c r="N110" s="24"/>
      <c r="O110" s="25"/>
      <c r="P110" s="25"/>
      <c r="Q110" s="24"/>
      <c r="R110" s="24" t="s">
        <v>83</v>
      </c>
      <c r="S110" s="25"/>
    </row>
    <row r="111" spans="1:19">
      <c r="A111" s="23" t="s">
        <v>41</v>
      </c>
      <c r="B111" s="23">
        <v>34</v>
      </c>
      <c r="C111" s="24">
        <v>12</v>
      </c>
      <c r="D111" s="23" t="s">
        <v>79</v>
      </c>
      <c r="E111" s="24">
        <v>12</v>
      </c>
      <c r="F111" s="24">
        <v>0.2</v>
      </c>
      <c r="G111" s="25"/>
      <c r="H111" s="24">
        <v>0</v>
      </c>
      <c r="I111" s="24">
        <v>25</v>
      </c>
      <c r="J111" s="35">
        <v>0.39</v>
      </c>
      <c r="K111" s="25"/>
      <c r="L111" s="24">
        <v>1</v>
      </c>
      <c r="M111" s="24"/>
      <c r="N111" s="24"/>
      <c r="O111" s="25"/>
      <c r="P111" s="25"/>
      <c r="Q111" s="24"/>
      <c r="R111" s="24"/>
      <c r="S111" s="25"/>
    </row>
    <row r="112" spans="1:19">
      <c r="A112" s="23" t="s">
        <v>41</v>
      </c>
      <c r="B112" s="23">
        <v>34</v>
      </c>
      <c r="C112" s="24">
        <v>13</v>
      </c>
      <c r="D112" s="23" t="s">
        <v>79</v>
      </c>
      <c r="E112" s="24">
        <v>44</v>
      </c>
      <c r="F112" s="24">
        <v>1.3</v>
      </c>
      <c r="G112" s="25"/>
      <c r="H112" s="24">
        <v>3</v>
      </c>
      <c r="I112" s="24">
        <v>57</v>
      </c>
      <c r="J112" s="35">
        <v>1.5</v>
      </c>
      <c r="K112" s="25"/>
      <c r="L112" s="24">
        <v>1</v>
      </c>
      <c r="M112" s="24"/>
      <c r="N112" s="24"/>
      <c r="O112" s="25"/>
      <c r="P112" s="25"/>
      <c r="Q112" s="24"/>
      <c r="R112" s="24"/>
      <c r="S112" s="25"/>
    </row>
    <row r="113" spans="1:19">
      <c r="A113" s="23" t="s">
        <v>41</v>
      </c>
      <c r="B113" s="23">
        <v>34</v>
      </c>
      <c r="C113" s="24">
        <v>14</v>
      </c>
      <c r="D113" s="23" t="s">
        <v>79</v>
      </c>
      <c r="E113" s="23"/>
      <c r="F113" s="25"/>
      <c r="G113" s="25"/>
      <c r="H113" s="25"/>
      <c r="I113" s="23"/>
      <c r="J113" s="34"/>
      <c r="K113" s="25"/>
      <c r="L113" s="25"/>
      <c r="M113" s="25"/>
      <c r="N113" s="24"/>
      <c r="O113" s="25"/>
      <c r="P113" s="25"/>
      <c r="Q113" s="24"/>
      <c r="R113" s="24" t="s">
        <v>83</v>
      </c>
      <c r="S113" s="25"/>
    </row>
    <row r="114" spans="1:19">
      <c r="A114" s="23" t="s">
        <v>41</v>
      </c>
      <c r="B114" s="23">
        <v>35</v>
      </c>
      <c r="C114" s="24">
        <v>8</v>
      </c>
      <c r="D114" s="23" t="s">
        <v>79</v>
      </c>
      <c r="E114" s="24">
        <v>50</v>
      </c>
      <c r="F114" s="24">
        <v>0.8</v>
      </c>
      <c r="G114" s="25"/>
      <c r="H114" s="24">
        <v>1</v>
      </c>
      <c r="I114" s="24">
        <v>64</v>
      </c>
      <c r="J114" s="35">
        <v>1.1100000000000001</v>
      </c>
      <c r="K114" s="25"/>
      <c r="L114" s="24">
        <v>1</v>
      </c>
      <c r="M114" s="24"/>
      <c r="N114" s="24"/>
      <c r="O114" s="25"/>
      <c r="P114" s="25"/>
      <c r="Q114" s="24"/>
      <c r="R114" s="24"/>
      <c r="S114" s="25"/>
    </row>
    <row r="115" spans="1:19">
      <c r="A115" s="23" t="s">
        <v>41</v>
      </c>
      <c r="B115" s="23">
        <v>35</v>
      </c>
      <c r="C115" s="24">
        <v>9</v>
      </c>
      <c r="D115" s="23" t="s">
        <v>79</v>
      </c>
      <c r="E115" s="24">
        <v>120</v>
      </c>
      <c r="F115" s="24">
        <v>3.1</v>
      </c>
      <c r="G115" s="25"/>
      <c r="H115" s="24">
        <v>2</v>
      </c>
      <c r="I115" s="24">
        <v>164</v>
      </c>
      <c r="J115" s="35">
        <v>4.6100000000000003</v>
      </c>
      <c r="K115" s="25">
        <v>1.68</v>
      </c>
      <c r="L115" s="24">
        <v>1</v>
      </c>
      <c r="M115" s="24"/>
      <c r="N115" s="24"/>
      <c r="O115" s="25"/>
      <c r="P115" s="25"/>
      <c r="Q115" s="24">
        <v>1</v>
      </c>
      <c r="R115" s="24"/>
      <c r="S115" s="25"/>
    </row>
    <row r="116" spans="1:19">
      <c r="A116" s="23" t="s">
        <v>41</v>
      </c>
      <c r="B116" s="23">
        <v>35</v>
      </c>
      <c r="C116" s="24">
        <v>10</v>
      </c>
      <c r="D116" s="23" t="s">
        <v>79</v>
      </c>
      <c r="E116" s="24">
        <v>81</v>
      </c>
      <c r="F116" s="24">
        <v>2</v>
      </c>
      <c r="G116" s="25"/>
      <c r="H116" s="24">
        <v>4</v>
      </c>
      <c r="I116" s="24">
        <v>117</v>
      </c>
      <c r="J116" s="35">
        <v>3.06</v>
      </c>
      <c r="K116" s="25"/>
      <c r="L116" s="24">
        <v>2</v>
      </c>
      <c r="M116" s="24"/>
      <c r="N116" s="24"/>
      <c r="O116" s="25"/>
      <c r="P116" s="25">
        <v>1</v>
      </c>
      <c r="Q116" s="24"/>
      <c r="R116" s="24"/>
      <c r="S116" s="25"/>
    </row>
    <row r="117" spans="1:19">
      <c r="A117" s="23" t="s">
        <v>41</v>
      </c>
      <c r="B117" s="23">
        <v>35</v>
      </c>
      <c r="C117" s="24">
        <v>11</v>
      </c>
      <c r="D117" s="23" t="s">
        <v>79</v>
      </c>
      <c r="E117" s="24">
        <v>110</v>
      </c>
      <c r="F117" s="24">
        <v>1.7</v>
      </c>
      <c r="G117" s="25"/>
      <c r="H117" s="24">
        <v>1</v>
      </c>
      <c r="I117" s="24">
        <v>155</v>
      </c>
      <c r="J117" s="35">
        <v>2.83</v>
      </c>
      <c r="K117" s="25">
        <v>1.1599999999999999</v>
      </c>
      <c r="L117" s="24">
        <v>1</v>
      </c>
      <c r="M117" s="24"/>
      <c r="N117" s="24"/>
      <c r="O117" s="25"/>
      <c r="P117" s="25"/>
      <c r="Q117" s="24"/>
      <c r="R117" s="24"/>
      <c r="S117" s="25"/>
    </row>
    <row r="118" spans="1:19">
      <c r="A118" s="23" t="s">
        <v>41</v>
      </c>
      <c r="B118" s="23">
        <v>35</v>
      </c>
      <c r="C118" s="24">
        <v>12</v>
      </c>
      <c r="D118" s="23" t="s">
        <v>79</v>
      </c>
      <c r="E118" s="24">
        <v>113</v>
      </c>
      <c r="F118" s="24">
        <v>2.4</v>
      </c>
      <c r="G118" s="25"/>
      <c r="H118" s="24">
        <v>4</v>
      </c>
      <c r="I118" s="24">
        <v>124</v>
      </c>
      <c r="J118" s="35">
        <v>2.9</v>
      </c>
      <c r="K118" s="25"/>
      <c r="L118" s="24">
        <v>4</v>
      </c>
      <c r="M118" s="24"/>
      <c r="N118" s="24"/>
      <c r="O118" s="25"/>
      <c r="P118" s="25">
        <v>1</v>
      </c>
      <c r="Q118" s="24"/>
      <c r="R118" s="24"/>
      <c r="S118" s="25"/>
    </row>
    <row r="119" spans="1:19">
      <c r="A119" s="23" t="s">
        <v>41</v>
      </c>
      <c r="B119" s="23">
        <v>35</v>
      </c>
      <c r="C119" s="24">
        <v>13</v>
      </c>
      <c r="D119" s="23" t="s">
        <v>79</v>
      </c>
      <c r="E119" s="24">
        <v>70</v>
      </c>
      <c r="F119" s="24">
        <v>1.6</v>
      </c>
      <c r="G119" s="25"/>
      <c r="H119" s="24">
        <v>2</v>
      </c>
      <c r="I119" s="24">
        <v>112</v>
      </c>
      <c r="J119" s="35">
        <v>2.62</v>
      </c>
      <c r="K119" s="25"/>
      <c r="L119" s="24">
        <v>2</v>
      </c>
      <c r="M119" s="24"/>
      <c r="N119" s="24"/>
      <c r="O119" s="25"/>
      <c r="P119" s="25"/>
      <c r="Q119" s="24"/>
      <c r="R119" s="24"/>
      <c r="S119" s="25"/>
    </row>
    <row r="120" spans="1:19">
      <c r="A120" s="23" t="s">
        <v>41</v>
      </c>
      <c r="B120" s="23">
        <v>35</v>
      </c>
      <c r="C120" s="24">
        <v>14</v>
      </c>
      <c r="D120" s="23" t="s">
        <v>79</v>
      </c>
      <c r="E120" s="24">
        <v>61</v>
      </c>
      <c r="F120" s="24">
        <v>0.6</v>
      </c>
      <c r="G120" s="25"/>
      <c r="H120" s="24">
        <v>1</v>
      </c>
      <c r="I120" s="24">
        <v>76</v>
      </c>
      <c r="J120" s="35">
        <v>1.42</v>
      </c>
      <c r="K120" s="25"/>
      <c r="L120" s="24">
        <v>1</v>
      </c>
      <c r="M120" s="24"/>
      <c r="N120" s="24"/>
      <c r="O120" s="25"/>
      <c r="P120" s="25"/>
      <c r="Q120" s="24"/>
      <c r="R120" s="24"/>
      <c r="S120" s="25"/>
    </row>
    <row r="121" spans="1:19">
      <c r="A121" s="23" t="s">
        <v>41</v>
      </c>
      <c r="B121" s="23">
        <v>37</v>
      </c>
      <c r="C121" s="24">
        <v>8</v>
      </c>
      <c r="D121" s="23" t="s">
        <v>79</v>
      </c>
      <c r="E121" s="24">
        <v>30</v>
      </c>
      <c r="F121" s="24">
        <v>0.5</v>
      </c>
      <c r="G121" s="25"/>
      <c r="H121" s="24">
        <v>1</v>
      </c>
      <c r="I121" s="24">
        <v>36</v>
      </c>
      <c r="J121" s="35">
        <v>0.66</v>
      </c>
      <c r="K121" s="25"/>
      <c r="L121" s="24">
        <v>1</v>
      </c>
      <c r="M121" s="24"/>
      <c r="N121" s="24"/>
      <c r="O121" s="25"/>
      <c r="P121" s="25"/>
      <c r="Q121" s="24"/>
      <c r="R121" s="24"/>
      <c r="S121" s="25"/>
    </row>
    <row r="122" spans="1:19">
      <c r="A122" s="23" t="s">
        <v>41</v>
      </c>
      <c r="B122" s="23">
        <v>37</v>
      </c>
      <c r="C122" s="24">
        <v>9</v>
      </c>
      <c r="D122" s="23" t="s">
        <v>79</v>
      </c>
      <c r="E122" s="24">
        <v>53</v>
      </c>
      <c r="F122" s="24">
        <v>0.8</v>
      </c>
      <c r="G122" s="25"/>
      <c r="H122" s="24">
        <v>5</v>
      </c>
      <c r="I122" s="24"/>
      <c r="J122" s="35"/>
      <c r="K122" s="25"/>
      <c r="L122" s="24"/>
      <c r="M122" s="24"/>
      <c r="N122" s="24"/>
      <c r="O122" s="25"/>
      <c r="P122" s="25"/>
      <c r="Q122" s="24"/>
      <c r="R122" s="28" t="s">
        <v>83</v>
      </c>
      <c r="S122" s="25" t="s">
        <v>119</v>
      </c>
    </row>
    <row r="123" spans="1:19">
      <c r="A123" s="23" t="s">
        <v>41</v>
      </c>
      <c r="B123" s="23">
        <v>37</v>
      </c>
      <c r="C123" s="24">
        <v>10</v>
      </c>
      <c r="D123" s="23" t="s">
        <v>79</v>
      </c>
      <c r="E123" s="24">
        <v>80</v>
      </c>
      <c r="F123" s="24">
        <v>1</v>
      </c>
      <c r="G123" s="25"/>
      <c r="H123" s="24">
        <v>3</v>
      </c>
      <c r="I123" s="24">
        <v>106</v>
      </c>
      <c r="J123" s="35">
        <v>1.34</v>
      </c>
      <c r="K123" s="25"/>
      <c r="L123" s="24">
        <v>1</v>
      </c>
      <c r="M123" s="24"/>
      <c r="N123" s="24"/>
      <c r="O123" s="25"/>
      <c r="P123" s="25"/>
      <c r="Q123" s="24">
        <v>1</v>
      </c>
      <c r="R123" s="24"/>
      <c r="S123" s="25"/>
    </row>
    <row r="124" spans="1:19">
      <c r="A124" s="23" t="s">
        <v>41</v>
      </c>
      <c r="B124" s="23">
        <v>37</v>
      </c>
      <c r="C124" s="24">
        <v>11</v>
      </c>
      <c r="D124" s="23" t="s">
        <v>79</v>
      </c>
      <c r="E124" s="24">
        <v>32</v>
      </c>
      <c r="F124" s="24">
        <v>0.4</v>
      </c>
      <c r="G124" s="25"/>
      <c r="H124" s="24">
        <v>4</v>
      </c>
      <c r="I124" s="24">
        <v>39</v>
      </c>
      <c r="J124" s="35">
        <v>0.56000000000000005</v>
      </c>
      <c r="K124" s="25"/>
      <c r="L124" s="24"/>
      <c r="M124" s="24"/>
      <c r="N124" s="24"/>
      <c r="O124" s="25"/>
      <c r="P124" s="25"/>
      <c r="Q124" s="24"/>
      <c r="R124" s="24"/>
      <c r="S124" s="25"/>
    </row>
    <row r="125" spans="1:19">
      <c r="A125" s="23" t="s">
        <v>41</v>
      </c>
      <c r="B125" s="23">
        <v>37</v>
      </c>
      <c r="C125" s="24">
        <v>12</v>
      </c>
      <c r="D125" s="23" t="s">
        <v>79</v>
      </c>
      <c r="E125" s="25"/>
      <c r="F125" s="25"/>
      <c r="G125" s="25"/>
      <c r="H125" s="25"/>
      <c r="I125" s="25"/>
      <c r="J125" s="34"/>
      <c r="K125" s="25"/>
      <c r="L125" s="25"/>
      <c r="M125" s="25"/>
      <c r="N125" s="24"/>
      <c r="O125" s="25"/>
      <c r="P125" s="25"/>
      <c r="Q125" s="24"/>
      <c r="R125" s="24" t="s">
        <v>83</v>
      </c>
      <c r="S125" s="25"/>
    </row>
    <row r="126" spans="1:19">
      <c r="A126" s="23" t="s">
        <v>41</v>
      </c>
      <c r="B126" s="23">
        <v>37</v>
      </c>
      <c r="C126" s="24">
        <v>13</v>
      </c>
      <c r="D126" s="23" t="s">
        <v>79</v>
      </c>
      <c r="E126" s="24">
        <v>33</v>
      </c>
      <c r="F126" s="24">
        <v>0.7</v>
      </c>
      <c r="G126" s="25"/>
      <c r="H126" s="24">
        <v>0</v>
      </c>
      <c r="I126" s="24">
        <v>71</v>
      </c>
      <c r="J126" s="35">
        <v>1.02</v>
      </c>
      <c r="K126" s="25"/>
      <c r="L126" s="24"/>
      <c r="M126" s="24"/>
      <c r="N126" s="24"/>
      <c r="O126" s="25"/>
      <c r="P126" s="25"/>
      <c r="Q126" s="24"/>
      <c r="R126" s="24"/>
      <c r="S126" s="25"/>
    </row>
    <row r="127" spans="1:19">
      <c r="A127" s="23" t="s">
        <v>41</v>
      </c>
      <c r="B127" s="23">
        <v>37</v>
      </c>
      <c r="C127" s="24">
        <v>14</v>
      </c>
      <c r="D127" s="23" t="s">
        <v>79</v>
      </c>
      <c r="E127" s="24">
        <v>78</v>
      </c>
      <c r="F127" s="24">
        <v>1.4</v>
      </c>
      <c r="G127" s="25"/>
      <c r="H127" s="24">
        <v>2</v>
      </c>
      <c r="I127" s="24">
        <v>99</v>
      </c>
      <c r="J127" s="35">
        <v>2.2000000000000002</v>
      </c>
      <c r="K127" s="25"/>
      <c r="L127" s="24">
        <v>2</v>
      </c>
      <c r="M127" s="24"/>
      <c r="N127" s="24"/>
      <c r="O127" s="25"/>
      <c r="P127" s="25"/>
      <c r="Q127" s="24"/>
      <c r="R127" s="24"/>
      <c r="S127" s="25"/>
    </row>
    <row r="128" spans="1:19">
      <c r="A128" s="23" t="s">
        <v>41</v>
      </c>
      <c r="B128" s="23">
        <v>39</v>
      </c>
      <c r="C128" s="24">
        <v>8</v>
      </c>
      <c r="D128" s="23" t="s">
        <v>79</v>
      </c>
      <c r="E128" s="24">
        <v>94</v>
      </c>
      <c r="F128" s="24">
        <v>2.7</v>
      </c>
      <c r="G128" s="25"/>
      <c r="H128" s="24">
        <v>4</v>
      </c>
      <c r="I128" s="24">
        <v>126</v>
      </c>
      <c r="J128" s="35">
        <v>3.12</v>
      </c>
      <c r="K128" s="25"/>
      <c r="L128" s="24">
        <v>3</v>
      </c>
      <c r="M128" s="24"/>
      <c r="N128" s="24"/>
      <c r="O128" s="25"/>
      <c r="P128" s="25">
        <v>1</v>
      </c>
      <c r="Q128" s="24"/>
      <c r="R128" s="24"/>
      <c r="S128" s="25" t="s">
        <v>82</v>
      </c>
    </row>
    <row r="129" spans="1:19">
      <c r="A129" s="23" t="s">
        <v>41</v>
      </c>
      <c r="B129" s="23">
        <v>39</v>
      </c>
      <c r="C129" s="24">
        <v>9</v>
      </c>
      <c r="D129" s="23" t="s">
        <v>79</v>
      </c>
      <c r="E129" s="24">
        <v>119</v>
      </c>
      <c r="F129" s="24">
        <v>2.6</v>
      </c>
      <c r="G129" s="25"/>
      <c r="H129" s="27">
        <v>4</v>
      </c>
      <c r="I129" s="24">
        <v>82</v>
      </c>
      <c r="J129" s="35">
        <v>2.61</v>
      </c>
      <c r="K129" s="25"/>
      <c r="L129" s="27">
        <v>5</v>
      </c>
      <c r="M129" s="27"/>
      <c r="N129" s="24"/>
      <c r="O129" s="25"/>
      <c r="P129" s="25">
        <v>1</v>
      </c>
      <c r="Q129" s="24"/>
      <c r="R129" s="24"/>
      <c r="S129" s="25" t="s">
        <v>82</v>
      </c>
    </row>
    <row r="130" spans="1:19">
      <c r="A130" s="23" t="s">
        <v>41</v>
      </c>
      <c r="B130" s="23">
        <v>39</v>
      </c>
      <c r="C130" s="24">
        <v>10</v>
      </c>
      <c r="D130" s="23" t="s">
        <v>79</v>
      </c>
      <c r="E130" s="24">
        <v>95</v>
      </c>
      <c r="F130" s="24">
        <v>3</v>
      </c>
      <c r="G130" s="25"/>
      <c r="H130" s="24">
        <v>3</v>
      </c>
      <c r="I130" s="24">
        <v>128</v>
      </c>
      <c r="J130" s="35">
        <v>4.18</v>
      </c>
      <c r="K130" s="25"/>
      <c r="L130" s="24">
        <v>2</v>
      </c>
      <c r="M130" s="24"/>
      <c r="N130" s="24"/>
      <c r="O130" s="25"/>
      <c r="P130" s="25">
        <v>1</v>
      </c>
      <c r="Q130" s="24"/>
      <c r="R130" s="24"/>
      <c r="S130" s="25" t="s">
        <v>82</v>
      </c>
    </row>
    <row r="131" spans="1:19">
      <c r="A131" s="23" t="s">
        <v>41</v>
      </c>
      <c r="B131" s="23">
        <v>39</v>
      </c>
      <c r="C131" s="24">
        <v>11</v>
      </c>
      <c r="D131" s="23" t="s">
        <v>79</v>
      </c>
      <c r="E131" s="24">
        <v>46</v>
      </c>
      <c r="F131" s="24">
        <v>0.7</v>
      </c>
      <c r="G131" s="25"/>
      <c r="H131" s="24">
        <v>5</v>
      </c>
      <c r="I131" s="24">
        <v>40</v>
      </c>
      <c r="J131" s="35">
        <v>0.9</v>
      </c>
      <c r="K131" s="25"/>
      <c r="L131" s="24"/>
      <c r="M131" s="24"/>
      <c r="N131" s="24"/>
      <c r="O131" s="25"/>
      <c r="P131" s="25">
        <v>1</v>
      </c>
      <c r="Q131" s="24"/>
      <c r="R131" s="24"/>
      <c r="S131" s="25" t="s">
        <v>82</v>
      </c>
    </row>
    <row r="132" spans="1:19">
      <c r="A132" s="23" t="s">
        <v>41</v>
      </c>
      <c r="B132" s="23">
        <v>39</v>
      </c>
      <c r="C132" s="24">
        <v>12</v>
      </c>
      <c r="D132" s="23" t="s">
        <v>79</v>
      </c>
      <c r="E132" s="24">
        <v>130</v>
      </c>
      <c r="F132" s="24">
        <v>3.5</v>
      </c>
      <c r="G132" s="25"/>
      <c r="H132" s="24">
        <v>3</v>
      </c>
      <c r="I132" s="24">
        <v>185</v>
      </c>
      <c r="J132" s="35">
        <v>5.22</v>
      </c>
      <c r="K132" s="25">
        <v>0.55000000000000004</v>
      </c>
      <c r="L132" s="24"/>
      <c r="M132" s="24"/>
      <c r="N132" s="24"/>
      <c r="O132" s="25"/>
      <c r="P132" s="25">
        <v>1</v>
      </c>
      <c r="Q132" s="24">
        <v>1</v>
      </c>
      <c r="R132" s="24"/>
      <c r="S132" s="25" t="s">
        <v>82</v>
      </c>
    </row>
    <row r="133" spans="1:19">
      <c r="A133" s="23" t="s">
        <v>41</v>
      </c>
      <c r="B133" s="23">
        <v>39</v>
      </c>
      <c r="C133" s="24">
        <v>13</v>
      </c>
      <c r="D133" s="23" t="s">
        <v>79</v>
      </c>
      <c r="E133" s="25"/>
      <c r="F133" s="25"/>
      <c r="G133" s="25"/>
      <c r="H133" s="25"/>
      <c r="I133" s="25"/>
      <c r="J133" s="34"/>
      <c r="K133" s="25"/>
      <c r="L133" s="25"/>
      <c r="M133" s="25"/>
      <c r="N133" s="24"/>
      <c r="O133" s="25"/>
      <c r="P133" s="25"/>
      <c r="Q133" s="24"/>
      <c r="R133" s="24" t="s">
        <v>83</v>
      </c>
      <c r="S133" s="25"/>
    </row>
    <row r="134" spans="1:19">
      <c r="A134" s="23" t="s">
        <v>41</v>
      </c>
      <c r="B134" s="23">
        <v>39</v>
      </c>
      <c r="C134" s="24">
        <v>14</v>
      </c>
      <c r="D134" s="23" t="s">
        <v>79</v>
      </c>
      <c r="E134" s="24">
        <v>105</v>
      </c>
      <c r="F134" s="24">
        <v>3.6</v>
      </c>
      <c r="G134" s="25"/>
      <c r="H134" s="24">
        <v>3</v>
      </c>
      <c r="I134" s="24">
        <v>158</v>
      </c>
      <c r="J134" s="35">
        <v>5.16</v>
      </c>
      <c r="K134" s="25">
        <v>1.1200000000000001</v>
      </c>
      <c r="L134" s="24">
        <v>2</v>
      </c>
      <c r="M134" s="24"/>
      <c r="N134" s="24"/>
      <c r="O134" s="25"/>
      <c r="P134" s="25">
        <v>1</v>
      </c>
      <c r="Q134" s="24"/>
      <c r="R134" s="24"/>
      <c r="S134" s="25" t="s">
        <v>82</v>
      </c>
    </row>
    <row r="135" spans="1:19">
      <c r="A135" s="23" t="s">
        <v>41</v>
      </c>
      <c r="B135" s="23">
        <v>40</v>
      </c>
      <c r="C135" s="24">
        <v>8</v>
      </c>
      <c r="D135" s="23" t="s">
        <v>79</v>
      </c>
      <c r="E135" s="24">
        <v>65</v>
      </c>
      <c r="F135" s="24">
        <v>1.5</v>
      </c>
      <c r="G135" s="25"/>
      <c r="H135" s="24">
        <v>3</v>
      </c>
      <c r="I135" s="24">
        <v>90</v>
      </c>
      <c r="J135" s="35">
        <v>2.27</v>
      </c>
      <c r="K135" s="25"/>
      <c r="L135" s="24">
        <v>1</v>
      </c>
      <c r="M135" s="24"/>
      <c r="N135" s="24"/>
      <c r="O135" s="25"/>
      <c r="P135" s="25">
        <v>1</v>
      </c>
      <c r="Q135" s="24"/>
      <c r="R135" s="24"/>
      <c r="S135" s="25"/>
    </row>
    <row r="136" spans="1:19">
      <c r="A136" s="23" t="s">
        <v>41</v>
      </c>
      <c r="B136" s="23">
        <v>40</v>
      </c>
      <c r="C136" s="24">
        <v>9</v>
      </c>
      <c r="D136" s="23" t="s">
        <v>79</v>
      </c>
      <c r="E136" s="24">
        <v>22</v>
      </c>
      <c r="F136" s="24">
        <v>0.5</v>
      </c>
      <c r="G136" s="25"/>
      <c r="H136" s="24">
        <v>2</v>
      </c>
      <c r="I136" s="24">
        <v>32</v>
      </c>
      <c r="J136" s="35">
        <v>0.57999999999999996</v>
      </c>
      <c r="K136" s="25"/>
      <c r="L136" s="24">
        <v>2</v>
      </c>
      <c r="M136" s="24"/>
      <c r="N136" s="24"/>
      <c r="O136" s="25"/>
      <c r="P136" s="25"/>
      <c r="Q136" s="24"/>
      <c r="R136" s="24"/>
      <c r="S136" s="25"/>
    </row>
    <row r="137" spans="1:19">
      <c r="A137" s="23" t="s">
        <v>41</v>
      </c>
      <c r="B137" s="23">
        <v>40</v>
      </c>
      <c r="C137" s="24">
        <v>10</v>
      </c>
      <c r="D137" s="23" t="s">
        <v>79</v>
      </c>
      <c r="E137" s="24">
        <v>20</v>
      </c>
      <c r="F137" s="24">
        <v>0.6</v>
      </c>
      <c r="G137" s="25"/>
      <c r="H137" s="24">
        <v>5</v>
      </c>
      <c r="I137" s="24">
        <v>22</v>
      </c>
      <c r="J137" s="35">
        <v>0.52</v>
      </c>
      <c r="K137" s="25"/>
      <c r="L137" s="24">
        <v>5</v>
      </c>
      <c r="M137" s="24"/>
      <c r="N137" s="24"/>
      <c r="O137" s="25"/>
      <c r="P137" s="25">
        <v>1</v>
      </c>
      <c r="Q137" s="24"/>
      <c r="R137" s="24"/>
      <c r="S137" s="25"/>
    </row>
    <row r="138" spans="1:19">
      <c r="A138" s="23" t="s">
        <v>41</v>
      </c>
      <c r="B138" s="23">
        <v>40</v>
      </c>
      <c r="C138" s="24">
        <v>11</v>
      </c>
      <c r="D138" s="23" t="s">
        <v>79</v>
      </c>
      <c r="E138" s="24">
        <v>122</v>
      </c>
      <c r="F138" s="24">
        <v>2.5</v>
      </c>
      <c r="G138" s="25"/>
      <c r="H138" s="24">
        <v>3</v>
      </c>
      <c r="I138" s="24">
        <v>153</v>
      </c>
      <c r="J138" s="34">
        <v>4</v>
      </c>
      <c r="K138" s="25">
        <v>0.9</v>
      </c>
      <c r="L138" s="24">
        <v>1</v>
      </c>
      <c r="M138" s="24"/>
      <c r="N138" s="24"/>
      <c r="O138" s="25"/>
      <c r="P138" s="25">
        <v>1</v>
      </c>
      <c r="Q138" s="24">
        <v>1</v>
      </c>
      <c r="R138" s="24"/>
      <c r="S138" s="25"/>
    </row>
    <row r="139" spans="1:19">
      <c r="A139" s="23" t="s">
        <v>41</v>
      </c>
      <c r="B139" s="23">
        <v>40</v>
      </c>
      <c r="C139" s="24">
        <v>12</v>
      </c>
      <c r="D139" s="23" t="s">
        <v>79</v>
      </c>
      <c r="E139" s="24">
        <v>69</v>
      </c>
      <c r="F139" s="24">
        <v>1.8</v>
      </c>
      <c r="G139" s="25"/>
      <c r="H139" s="24">
        <v>4</v>
      </c>
      <c r="I139" s="24">
        <v>69</v>
      </c>
      <c r="J139" s="35">
        <v>2.54</v>
      </c>
      <c r="K139" s="25"/>
      <c r="L139" s="24">
        <v>1</v>
      </c>
      <c r="M139" s="24"/>
      <c r="N139" s="24"/>
      <c r="O139" s="25"/>
      <c r="P139" s="25">
        <v>1</v>
      </c>
      <c r="Q139" s="24"/>
      <c r="R139" s="24"/>
      <c r="S139" s="25" t="s">
        <v>82</v>
      </c>
    </row>
    <row r="140" spans="1:19">
      <c r="A140" s="23" t="s">
        <v>41</v>
      </c>
      <c r="B140" s="23">
        <v>40</v>
      </c>
      <c r="C140" s="24">
        <v>13</v>
      </c>
      <c r="D140" s="23" t="s">
        <v>79</v>
      </c>
      <c r="E140" s="24">
        <v>6</v>
      </c>
      <c r="F140" s="24">
        <v>0.3</v>
      </c>
      <c r="G140" s="25"/>
      <c r="H140" s="24">
        <v>1</v>
      </c>
      <c r="I140" s="24">
        <v>19</v>
      </c>
      <c r="J140" s="35">
        <v>0.36</v>
      </c>
      <c r="K140" s="25"/>
      <c r="L140" s="24"/>
      <c r="M140" s="24"/>
      <c r="N140" s="24"/>
      <c r="O140" s="25"/>
      <c r="P140" s="25"/>
      <c r="Q140" s="24"/>
      <c r="R140" s="24"/>
      <c r="S140" s="25"/>
    </row>
    <row r="141" spans="1:19">
      <c r="A141" s="23" t="s">
        <v>41</v>
      </c>
      <c r="B141" s="23">
        <v>40</v>
      </c>
      <c r="C141" s="24">
        <v>14</v>
      </c>
      <c r="D141" s="23" t="s">
        <v>79</v>
      </c>
      <c r="E141" s="24">
        <v>112</v>
      </c>
      <c r="F141" s="24">
        <v>3</v>
      </c>
      <c r="G141" s="25"/>
      <c r="H141" s="24">
        <v>3</v>
      </c>
      <c r="I141" s="24">
        <v>151</v>
      </c>
      <c r="J141" s="35">
        <v>5.32</v>
      </c>
      <c r="K141" s="25">
        <v>1.01</v>
      </c>
      <c r="L141" s="24">
        <v>1</v>
      </c>
      <c r="M141" s="24">
        <v>2</v>
      </c>
      <c r="N141" s="24"/>
      <c r="O141" s="25"/>
      <c r="P141" s="25">
        <v>1</v>
      </c>
      <c r="Q141" s="24"/>
      <c r="R141" s="24"/>
      <c r="S141" s="25"/>
    </row>
    <row r="142" spans="1:19">
      <c r="A142" s="23" t="s">
        <v>41</v>
      </c>
      <c r="B142" s="23">
        <v>42</v>
      </c>
      <c r="C142" s="24">
        <v>8</v>
      </c>
      <c r="D142" s="23" t="s">
        <v>79</v>
      </c>
      <c r="E142" s="24">
        <v>130</v>
      </c>
      <c r="F142" s="24">
        <v>3.2</v>
      </c>
      <c r="G142" s="25"/>
      <c r="H142" s="24">
        <v>5</v>
      </c>
      <c r="I142" s="24">
        <v>148</v>
      </c>
      <c r="J142" s="35">
        <v>3.55</v>
      </c>
      <c r="K142" s="25">
        <v>0.61</v>
      </c>
      <c r="L142" s="24">
        <v>1</v>
      </c>
      <c r="M142" s="24"/>
      <c r="N142" s="24"/>
      <c r="O142" s="25"/>
      <c r="P142" s="25">
        <v>1</v>
      </c>
      <c r="Q142" s="24"/>
      <c r="R142" s="24"/>
      <c r="S142" s="25" t="s">
        <v>82</v>
      </c>
    </row>
    <row r="143" spans="1:19">
      <c r="A143" s="23" t="s">
        <v>41</v>
      </c>
      <c r="B143" s="23">
        <v>42</v>
      </c>
      <c r="C143" s="24">
        <v>9</v>
      </c>
      <c r="D143" s="23" t="s">
        <v>79</v>
      </c>
      <c r="E143" s="24">
        <v>101</v>
      </c>
      <c r="F143" s="24">
        <v>2.4</v>
      </c>
      <c r="G143" s="25"/>
      <c r="H143" s="24">
        <v>4</v>
      </c>
      <c r="I143" s="24">
        <v>126</v>
      </c>
      <c r="J143" s="35">
        <v>3.28</v>
      </c>
      <c r="K143" s="25"/>
      <c r="L143" s="24">
        <v>1</v>
      </c>
      <c r="M143" s="24"/>
      <c r="N143" s="24"/>
      <c r="O143" s="25"/>
      <c r="P143" s="25">
        <v>1</v>
      </c>
      <c r="Q143" s="24"/>
      <c r="R143" s="24"/>
      <c r="S143" s="25"/>
    </row>
    <row r="144" spans="1:19">
      <c r="A144" s="23" t="s">
        <v>41</v>
      </c>
      <c r="B144" s="23">
        <v>42</v>
      </c>
      <c r="C144" s="24">
        <v>10</v>
      </c>
      <c r="D144" s="23" t="s">
        <v>79</v>
      </c>
      <c r="E144" s="24">
        <v>86</v>
      </c>
      <c r="F144" s="24">
        <v>3</v>
      </c>
      <c r="G144" s="25"/>
      <c r="H144" s="24">
        <v>4</v>
      </c>
      <c r="I144" s="24">
        <v>113</v>
      </c>
      <c r="J144" s="35">
        <v>3.61</v>
      </c>
      <c r="K144" s="25"/>
      <c r="L144" s="24">
        <v>3</v>
      </c>
      <c r="M144" s="24"/>
      <c r="N144" s="24"/>
      <c r="O144" s="25"/>
      <c r="P144" s="25">
        <v>1</v>
      </c>
      <c r="Q144" s="24"/>
      <c r="R144" s="24"/>
      <c r="S144" s="25" t="s">
        <v>82</v>
      </c>
    </row>
    <row r="145" spans="1:19">
      <c r="A145" s="23" t="s">
        <v>41</v>
      </c>
      <c r="B145" s="23">
        <v>42</v>
      </c>
      <c r="C145" s="24">
        <v>11</v>
      </c>
      <c r="D145" s="23" t="s">
        <v>79</v>
      </c>
      <c r="E145" s="24">
        <v>30</v>
      </c>
      <c r="F145" s="24">
        <v>0.9</v>
      </c>
      <c r="G145" s="25"/>
      <c r="H145" s="24">
        <v>4</v>
      </c>
      <c r="I145" s="24">
        <v>43</v>
      </c>
      <c r="J145" s="35">
        <v>0.9</v>
      </c>
      <c r="K145" s="25"/>
      <c r="L145" s="24"/>
      <c r="M145" s="24"/>
      <c r="N145" s="24"/>
      <c r="O145" s="25"/>
      <c r="P145" s="25">
        <v>1</v>
      </c>
      <c r="Q145" s="24"/>
      <c r="R145" s="24"/>
      <c r="S145" s="25"/>
    </row>
    <row r="146" spans="1:19">
      <c r="A146" s="23" t="s">
        <v>41</v>
      </c>
      <c r="B146" s="23">
        <v>42</v>
      </c>
      <c r="C146" s="24">
        <v>12</v>
      </c>
      <c r="D146" s="23" t="s">
        <v>79</v>
      </c>
      <c r="E146" s="24">
        <v>87</v>
      </c>
      <c r="F146" s="24">
        <v>2.2000000000000002</v>
      </c>
      <c r="G146" s="25"/>
      <c r="H146" s="24">
        <v>4</v>
      </c>
      <c r="I146" s="24">
        <v>122</v>
      </c>
      <c r="J146" s="35">
        <v>3.54</v>
      </c>
      <c r="K146" s="25"/>
      <c r="L146" s="24">
        <v>3</v>
      </c>
      <c r="M146" s="24"/>
      <c r="N146" s="24"/>
      <c r="O146" s="25"/>
      <c r="P146" s="25"/>
      <c r="Q146" s="24"/>
      <c r="R146" s="24"/>
      <c r="S146" s="25"/>
    </row>
    <row r="147" spans="1:19">
      <c r="A147" s="23" t="s">
        <v>41</v>
      </c>
      <c r="B147" s="23">
        <v>42</v>
      </c>
      <c r="C147" s="24">
        <v>13</v>
      </c>
      <c r="D147" s="23" t="s">
        <v>79</v>
      </c>
      <c r="E147" s="24">
        <v>110</v>
      </c>
      <c r="F147" s="24">
        <v>3.4</v>
      </c>
      <c r="G147" s="25"/>
      <c r="H147" s="24">
        <v>4</v>
      </c>
      <c r="I147" s="24">
        <v>141</v>
      </c>
      <c r="J147" s="35">
        <v>4.88</v>
      </c>
      <c r="K147" s="25">
        <v>0.54</v>
      </c>
      <c r="L147" s="24">
        <v>2</v>
      </c>
      <c r="M147" s="24"/>
      <c r="N147" s="24"/>
      <c r="O147" s="25"/>
      <c r="P147" s="25">
        <v>1</v>
      </c>
      <c r="Q147" s="24"/>
      <c r="R147" s="24"/>
      <c r="S147" s="25" t="s">
        <v>82</v>
      </c>
    </row>
    <row r="148" spans="1:19">
      <c r="A148" s="23" t="s">
        <v>41</v>
      </c>
      <c r="B148" s="23">
        <v>42</v>
      </c>
      <c r="C148" s="24">
        <v>14</v>
      </c>
      <c r="D148" s="23" t="s">
        <v>79</v>
      </c>
      <c r="E148" s="24">
        <v>130</v>
      </c>
      <c r="F148" s="24">
        <v>3.4</v>
      </c>
      <c r="G148" s="25"/>
      <c r="H148" s="24">
        <v>4</v>
      </c>
      <c r="I148" s="24">
        <v>183</v>
      </c>
      <c r="J148" s="35">
        <v>5.76</v>
      </c>
      <c r="K148" s="25">
        <v>1.84</v>
      </c>
      <c r="L148" s="24">
        <v>1</v>
      </c>
      <c r="M148" s="24">
        <v>1</v>
      </c>
      <c r="N148" s="24"/>
      <c r="O148" s="25"/>
      <c r="P148" s="25">
        <v>1</v>
      </c>
      <c r="Q148" s="24">
        <v>1</v>
      </c>
      <c r="R148" s="24"/>
      <c r="S148" s="25" t="s">
        <v>82</v>
      </c>
    </row>
    <row r="149" spans="1:19">
      <c r="A149" s="23" t="s">
        <v>41</v>
      </c>
      <c r="B149" s="23">
        <v>44</v>
      </c>
      <c r="C149" s="24">
        <v>8</v>
      </c>
      <c r="D149" s="23" t="s">
        <v>79</v>
      </c>
      <c r="E149" s="24">
        <v>105</v>
      </c>
      <c r="F149" s="24">
        <v>2.5</v>
      </c>
      <c r="G149" s="25"/>
      <c r="H149" s="24">
        <v>0</v>
      </c>
      <c r="I149" s="24">
        <v>167</v>
      </c>
      <c r="J149" s="35">
        <v>3.67</v>
      </c>
      <c r="K149" s="25">
        <v>1.01</v>
      </c>
      <c r="L149" s="24"/>
      <c r="M149" s="24"/>
      <c r="N149" s="24"/>
      <c r="O149" s="25"/>
      <c r="P149" s="25"/>
      <c r="Q149" s="24">
        <v>1</v>
      </c>
      <c r="R149" s="24"/>
      <c r="S149" s="25"/>
    </row>
    <row r="150" spans="1:19">
      <c r="A150" s="23" t="s">
        <v>41</v>
      </c>
      <c r="B150" s="23">
        <v>44</v>
      </c>
      <c r="C150" s="24">
        <v>9</v>
      </c>
      <c r="D150" s="23" t="s">
        <v>79</v>
      </c>
      <c r="E150" s="24">
        <v>29</v>
      </c>
      <c r="F150" s="24">
        <v>0.8</v>
      </c>
      <c r="G150" s="25"/>
      <c r="H150" s="24">
        <v>1</v>
      </c>
      <c r="I150" s="24">
        <v>51</v>
      </c>
      <c r="J150" s="35">
        <v>1.01</v>
      </c>
      <c r="K150" s="25"/>
      <c r="L150" s="24">
        <v>1</v>
      </c>
      <c r="M150" s="24"/>
      <c r="N150" s="24"/>
      <c r="O150" s="25"/>
      <c r="P150" s="25"/>
      <c r="Q150" s="24"/>
      <c r="R150" s="24"/>
      <c r="S150" s="25"/>
    </row>
    <row r="151" spans="1:19">
      <c r="A151" s="23" t="s">
        <v>41</v>
      </c>
      <c r="B151" s="23">
        <v>44</v>
      </c>
      <c r="C151" s="24">
        <v>10</v>
      </c>
      <c r="D151" s="23" t="s">
        <v>79</v>
      </c>
      <c r="E151" s="24">
        <v>75</v>
      </c>
      <c r="F151" s="24">
        <v>1.6</v>
      </c>
      <c r="G151" s="25"/>
      <c r="H151" s="24">
        <v>4</v>
      </c>
      <c r="I151" s="24">
        <v>98</v>
      </c>
      <c r="J151" s="35">
        <v>2.39</v>
      </c>
      <c r="K151" s="25"/>
      <c r="L151" s="24">
        <v>1</v>
      </c>
      <c r="M151" s="24"/>
      <c r="N151" s="24"/>
      <c r="O151" s="25"/>
      <c r="P151" s="25">
        <v>1</v>
      </c>
      <c r="Q151" s="24"/>
      <c r="R151" s="24"/>
      <c r="S151" s="25"/>
    </row>
    <row r="152" spans="1:19">
      <c r="A152" s="23" t="s">
        <v>41</v>
      </c>
      <c r="B152" s="23">
        <v>44</v>
      </c>
      <c r="C152" s="24">
        <v>11</v>
      </c>
      <c r="D152" s="23" t="s">
        <v>79</v>
      </c>
      <c r="E152" s="25"/>
      <c r="F152" s="25"/>
      <c r="G152" s="25"/>
      <c r="H152" s="25"/>
      <c r="I152" s="25"/>
      <c r="J152" s="34"/>
      <c r="K152" s="25"/>
      <c r="L152" s="25"/>
      <c r="M152" s="25"/>
      <c r="N152" s="24"/>
      <c r="O152" s="25"/>
      <c r="P152" s="25"/>
      <c r="Q152" s="24"/>
      <c r="R152" s="24" t="s">
        <v>83</v>
      </c>
      <c r="S152" s="25"/>
    </row>
    <row r="153" spans="1:19">
      <c r="A153" s="23" t="s">
        <v>41</v>
      </c>
      <c r="B153" s="23">
        <v>44</v>
      </c>
      <c r="C153" s="24">
        <v>12</v>
      </c>
      <c r="D153" s="23" t="s">
        <v>79</v>
      </c>
      <c r="E153" s="24">
        <v>74</v>
      </c>
      <c r="F153" s="24">
        <v>1</v>
      </c>
      <c r="G153" s="25"/>
      <c r="H153" s="24">
        <v>1</v>
      </c>
      <c r="I153" s="24">
        <v>117</v>
      </c>
      <c r="J153" s="35">
        <v>2.19</v>
      </c>
      <c r="K153" s="25"/>
      <c r="L153" s="24">
        <v>1</v>
      </c>
      <c r="M153" s="24"/>
      <c r="N153" s="24"/>
      <c r="O153" s="25"/>
      <c r="P153" s="25"/>
      <c r="Q153" s="24"/>
      <c r="R153" s="24"/>
      <c r="S153" s="25"/>
    </row>
    <row r="154" spans="1:19">
      <c r="A154" s="23" t="s">
        <v>41</v>
      </c>
      <c r="B154" s="23">
        <v>44</v>
      </c>
      <c r="C154" s="24">
        <v>13</v>
      </c>
      <c r="D154" s="23" t="s">
        <v>79</v>
      </c>
      <c r="E154" s="24">
        <v>64</v>
      </c>
      <c r="F154" s="24">
        <v>1.1000000000000001</v>
      </c>
      <c r="G154" s="25"/>
      <c r="H154" s="24">
        <v>3</v>
      </c>
      <c r="I154" s="24">
        <v>100</v>
      </c>
      <c r="J154" s="35">
        <v>2.75</v>
      </c>
      <c r="K154" s="25"/>
      <c r="L154" s="24">
        <v>1</v>
      </c>
      <c r="M154" s="24"/>
      <c r="N154" s="24"/>
      <c r="O154" s="25"/>
      <c r="P154" s="25"/>
      <c r="Q154" s="24"/>
      <c r="R154" s="24"/>
      <c r="S154" s="25"/>
    </row>
    <row r="155" spans="1:19">
      <c r="A155" s="23" t="s">
        <v>41</v>
      </c>
      <c r="B155" s="23">
        <v>44</v>
      </c>
      <c r="C155" s="24">
        <v>14</v>
      </c>
      <c r="D155" s="23" t="s">
        <v>79</v>
      </c>
      <c r="E155" s="24">
        <v>69</v>
      </c>
      <c r="F155" s="24">
        <v>1.5</v>
      </c>
      <c r="G155" s="24"/>
      <c r="H155" s="25">
        <v>2</v>
      </c>
      <c r="I155" s="24">
        <v>116</v>
      </c>
      <c r="J155" s="35">
        <v>3.3</v>
      </c>
      <c r="K155" s="24"/>
      <c r="L155" s="25">
        <v>2</v>
      </c>
      <c r="M155" s="25">
        <v>2</v>
      </c>
      <c r="N155" s="24"/>
      <c r="O155" s="25"/>
      <c r="P155" s="25"/>
      <c r="Q155" s="24"/>
      <c r="R155" s="24"/>
      <c r="S155" s="25"/>
    </row>
    <row r="156" spans="1:19">
      <c r="A156" s="23" t="s">
        <v>41</v>
      </c>
      <c r="B156" s="23">
        <v>46</v>
      </c>
      <c r="C156" s="24">
        <v>8</v>
      </c>
      <c r="D156" s="23" t="s">
        <v>79</v>
      </c>
      <c r="E156" s="24">
        <v>90</v>
      </c>
      <c r="F156" s="24">
        <v>2</v>
      </c>
      <c r="G156" s="25"/>
      <c r="H156" s="24">
        <v>4</v>
      </c>
      <c r="I156" s="24"/>
      <c r="J156" s="35"/>
      <c r="K156" s="25"/>
      <c r="L156" s="24"/>
      <c r="M156" s="24"/>
      <c r="N156" s="24"/>
      <c r="O156" s="25"/>
      <c r="P156" s="25"/>
      <c r="Q156" s="24"/>
      <c r="R156" s="24" t="s">
        <v>83</v>
      </c>
      <c r="S156" s="25" t="s">
        <v>119</v>
      </c>
    </row>
    <row r="157" spans="1:19">
      <c r="A157" s="23" t="s">
        <v>41</v>
      </c>
      <c r="B157" s="23">
        <v>46</v>
      </c>
      <c r="C157" s="24">
        <v>9</v>
      </c>
      <c r="D157" s="23" t="s">
        <v>79</v>
      </c>
      <c r="E157" s="24">
        <v>127</v>
      </c>
      <c r="F157" s="24">
        <v>4</v>
      </c>
      <c r="G157" s="25"/>
      <c r="H157" s="25"/>
      <c r="I157" s="24">
        <v>163</v>
      </c>
      <c r="J157" s="35">
        <v>4.78</v>
      </c>
      <c r="K157" s="25">
        <v>0.75</v>
      </c>
      <c r="L157" s="25"/>
      <c r="M157" s="25"/>
      <c r="N157" s="24"/>
      <c r="O157" s="25"/>
      <c r="P157" s="25"/>
      <c r="Q157" s="24"/>
      <c r="R157" s="24"/>
      <c r="S157" s="25"/>
    </row>
    <row r="158" spans="1:19">
      <c r="A158" s="23" t="s">
        <v>41</v>
      </c>
      <c r="B158" s="23">
        <v>46</v>
      </c>
      <c r="C158" s="24">
        <v>10</v>
      </c>
      <c r="D158" s="23" t="s">
        <v>79</v>
      </c>
      <c r="E158" s="24">
        <v>129</v>
      </c>
      <c r="F158" s="24">
        <v>2.6</v>
      </c>
      <c r="G158" s="24">
        <v>0.9</v>
      </c>
      <c r="H158" s="24">
        <v>4</v>
      </c>
      <c r="I158" s="24">
        <v>181</v>
      </c>
      <c r="J158" s="35">
        <v>3.6</v>
      </c>
      <c r="K158" s="24">
        <v>1.1000000000000001</v>
      </c>
      <c r="L158" s="24"/>
      <c r="M158" s="24"/>
      <c r="N158" s="24"/>
      <c r="O158" s="25">
        <v>1</v>
      </c>
      <c r="P158" s="25"/>
      <c r="Q158" s="24">
        <v>1</v>
      </c>
      <c r="R158" s="24"/>
      <c r="S158" s="25" t="s">
        <v>120</v>
      </c>
    </row>
    <row r="159" spans="1:19">
      <c r="A159" s="23" t="s">
        <v>41</v>
      </c>
      <c r="B159" s="23">
        <v>46</v>
      </c>
      <c r="C159" s="24">
        <v>11</v>
      </c>
      <c r="D159" s="23" t="s">
        <v>79</v>
      </c>
      <c r="E159" s="24">
        <v>138</v>
      </c>
      <c r="F159" s="24">
        <v>3.8</v>
      </c>
      <c r="G159" s="25"/>
      <c r="H159" s="24">
        <v>4</v>
      </c>
      <c r="I159" s="24">
        <v>129</v>
      </c>
      <c r="J159" s="35">
        <v>5.12</v>
      </c>
      <c r="K159" s="25"/>
      <c r="L159" s="24">
        <v>1</v>
      </c>
      <c r="M159" s="24"/>
      <c r="N159" s="24"/>
      <c r="O159" s="25"/>
      <c r="P159" s="25">
        <v>1</v>
      </c>
      <c r="Q159" s="24"/>
      <c r="R159" s="24"/>
      <c r="S159" s="25" t="s">
        <v>82</v>
      </c>
    </row>
    <row r="160" spans="1:19">
      <c r="A160" s="23" t="s">
        <v>41</v>
      </c>
      <c r="B160" s="23">
        <v>46</v>
      </c>
      <c r="C160" s="24">
        <v>12</v>
      </c>
      <c r="D160" s="23" t="s">
        <v>79</v>
      </c>
      <c r="E160" s="24">
        <v>132</v>
      </c>
      <c r="F160" s="24">
        <v>2.7</v>
      </c>
      <c r="G160" s="24">
        <v>1.1000000000000001</v>
      </c>
      <c r="H160" s="24">
        <v>4</v>
      </c>
      <c r="I160" s="24">
        <v>128</v>
      </c>
      <c r="J160" s="35">
        <v>3.5</v>
      </c>
      <c r="K160" s="24"/>
      <c r="L160" s="24">
        <v>1</v>
      </c>
      <c r="M160" s="24"/>
      <c r="N160" s="24"/>
      <c r="O160" s="25"/>
      <c r="P160" s="25">
        <v>1</v>
      </c>
      <c r="Q160" s="24"/>
      <c r="R160" s="24"/>
      <c r="S160" s="25" t="s">
        <v>82</v>
      </c>
    </row>
    <row r="161" spans="1:19">
      <c r="A161" s="23" t="s">
        <v>41</v>
      </c>
      <c r="B161" s="23">
        <v>46</v>
      </c>
      <c r="C161" s="24">
        <v>13</v>
      </c>
      <c r="D161" s="23" t="s">
        <v>79</v>
      </c>
      <c r="E161" s="24">
        <v>62</v>
      </c>
      <c r="F161" s="24">
        <v>4.0999999999999996</v>
      </c>
      <c r="G161" s="25"/>
      <c r="H161" s="24">
        <v>4</v>
      </c>
      <c r="I161" s="24">
        <v>158</v>
      </c>
      <c r="J161" s="35">
        <v>4.75</v>
      </c>
      <c r="K161" s="25"/>
      <c r="L161" s="24">
        <v>1</v>
      </c>
      <c r="M161" s="24"/>
      <c r="N161" s="24"/>
      <c r="O161" s="25">
        <v>1</v>
      </c>
      <c r="P161" s="25"/>
      <c r="Q161" s="24"/>
      <c r="R161" s="24"/>
      <c r="S161" s="25" t="s">
        <v>120</v>
      </c>
    </row>
    <row r="162" spans="1:19">
      <c r="A162" s="23" t="s">
        <v>41</v>
      </c>
      <c r="B162" s="23">
        <v>46</v>
      </c>
      <c r="C162" s="24">
        <v>14</v>
      </c>
      <c r="D162" s="23" t="s">
        <v>79</v>
      </c>
      <c r="E162" s="24">
        <v>122</v>
      </c>
      <c r="F162" s="24">
        <v>4</v>
      </c>
      <c r="G162" s="25"/>
      <c r="H162" s="24">
        <v>3</v>
      </c>
      <c r="I162" s="24">
        <v>138</v>
      </c>
      <c r="J162" s="35">
        <v>5.32</v>
      </c>
      <c r="K162" s="25"/>
      <c r="L162" s="24">
        <v>1</v>
      </c>
      <c r="M162" s="24"/>
      <c r="N162" s="24"/>
      <c r="O162" s="25">
        <v>1</v>
      </c>
      <c r="P162" s="25">
        <v>1</v>
      </c>
      <c r="Q162" s="24"/>
      <c r="R162" s="24"/>
      <c r="S162" s="25" t="s">
        <v>82</v>
      </c>
    </row>
    <row r="163" spans="1:19">
      <c r="A163" s="23" t="s">
        <v>41</v>
      </c>
      <c r="B163" s="23">
        <v>49</v>
      </c>
      <c r="C163" s="24">
        <v>8</v>
      </c>
      <c r="D163" s="23" t="s">
        <v>79</v>
      </c>
      <c r="E163" s="24" t="s">
        <v>98</v>
      </c>
      <c r="F163" s="24" t="s">
        <v>98</v>
      </c>
      <c r="G163" s="25"/>
      <c r="H163" s="25"/>
      <c r="J163" s="38"/>
      <c r="K163" s="25"/>
      <c r="L163" s="24"/>
      <c r="M163" s="24"/>
      <c r="N163" s="24"/>
      <c r="O163" s="25"/>
      <c r="P163" s="25"/>
      <c r="Q163" s="24"/>
      <c r="R163" s="24" t="s">
        <v>83</v>
      </c>
      <c r="S163" s="25"/>
    </row>
    <row r="164" spans="1:19">
      <c r="A164" s="23" t="s">
        <v>41</v>
      </c>
      <c r="B164" s="23">
        <v>49</v>
      </c>
      <c r="C164" s="24">
        <v>9</v>
      </c>
      <c r="D164" s="23" t="s">
        <v>79</v>
      </c>
      <c r="E164" s="24" t="s">
        <v>98</v>
      </c>
      <c r="F164" s="24" t="s">
        <v>98</v>
      </c>
      <c r="G164" s="25"/>
      <c r="H164" s="25"/>
      <c r="I164" s="24">
        <v>74</v>
      </c>
      <c r="J164" s="35">
        <v>1.06</v>
      </c>
      <c r="K164" s="25"/>
      <c r="L164" s="25"/>
      <c r="M164" s="25"/>
      <c r="N164" s="24"/>
      <c r="O164" s="25"/>
      <c r="P164" s="25"/>
      <c r="Q164" s="24"/>
      <c r="R164" s="24"/>
      <c r="S164" s="25"/>
    </row>
    <row r="165" spans="1:19">
      <c r="A165" s="23" t="s">
        <v>41</v>
      </c>
      <c r="B165" s="23">
        <v>49</v>
      </c>
      <c r="C165" s="24">
        <v>10</v>
      </c>
      <c r="D165" s="23" t="s">
        <v>79</v>
      </c>
      <c r="E165" s="24" t="s">
        <v>98</v>
      </c>
      <c r="F165" s="24" t="s">
        <v>98</v>
      </c>
      <c r="G165" s="25"/>
      <c r="H165" s="25"/>
      <c r="I165" s="24">
        <v>62</v>
      </c>
      <c r="J165" s="35">
        <v>0.94</v>
      </c>
      <c r="K165" s="24"/>
      <c r="L165" s="24">
        <v>3</v>
      </c>
      <c r="M165" s="24"/>
      <c r="N165" s="24"/>
      <c r="O165" s="25"/>
      <c r="P165" s="25"/>
      <c r="Q165" s="24"/>
      <c r="R165" s="24"/>
      <c r="S165" s="25"/>
    </row>
    <row r="166" spans="1:19">
      <c r="A166" s="23" t="s">
        <v>41</v>
      </c>
      <c r="B166" s="23">
        <v>49</v>
      </c>
      <c r="C166" s="24">
        <v>11</v>
      </c>
      <c r="D166" s="23" t="s">
        <v>79</v>
      </c>
      <c r="E166" s="24" t="s">
        <v>98</v>
      </c>
      <c r="F166" s="24" t="s">
        <v>98</v>
      </c>
      <c r="G166" s="25"/>
      <c r="H166" s="25"/>
      <c r="I166" s="24">
        <v>85</v>
      </c>
      <c r="J166" s="35">
        <v>2.52</v>
      </c>
      <c r="K166" s="25"/>
      <c r="L166" s="24">
        <v>2</v>
      </c>
      <c r="M166" s="24"/>
      <c r="N166" s="24"/>
      <c r="O166" s="25">
        <v>1</v>
      </c>
      <c r="P166" s="25">
        <v>1</v>
      </c>
      <c r="Q166" s="24">
        <v>1</v>
      </c>
      <c r="R166" s="24"/>
      <c r="S166" s="25"/>
    </row>
    <row r="167" spans="1:19">
      <c r="A167" s="23" t="s">
        <v>41</v>
      </c>
      <c r="B167" s="23">
        <v>49</v>
      </c>
      <c r="C167" s="24">
        <v>12</v>
      </c>
      <c r="D167" s="23" t="s">
        <v>79</v>
      </c>
      <c r="E167" s="24" t="s">
        <v>98</v>
      </c>
      <c r="F167" s="24" t="s">
        <v>98</v>
      </c>
      <c r="G167" s="25"/>
      <c r="H167" s="25"/>
      <c r="I167" s="24"/>
      <c r="J167" s="35"/>
      <c r="K167" s="24"/>
      <c r="L167" s="24"/>
      <c r="M167" s="24"/>
      <c r="N167" s="24"/>
      <c r="O167" s="25"/>
      <c r="P167" s="25"/>
      <c r="Q167" s="24"/>
      <c r="R167" s="24"/>
      <c r="S167" s="25"/>
    </row>
    <row r="168" spans="1:19">
      <c r="A168" s="23" t="s">
        <v>41</v>
      </c>
      <c r="B168" s="23">
        <v>49</v>
      </c>
      <c r="C168" s="24">
        <v>13</v>
      </c>
      <c r="D168" s="23" t="s">
        <v>79</v>
      </c>
      <c r="E168" s="24" t="s">
        <v>98</v>
      </c>
      <c r="F168" s="24" t="s">
        <v>98</v>
      </c>
      <c r="G168" s="25"/>
      <c r="H168" s="25"/>
      <c r="I168" s="24"/>
      <c r="J168" s="35"/>
      <c r="K168" s="25"/>
      <c r="L168" s="24"/>
      <c r="M168" s="24"/>
      <c r="N168" s="24"/>
      <c r="O168" s="25"/>
      <c r="P168" s="25"/>
      <c r="Q168" s="24"/>
      <c r="R168" s="24"/>
      <c r="S168" s="25"/>
    </row>
    <row r="169" spans="1:19">
      <c r="A169" s="23" t="s">
        <v>41</v>
      </c>
      <c r="B169" s="23">
        <v>49</v>
      </c>
      <c r="C169" s="24">
        <v>14</v>
      </c>
      <c r="D169" s="23" t="s">
        <v>79</v>
      </c>
      <c r="E169" s="24" t="s">
        <v>98</v>
      </c>
      <c r="F169" s="24" t="s">
        <v>98</v>
      </c>
      <c r="G169" s="25"/>
      <c r="H169" s="25"/>
      <c r="I169" s="24">
        <v>60</v>
      </c>
      <c r="J169" s="35">
        <v>1.67</v>
      </c>
      <c r="K169" s="25"/>
      <c r="L169" s="24"/>
      <c r="M169" s="24"/>
      <c r="N169" s="24"/>
      <c r="O169" s="25"/>
      <c r="P169" s="25"/>
      <c r="Q169" s="24"/>
      <c r="R169" s="24"/>
      <c r="S169" s="25"/>
    </row>
    <row r="170" spans="1:19">
      <c r="A170" s="23" t="s">
        <v>41</v>
      </c>
      <c r="B170" s="23">
        <v>51</v>
      </c>
      <c r="C170" s="24">
        <v>8</v>
      </c>
      <c r="D170" s="23" t="s">
        <v>79</v>
      </c>
      <c r="E170" s="24" t="s">
        <v>98</v>
      </c>
      <c r="F170" s="24" t="s">
        <v>98</v>
      </c>
      <c r="G170" s="25"/>
      <c r="H170" s="25"/>
      <c r="I170" s="24">
        <v>82</v>
      </c>
      <c r="J170" s="35">
        <v>2.3199999999999998</v>
      </c>
      <c r="K170" s="25"/>
      <c r="L170" s="24">
        <v>2</v>
      </c>
      <c r="M170" s="24"/>
      <c r="N170" s="24"/>
      <c r="O170" s="25"/>
      <c r="P170" s="25">
        <v>1</v>
      </c>
      <c r="Q170" s="24"/>
      <c r="R170" s="24"/>
      <c r="S170" s="25"/>
    </row>
    <row r="171" spans="1:19">
      <c r="A171" s="23" t="s">
        <v>41</v>
      </c>
      <c r="B171" s="23">
        <v>51</v>
      </c>
      <c r="C171" s="24">
        <v>9</v>
      </c>
      <c r="D171" s="23" t="s">
        <v>79</v>
      </c>
      <c r="E171" s="24" t="s">
        <v>98</v>
      </c>
      <c r="F171" s="24" t="s">
        <v>98</v>
      </c>
      <c r="G171" s="25"/>
      <c r="H171" s="25"/>
      <c r="I171" s="24">
        <v>71</v>
      </c>
      <c r="J171" s="35">
        <v>1.78</v>
      </c>
      <c r="K171" s="25"/>
      <c r="L171" s="25">
        <v>1</v>
      </c>
      <c r="M171" s="25"/>
      <c r="N171" s="24"/>
      <c r="O171" s="25"/>
      <c r="P171" s="25">
        <v>1</v>
      </c>
      <c r="Q171" s="24"/>
      <c r="R171" s="24"/>
      <c r="S171" s="25"/>
    </row>
    <row r="172" spans="1:19">
      <c r="A172" s="23" t="s">
        <v>41</v>
      </c>
      <c r="B172" s="23">
        <v>51</v>
      </c>
      <c r="C172" s="24">
        <v>10</v>
      </c>
      <c r="D172" s="23" t="s">
        <v>79</v>
      </c>
      <c r="E172" s="24" t="s">
        <v>98</v>
      </c>
      <c r="F172" s="24" t="s">
        <v>98</v>
      </c>
      <c r="G172" s="25"/>
      <c r="H172" s="25"/>
      <c r="I172" s="24">
        <v>185</v>
      </c>
      <c r="J172" s="35">
        <v>4.0599999999999996</v>
      </c>
      <c r="K172" s="24">
        <v>1.49</v>
      </c>
      <c r="L172" s="24"/>
      <c r="M172" s="24">
        <v>2</v>
      </c>
      <c r="N172" s="24"/>
      <c r="O172" s="25"/>
      <c r="P172" s="25"/>
      <c r="Q172" s="24"/>
      <c r="R172" s="24"/>
      <c r="S172" s="25"/>
    </row>
    <row r="173" spans="1:19">
      <c r="A173" s="23" t="s">
        <v>41</v>
      </c>
      <c r="B173" s="23">
        <v>51</v>
      </c>
      <c r="C173" s="24">
        <v>11</v>
      </c>
      <c r="D173" s="23" t="s">
        <v>79</v>
      </c>
      <c r="E173" s="24" t="s">
        <v>98</v>
      </c>
      <c r="F173" s="24" t="s">
        <v>98</v>
      </c>
      <c r="G173" s="25"/>
      <c r="H173" s="25"/>
      <c r="I173" s="24">
        <v>233</v>
      </c>
      <c r="J173" s="35">
        <v>5.29</v>
      </c>
      <c r="K173" s="25">
        <v>1.75</v>
      </c>
      <c r="L173" s="24">
        <v>1</v>
      </c>
      <c r="M173" s="24"/>
      <c r="N173" s="24"/>
      <c r="O173" s="25"/>
      <c r="P173" s="25"/>
      <c r="Q173" s="24"/>
      <c r="R173" s="24"/>
      <c r="S173" s="25"/>
    </row>
    <row r="174" spans="1:19">
      <c r="A174" s="23" t="s">
        <v>41</v>
      </c>
      <c r="B174" s="23">
        <v>51</v>
      </c>
      <c r="C174" s="24">
        <v>12</v>
      </c>
      <c r="D174" s="23" t="s">
        <v>79</v>
      </c>
      <c r="E174" s="24" t="s">
        <v>98</v>
      </c>
      <c r="F174" s="24" t="s">
        <v>98</v>
      </c>
      <c r="G174" s="25"/>
      <c r="H174" s="25"/>
      <c r="I174" s="24">
        <v>176</v>
      </c>
      <c r="J174" s="35">
        <v>5.04</v>
      </c>
      <c r="K174" s="24">
        <v>1.49</v>
      </c>
      <c r="L174" s="24">
        <v>1</v>
      </c>
      <c r="M174" s="24">
        <v>2</v>
      </c>
      <c r="N174" s="24">
        <v>5</v>
      </c>
      <c r="O174" s="25"/>
      <c r="P174" s="25">
        <v>1</v>
      </c>
      <c r="Q174" s="24"/>
      <c r="R174" s="24"/>
      <c r="S174" s="25"/>
    </row>
    <row r="175" spans="1:19">
      <c r="A175" s="23" t="s">
        <v>41</v>
      </c>
      <c r="B175" s="23">
        <v>51</v>
      </c>
      <c r="C175" s="24">
        <v>13</v>
      </c>
      <c r="D175" s="23" t="s">
        <v>79</v>
      </c>
      <c r="E175" s="24" t="s">
        <v>98</v>
      </c>
      <c r="F175" s="24" t="s">
        <v>98</v>
      </c>
      <c r="G175" s="25"/>
      <c r="H175" s="25"/>
      <c r="I175" s="24">
        <v>242</v>
      </c>
      <c r="J175" s="35">
        <v>5.45</v>
      </c>
      <c r="K175" s="25">
        <v>2.46</v>
      </c>
      <c r="L175" s="24"/>
      <c r="M175" s="24">
        <v>15</v>
      </c>
      <c r="N175" s="24"/>
      <c r="O175" s="25"/>
      <c r="P175" s="25"/>
      <c r="Q175" s="24">
        <v>1</v>
      </c>
      <c r="R175" s="24"/>
      <c r="S175" s="25"/>
    </row>
    <row r="176" spans="1:19">
      <c r="A176" s="23" t="s">
        <v>41</v>
      </c>
      <c r="B176" s="23">
        <v>51</v>
      </c>
      <c r="C176" s="24">
        <v>14</v>
      </c>
      <c r="D176" s="23" t="s">
        <v>79</v>
      </c>
      <c r="E176" s="24" t="s">
        <v>98</v>
      </c>
      <c r="F176" s="24" t="s">
        <v>98</v>
      </c>
      <c r="G176" s="25"/>
      <c r="H176" s="25"/>
      <c r="I176" s="24">
        <v>81</v>
      </c>
      <c r="J176" s="35">
        <v>2.89</v>
      </c>
      <c r="K176" s="25"/>
      <c r="L176" s="24">
        <v>3</v>
      </c>
      <c r="M176" s="24"/>
      <c r="N176" s="24"/>
      <c r="O176" s="25"/>
      <c r="P176" s="25">
        <v>1</v>
      </c>
      <c r="Q176" s="24"/>
      <c r="R176" s="24"/>
      <c r="S176" s="25" t="s">
        <v>82</v>
      </c>
    </row>
    <row r="177" spans="1:19">
      <c r="A177" s="23" t="s">
        <v>41</v>
      </c>
      <c r="B177" s="23">
        <v>53</v>
      </c>
      <c r="C177" s="24">
        <v>8</v>
      </c>
      <c r="D177" s="23" t="s">
        <v>79</v>
      </c>
      <c r="E177" s="24" t="s">
        <v>98</v>
      </c>
      <c r="F177" s="24" t="s">
        <v>98</v>
      </c>
      <c r="G177" s="25"/>
      <c r="H177" s="25"/>
      <c r="I177" s="24"/>
      <c r="J177" s="35"/>
      <c r="K177" s="25"/>
      <c r="L177" s="24"/>
      <c r="M177" s="24"/>
      <c r="N177" s="24"/>
      <c r="O177" s="25"/>
      <c r="P177" s="25"/>
      <c r="Q177" s="24"/>
      <c r="R177" s="24" t="s">
        <v>83</v>
      </c>
      <c r="S177" s="25" t="s">
        <v>121</v>
      </c>
    </row>
    <row r="178" spans="1:19">
      <c r="A178" s="23" t="s">
        <v>41</v>
      </c>
      <c r="B178" s="23">
        <v>53</v>
      </c>
      <c r="C178" s="24">
        <v>9</v>
      </c>
      <c r="D178" s="23" t="s">
        <v>79</v>
      </c>
      <c r="E178" s="24" t="s">
        <v>98</v>
      </c>
      <c r="F178" s="24" t="s">
        <v>98</v>
      </c>
      <c r="G178" s="25"/>
      <c r="H178" s="25"/>
      <c r="I178" s="24"/>
      <c r="J178" s="35"/>
      <c r="K178" s="25"/>
      <c r="L178" s="25"/>
      <c r="M178" s="25"/>
      <c r="N178" s="24"/>
      <c r="O178" s="25"/>
      <c r="P178" s="25"/>
      <c r="Q178" s="24"/>
      <c r="R178" s="24" t="s">
        <v>83</v>
      </c>
      <c r="S178" s="25" t="s">
        <v>121</v>
      </c>
    </row>
    <row r="179" spans="1:19">
      <c r="A179" s="23" t="s">
        <v>41</v>
      </c>
      <c r="B179" s="23">
        <v>53</v>
      </c>
      <c r="C179" s="24">
        <v>10</v>
      </c>
      <c r="D179" s="23" t="s">
        <v>79</v>
      </c>
      <c r="E179" s="24" t="s">
        <v>98</v>
      </c>
      <c r="F179" s="24" t="s">
        <v>98</v>
      </c>
      <c r="G179" s="25"/>
      <c r="H179" s="25"/>
      <c r="I179" s="24"/>
      <c r="J179" s="35"/>
      <c r="K179" s="24"/>
      <c r="L179" s="24"/>
      <c r="M179" s="24"/>
      <c r="N179" s="24"/>
      <c r="O179" s="25"/>
      <c r="P179" s="25"/>
      <c r="Q179" s="24"/>
      <c r="R179" s="24" t="s">
        <v>83</v>
      </c>
      <c r="S179" s="25" t="s">
        <v>121</v>
      </c>
    </row>
    <row r="180" spans="1:19">
      <c r="A180" s="23" t="s">
        <v>41</v>
      </c>
      <c r="B180" s="23">
        <v>53</v>
      </c>
      <c r="C180" s="24">
        <v>11</v>
      </c>
      <c r="D180" s="23" t="s">
        <v>79</v>
      </c>
      <c r="E180" s="24" t="s">
        <v>98</v>
      </c>
      <c r="F180" s="24" t="s">
        <v>98</v>
      </c>
      <c r="G180" s="25"/>
      <c r="H180" s="25"/>
      <c r="I180" s="24">
        <v>96</v>
      </c>
      <c r="J180" s="35">
        <v>1.31</v>
      </c>
      <c r="K180" s="25"/>
      <c r="L180" s="24">
        <v>3</v>
      </c>
      <c r="M180" s="24"/>
      <c r="N180" s="24"/>
      <c r="O180" s="25"/>
      <c r="P180" s="25"/>
      <c r="Q180" s="24"/>
      <c r="R180" s="24"/>
      <c r="S180" s="25"/>
    </row>
    <row r="181" spans="1:19">
      <c r="A181" s="23" t="s">
        <v>41</v>
      </c>
      <c r="B181" s="23">
        <v>53</v>
      </c>
      <c r="C181" s="24">
        <v>12</v>
      </c>
      <c r="D181" s="23" t="s">
        <v>79</v>
      </c>
      <c r="E181" s="24" t="s">
        <v>98</v>
      </c>
      <c r="F181" s="24" t="s">
        <v>98</v>
      </c>
      <c r="G181" s="25"/>
      <c r="H181" s="25"/>
      <c r="I181" s="24">
        <v>215</v>
      </c>
      <c r="J181" s="35">
        <v>3.14</v>
      </c>
      <c r="K181" s="24">
        <v>1.55</v>
      </c>
      <c r="L181" s="24"/>
      <c r="M181" s="24"/>
      <c r="N181" s="24"/>
      <c r="O181" s="25"/>
      <c r="P181" s="25"/>
      <c r="Q181" s="24">
        <v>1</v>
      </c>
      <c r="R181" s="24"/>
      <c r="S181" s="25"/>
    </row>
    <row r="182" spans="1:19">
      <c r="A182" s="23" t="s">
        <v>41</v>
      </c>
      <c r="B182" s="23">
        <v>53</v>
      </c>
      <c r="C182" s="24">
        <v>13</v>
      </c>
      <c r="D182" s="23" t="s">
        <v>79</v>
      </c>
      <c r="E182" s="24" t="s">
        <v>98</v>
      </c>
      <c r="F182" s="24" t="s">
        <v>98</v>
      </c>
      <c r="G182" s="25"/>
      <c r="H182" s="25"/>
      <c r="I182" s="24">
        <v>33</v>
      </c>
      <c r="J182" s="35">
        <v>0.49</v>
      </c>
      <c r="K182" s="25"/>
      <c r="L182" s="24"/>
      <c r="M182" s="24"/>
      <c r="N182" s="24"/>
      <c r="O182" s="25"/>
      <c r="P182" s="25"/>
      <c r="Q182" s="24"/>
      <c r="R182" s="24"/>
      <c r="S182" s="25"/>
    </row>
    <row r="183" spans="1:19">
      <c r="A183" s="23" t="s">
        <v>41</v>
      </c>
      <c r="B183" s="23">
        <v>53</v>
      </c>
      <c r="C183" s="24">
        <v>14</v>
      </c>
      <c r="D183" s="23" t="s">
        <v>79</v>
      </c>
      <c r="E183" s="24" t="s">
        <v>98</v>
      </c>
      <c r="F183" s="24" t="s">
        <v>98</v>
      </c>
      <c r="G183" s="25"/>
      <c r="H183" s="25"/>
      <c r="I183" s="24">
        <v>113</v>
      </c>
      <c r="J183" s="35">
        <v>1.87</v>
      </c>
      <c r="K183" s="25"/>
      <c r="L183" s="24">
        <v>2</v>
      </c>
      <c r="M183" s="24"/>
      <c r="N183" s="24"/>
      <c r="O183" s="25"/>
      <c r="P183" s="25"/>
      <c r="Q183" s="24"/>
      <c r="R183" s="24"/>
      <c r="S183" s="25"/>
    </row>
    <row r="184" spans="1:19">
      <c r="A184" s="23" t="s">
        <v>41</v>
      </c>
      <c r="B184" s="23">
        <v>54</v>
      </c>
      <c r="C184" s="24">
        <v>8</v>
      </c>
      <c r="D184" s="23" t="s">
        <v>79</v>
      </c>
      <c r="E184" s="24"/>
      <c r="F184" s="24"/>
      <c r="G184" s="25"/>
      <c r="H184" s="25"/>
      <c r="I184" s="24"/>
      <c r="J184" s="35"/>
      <c r="K184" s="25"/>
      <c r="L184" s="24"/>
      <c r="M184" s="24"/>
      <c r="N184" s="24"/>
      <c r="O184" s="25"/>
      <c r="P184" s="25"/>
      <c r="Q184" s="24"/>
      <c r="R184" s="24" t="s">
        <v>83</v>
      </c>
      <c r="S184" s="25"/>
    </row>
    <row r="185" spans="1:19">
      <c r="A185" s="23" t="s">
        <v>41</v>
      </c>
      <c r="B185" s="23">
        <v>54</v>
      </c>
      <c r="C185" s="24">
        <v>9</v>
      </c>
      <c r="D185" s="23" t="s">
        <v>79</v>
      </c>
      <c r="E185" s="24">
        <v>60</v>
      </c>
      <c r="F185" s="24">
        <v>1.4</v>
      </c>
      <c r="G185" s="25"/>
      <c r="H185" s="24">
        <v>3</v>
      </c>
      <c r="I185" s="24">
        <v>80</v>
      </c>
      <c r="J185" s="35">
        <v>2.37</v>
      </c>
      <c r="K185" s="25"/>
      <c r="L185" s="24"/>
      <c r="M185" s="24"/>
      <c r="N185" s="24"/>
      <c r="O185" s="25">
        <v>1</v>
      </c>
      <c r="P185" s="25"/>
      <c r="Q185" s="24">
        <v>1</v>
      </c>
      <c r="R185" s="24"/>
      <c r="S185" s="25"/>
    </row>
    <row r="186" spans="1:19">
      <c r="A186" s="23" t="s">
        <v>41</v>
      </c>
      <c r="B186" s="23">
        <v>54</v>
      </c>
      <c r="C186" s="24">
        <v>10</v>
      </c>
      <c r="D186" s="23" t="s">
        <v>79</v>
      </c>
      <c r="E186" s="24"/>
      <c r="F186" s="24"/>
      <c r="G186" s="25"/>
      <c r="H186" s="24"/>
      <c r="I186" s="24"/>
      <c r="J186" s="35"/>
      <c r="K186" s="25"/>
      <c r="L186" s="24"/>
      <c r="M186" s="24"/>
      <c r="N186" s="24"/>
      <c r="O186" s="25"/>
      <c r="P186" s="25"/>
      <c r="Q186" s="24"/>
      <c r="R186" s="24" t="s">
        <v>83</v>
      </c>
      <c r="S186" s="25"/>
    </row>
    <row r="187" spans="1:19">
      <c r="A187" s="23" t="s">
        <v>41</v>
      </c>
      <c r="B187" s="23">
        <v>54</v>
      </c>
      <c r="C187" s="24">
        <v>11</v>
      </c>
      <c r="D187" s="23" t="s">
        <v>79</v>
      </c>
      <c r="E187" s="25"/>
      <c r="F187" s="25"/>
      <c r="G187" s="25"/>
      <c r="H187" s="25"/>
      <c r="I187" s="25"/>
      <c r="J187" s="34"/>
      <c r="K187" s="25"/>
      <c r="L187" s="25"/>
      <c r="M187" s="25"/>
      <c r="N187" s="24"/>
      <c r="O187" s="25"/>
      <c r="P187" s="25"/>
      <c r="Q187" s="24"/>
      <c r="R187" s="24" t="s">
        <v>83</v>
      </c>
      <c r="S187" s="25"/>
    </row>
    <row r="188" spans="1:19">
      <c r="A188" s="23" t="s">
        <v>41</v>
      </c>
      <c r="B188" s="23">
        <v>54</v>
      </c>
      <c r="C188" s="24">
        <v>12</v>
      </c>
      <c r="D188" s="23" t="s">
        <v>79</v>
      </c>
      <c r="E188" s="25"/>
      <c r="F188" s="25"/>
      <c r="G188" s="25"/>
      <c r="H188" s="25"/>
      <c r="I188" s="25"/>
      <c r="J188" s="34"/>
      <c r="K188" s="25"/>
      <c r="L188" s="25"/>
      <c r="M188" s="25"/>
      <c r="N188" s="24"/>
      <c r="O188" s="25"/>
      <c r="P188" s="25"/>
      <c r="Q188" s="24"/>
      <c r="R188" s="24" t="s">
        <v>83</v>
      </c>
      <c r="S188" s="25"/>
    </row>
    <row r="189" spans="1:19">
      <c r="A189" s="23" t="s">
        <v>41</v>
      </c>
      <c r="B189" s="23">
        <v>54</v>
      </c>
      <c r="C189" s="24">
        <v>13</v>
      </c>
      <c r="D189" s="23" t="s">
        <v>79</v>
      </c>
      <c r="E189" s="23"/>
      <c r="F189" s="25"/>
      <c r="G189" s="25"/>
      <c r="H189" s="24">
        <v>5</v>
      </c>
      <c r="I189" s="23"/>
      <c r="J189" s="34"/>
      <c r="K189" s="25"/>
      <c r="L189" s="24"/>
      <c r="M189" s="24"/>
      <c r="N189" s="24"/>
      <c r="O189" s="25"/>
      <c r="P189" s="25"/>
      <c r="Q189" s="24"/>
      <c r="R189" s="24" t="s">
        <v>83</v>
      </c>
      <c r="S189" s="25"/>
    </row>
    <row r="190" spans="1:19">
      <c r="A190" s="23" t="s">
        <v>41</v>
      </c>
      <c r="B190" s="23">
        <v>54</v>
      </c>
      <c r="C190" s="24">
        <v>14</v>
      </c>
      <c r="D190" s="23" t="s">
        <v>79</v>
      </c>
      <c r="E190" s="23"/>
      <c r="F190" s="25"/>
      <c r="G190" s="25"/>
      <c r="H190" s="24"/>
      <c r="I190" s="23"/>
      <c r="J190" s="34"/>
      <c r="K190" s="25"/>
      <c r="L190" s="24"/>
      <c r="M190" s="24"/>
      <c r="N190" s="24"/>
      <c r="O190" s="25"/>
      <c r="P190" s="25"/>
      <c r="Q190" s="24"/>
      <c r="R190" s="24" t="s">
        <v>83</v>
      </c>
      <c r="S190" s="25"/>
    </row>
    <row r="191" spans="1:19">
      <c r="A191" s="23" t="s">
        <v>40</v>
      </c>
      <c r="B191" s="23">
        <v>61</v>
      </c>
      <c r="C191" s="24">
        <v>8</v>
      </c>
      <c r="D191" s="23" t="s">
        <v>79</v>
      </c>
      <c r="E191" s="24">
        <v>55</v>
      </c>
      <c r="F191" s="24">
        <v>1.3</v>
      </c>
      <c r="G191" s="25"/>
      <c r="H191" s="24">
        <v>0</v>
      </c>
      <c r="I191" s="23"/>
      <c r="J191" s="34"/>
      <c r="K191" s="25"/>
      <c r="L191" s="24"/>
      <c r="M191" s="24"/>
      <c r="N191" s="24"/>
      <c r="O191" s="25"/>
      <c r="P191" s="25"/>
      <c r="Q191" s="24"/>
      <c r="R191" s="24" t="s">
        <v>111</v>
      </c>
      <c r="S191" s="25"/>
    </row>
    <row r="192" spans="1:19">
      <c r="A192" s="23" t="s">
        <v>40</v>
      </c>
      <c r="B192" s="23">
        <v>61</v>
      </c>
      <c r="C192" s="24">
        <v>9</v>
      </c>
      <c r="D192" s="23" t="s">
        <v>79</v>
      </c>
      <c r="E192" s="24">
        <v>58</v>
      </c>
      <c r="F192" s="24">
        <v>1.1000000000000001</v>
      </c>
      <c r="G192" s="25"/>
      <c r="H192" s="24">
        <v>0</v>
      </c>
      <c r="I192" s="23"/>
      <c r="J192" s="34"/>
      <c r="K192" s="25"/>
      <c r="L192" s="24"/>
      <c r="M192" s="24"/>
      <c r="N192" s="24"/>
      <c r="O192" s="25"/>
      <c r="P192" s="25"/>
      <c r="Q192" s="24"/>
      <c r="R192" s="24" t="s">
        <v>111</v>
      </c>
      <c r="S192" s="25"/>
    </row>
    <row r="193" spans="1:19">
      <c r="A193" s="23" t="s">
        <v>40</v>
      </c>
      <c r="B193" s="23">
        <v>61</v>
      </c>
      <c r="C193" s="24">
        <v>10</v>
      </c>
      <c r="D193" s="23" t="s">
        <v>79</v>
      </c>
      <c r="E193" s="24">
        <v>56</v>
      </c>
      <c r="F193" s="24">
        <v>1.4</v>
      </c>
      <c r="G193" s="25"/>
      <c r="H193" s="24">
        <v>1</v>
      </c>
      <c r="I193" s="23"/>
      <c r="J193" s="34"/>
      <c r="K193" s="25"/>
      <c r="L193" s="24"/>
      <c r="M193" s="24"/>
      <c r="N193" s="24"/>
      <c r="O193" s="25"/>
      <c r="P193" s="25"/>
      <c r="Q193" s="24"/>
      <c r="R193" s="24" t="s">
        <v>111</v>
      </c>
      <c r="S193" s="25"/>
    </row>
    <row r="194" spans="1:19">
      <c r="A194" s="23" t="s">
        <v>40</v>
      </c>
      <c r="B194" s="23">
        <v>61</v>
      </c>
      <c r="C194" s="24">
        <v>11</v>
      </c>
      <c r="D194" s="23" t="s">
        <v>79</v>
      </c>
      <c r="E194" s="24">
        <v>43</v>
      </c>
      <c r="F194" s="24">
        <v>0.8</v>
      </c>
      <c r="G194" s="25"/>
      <c r="H194" s="24">
        <v>0</v>
      </c>
      <c r="I194" s="24">
        <v>76</v>
      </c>
      <c r="J194" s="35">
        <v>1.49</v>
      </c>
      <c r="K194" s="25"/>
      <c r="L194" s="24"/>
      <c r="M194" s="24"/>
      <c r="N194" s="24"/>
      <c r="O194" s="25"/>
      <c r="P194" s="25"/>
      <c r="Q194" s="24"/>
      <c r="R194" s="24"/>
      <c r="S194" s="25"/>
    </row>
    <row r="195" spans="1:19">
      <c r="A195" s="23" t="s">
        <v>40</v>
      </c>
      <c r="B195" s="23">
        <v>61</v>
      </c>
      <c r="C195" s="24">
        <v>12</v>
      </c>
      <c r="D195" s="23" t="s">
        <v>79</v>
      </c>
      <c r="E195" s="24">
        <v>22</v>
      </c>
      <c r="F195" s="24">
        <v>0.7</v>
      </c>
      <c r="G195" s="25"/>
      <c r="H195" s="24">
        <v>0</v>
      </c>
      <c r="I195" s="24">
        <v>39</v>
      </c>
      <c r="J195" s="35">
        <v>0.98</v>
      </c>
      <c r="K195" s="25"/>
      <c r="L195" s="24"/>
      <c r="M195" s="24"/>
      <c r="N195" s="24"/>
      <c r="O195" s="25"/>
      <c r="P195" s="25"/>
      <c r="Q195" s="24"/>
      <c r="R195" s="24"/>
      <c r="S195" s="25"/>
    </row>
    <row r="196" spans="1:19">
      <c r="A196" s="23" t="s">
        <v>40</v>
      </c>
      <c r="B196" s="23">
        <v>61</v>
      </c>
      <c r="C196" s="24">
        <v>13</v>
      </c>
      <c r="D196" s="23" t="s">
        <v>79</v>
      </c>
      <c r="E196" s="24">
        <v>68</v>
      </c>
      <c r="F196" s="24">
        <v>1.6</v>
      </c>
      <c r="G196" s="25"/>
      <c r="H196" s="24">
        <v>0</v>
      </c>
      <c r="I196" s="24">
        <v>116</v>
      </c>
      <c r="J196" s="35">
        <v>2.76</v>
      </c>
      <c r="K196" s="25"/>
      <c r="L196" s="24"/>
      <c r="M196" s="24"/>
      <c r="N196" s="24"/>
      <c r="O196" s="25"/>
      <c r="P196" s="25"/>
      <c r="Q196" s="24">
        <v>1</v>
      </c>
      <c r="R196" s="24"/>
      <c r="S196" s="25"/>
    </row>
    <row r="197" spans="1:19">
      <c r="A197" s="23" t="s">
        <v>40</v>
      </c>
      <c r="B197" s="23">
        <v>61</v>
      </c>
      <c r="C197" s="24">
        <v>14</v>
      </c>
      <c r="D197" s="23" t="s">
        <v>79</v>
      </c>
      <c r="E197" s="24">
        <v>28</v>
      </c>
      <c r="F197" s="24">
        <v>0.6</v>
      </c>
      <c r="G197" s="25"/>
      <c r="H197" s="24">
        <v>0</v>
      </c>
      <c r="I197" s="24">
        <v>61</v>
      </c>
      <c r="J197" s="35">
        <v>0.85</v>
      </c>
      <c r="K197" s="25"/>
      <c r="L197" s="24"/>
      <c r="M197" s="24"/>
      <c r="N197" s="24"/>
      <c r="O197" s="25"/>
      <c r="P197" s="25"/>
      <c r="Q197" s="24"/>
      <c r="R197" s="24"/>
      <c r="S197" s="25"/>
    </row>
    <row r="198" spans="1:19">
      <c r="A198" s="23" t="s">
        <v>40</v>
      </c>
      <c r="B198" s="23">
        <v>62</v>
      </c>
      <c r="C198" s="24">
        <v>8</v>
      </c>
      <c r="D198" s="23" t="s">
        <v>79</v>
      </c>
      <c r="E198" s="24">
        <v>93</v>
      </c>
      <c r="F198" s="24">
        <v>1.8</v>
      </c>
      <c r="G198" s="25"/>
      <c r="H198" s="24">
        <v>0</v>
      </c>
      <c r="I198" s="23"/>
      <c r="J198" s="34"/>
      <c r="K198" s="25"/>
      <c r="L198" s="24"/>
      <c r="M198" s="24"/>
      <c r="N198" s="24"/>
      <c r="O198" s="25"/>
      <c r="P198" s="25"/>
      <c r="Q198" s="24"/>
      <c r="R198" s="24" t="s">
        <v>111</v>
      </c>
      <c r="S198" s="25"/>
    </row>
    <row r="199" spans="1:19">
      <c r="A199" s="23" t="s">
        <v>40</v>
      </c>
      <c r="B199" s="23">
        <v>62</v>
      </c>
      <c r="C199" s="24">
        <v>9</v>
      </c>
      <c r="D199" s="23" t="s">
        <v>79</v>
      </c>
      <c r="E199" s="24">
        <v>48</v>
      </c>
      <c r="F199" s="24">
        <v>1.2</v>
      </c>
      <c r="G199" s="25"/>
      <c r="H199" s="24">
        <v>1</v>
      </c>
      <c r="I199" s="23"/>
      <c r="J199" s="34"/>
      <c r="K199" s="25"/>
      <c r="L199" s="24"/>
      <c r="M199" s="24"/>
      <c r="N199" s="24"/>
      <c r="O199" s="25"/>
      <c r="P199" s="25"/>
      <c r="Q199" s="24"/>
      <c r="R199" s="24" t="s">
        <v>111</v>
      </c>
      <c r="S199" s="25"/>
    </row>
    <row r="200" spans="1:19">
      <c r="A200" s="23" t="s">
        <v>40</v>
      </c>
      <c r="B200" s="23">
        <v>62</v>
      </c>
      <c r="C200" s="24">
        <v>10</v>
      </c>
      <c r="D200" s="23" t="s">
        <v>79</v>
      </c>
      <c r="E200" s="24">
        <v>79</v>
      </c>
      <c r="F200" s="24">
        <v>1.3</v>
      </c>
      <c r="G200" s="25"/>
      <c r="H200" s="24">
        <v>2</v>
      </c>
      <c r="I200" s="23"/>
      <c r="J200" s="34"/>
      <c r="K200" s="25"/>
      <c r="L200" s="24"/>
      <c r="M200" s="24"/>
      <c r="N200" s="24"/>
      <c r="O200" s="25"/>
      <c r="P200" s="25"/>
      <c r="Q200" s="24"/>
      <c r="R200" s="24" t="s">
        <v>111</v>
      </c>
      <c r="S200" s="25"/>
    </row>
    <row r="201" spans="1:19">
      <c r="A201" s="23" t="s">
        <v>40</v>
      </c>
      <c r="B201" s="23">
        <v>62</v>
      </c>
      <c r="C201" s="24">
        <v>11</v>
      </c>
      <c r="D201" s="23" t="s">
        <v>79</v>
      </c>
      <c r="E201" s="24">
        <v>109</v>
      </c>
      <c r="F201" s="24">
        <v>2.2000000000000002</v>
      </c>
      <c r="G201" s="25"/>
      <c r="H201" s="24">
        <v>1</v>
      </c>
      <c r="I201" s="24">
        <v>183</v>
      </c>
      <c r="J201" s="35">
        <v>3.97</v>
      </c>
      <c r="K201" s="25">
        <v>1.68</v>
      </c>
      <c r="L201" s="24"/>
      <c r="M201" s="24">
        <v>1</v>
      </c>
      <c r="N201" s="24"/>
      <c r="O201" s="25"/>
      <c r="P201" s="25"/>
      <c r="Q201" s="24">
        <v>1</v>
      </c>
      <c r="R201" s="24"/>
      <c r="S201" s="25"/>
    </row>
    <row r="202" spans="1:19">
      <c r="A202" s="23" t="s">
        <v>40</v>
      </c>
      <c r="B202" s="23">
        <v>62</v>
      </c>
      <c r="C202" s="24">
        <v>12</v>
      </c>
      <c r="D202" s="23" t="s">
        <v>79</v>
      </c>
      <c r="E202" s="24">
        <v>88</v>
      </c>
      <c r="F202" s="24">
        <v>2</v>
      </c>
      <c r="G202" s="25"/>
      <c r="H202" s="24">
        <v>1</v>
      </c>
      <c r="I202" s="24">
        <v>160</v>
      </c>
      <c r="J202" s="35">
        <v>3.75</v>
      </c>
      <c r="K202" s="25">
        <v>1.22</v>
      </c>
      <c r="L202" s="24"/>
      <c r="M202" s="24"/>
      <c r="N202" s="24"/>
      <c r="O202" s="25"/>
      <c r="P202" s="25"/>
      <c r="Q202" s="24"/>
      <c r="R202" s="24"/>
      <c r="S202" s="25"/>
    </row>
    <row r="203" spans="1:19">
      <c r="A203" s="23" t="s">
        <v>40</v>
      </c>
      <c r="B203" s="23">
        <v>62</v>
      </c>
      <c r="C203" s="24">
        <v>13</v>
      </c>
      <c r="D203" s="23" t="s">
        <v>79</v>
      </c>
      <c r="E203" s="24">
        <v>45</v>
      </c>
      <c r="F203" s="24">
        <v>0.95</v>
      </c>
      <c r="G203" s="25"/>
      <c r="H203" s="24">
        <v>0</v>
      </c>
      <c r="I203" s="24">
        <v>73</v>
      </c>
      <c r="J203" s="35">
        <v>1.51</v>
      </c>
      <c r="K203" s="25"/>
      <c r="L203" s="24"/>
      <c r="M203" s="24"/>
      <c r="N203" s="24"/>
      <c r="O203" s="25"/>
      <c r="P203" s="25"/>
      <c r="Q203" s="24"/>
      <c r="R203" s="24"/>
      <c r="S203" s="25"/>
    </row>
    <row r="204" spans="1:19">
      <c r="A204" s="23" t="s">
        <v>40</v>
      </c>
      <c r="B204" s="23">
        <v>62</v>
      </c>
      <c r="C204" s="24">
        <v>14</v>
      </c>
      <c r="D204" s="23" t="s">
        <v>79</v>
      </c>
      <c r="E204" s="24">
        <v>81</v>
      </c>
      <c r="F204" s="24">
        <v>1.6</v>
      </c>
      <c r="G204" s="25"/>
      <c r="H204" s="24">
        <v>4</v>
      </c>
      <c r="I204" s="24">
        <v>122</v>
      </c>
      <c r="J204" s="35">
        <v>1.9</v>
      </c>
      <c r="K204" s="25"/>
      <c r="L204" s="24"/>
      <c r="M204" s="24"/>
      <c r="N204" s="24"/>
      <c r="O204" s="25"/>
      <c r="P204" s="25"/>
      <c r="Q204" s="24"/>
      <c r="R204" s="24"/>
      <c r="S204" s="25"/>
    </row>
    <row r="205" spans="1:19">
      <c r="A205" s="23" t="s">
        <v>40</v>
      </c>
      <c r="B205" s="23">
        <v>63</v>
      </c>
      <c r="C205" s="24">
        <v>8</v>
      </c>
      <c r="D205" s="23" t="s">
        <v>79</v>
      </c>
      <c r="E205" s="24">
        <v>33</v>
      </c>
      <c r="F205" s="24">
        <v>1.4</v>
      </c>
      <c r="G205" s="25"/>
      <c r="H205" s="24">
        <v>0</v>
      </c>
      <c r="I205" s="23"/>
      <c r="J205" s="34"/>
      <c r="K205" s="25"/>
      <c r="L205" s="24"/>
      <c r="M205" s="24"/>
      <c r="N205" s="24"/>
      <c r="O205" s="25"/>
      <c r="P205" s="25"/>
      <c r="Q205" s="24"/>
      <c r="R205" s="24" t="s">
        <v>111</v>
      </c>
      <c r="S205" s="25"/>
    </row>
    <row r="206" spans="1:19">
      <c r="A206" s="23" t="s">
        <v>40</v>
      </c>
      <c r="B206" s="23">
        <v>63</v>
      </c>
      <c r="C206" s="24">
        <v>9</v>
      </c>
      <c r="D206" s="23" t="s">
        <v>79</v>
      </c>
      <c r="E206" s="24">
        <v>61</v>
      </c>
      <c r="F206" s="24">
        <v>1.1000000000000001</v>
      </c>
      <c r="G206" s="25"/>
      <c r="H206" s="24">
        <v>0</v>
      </c>
      <c r="I206" s="23"/>
      <c r="J206" s="34"/>
      <c r="K206" s="25"/>
      <c r="L206" s="24"/>
      <c r="M206" s="24"/>
      <c r="N206" s="24"/>
      <c r="O206" s="25"/>
      <c r="P206" s="25"/>
      <c r="Q206" s="24"/>
      <c r="R206" s="24" t="s">
        <v>111</v>
      </c>
      <c r="S206" s="25"/>
    </row>
    <row r="207" spans="1:19">
      <c r="A207" s="23" t="s">
        <v>40</v>
      </c>
      <c r="B207" s="23">
        <v>63</v>
      </c>
      <c r="C207" s="24">
        <v>10</v>
      </c>
      <c r="D207" s="23" t="s">
        <v>79</v>
      </c>
      <c r="E207" s="24">
        <v>137</v>
      </c>
      <c r="F207" s="24">
        <v>2.8</v>
      </c>
      <c r="G207" s="25"/>
      <c r="H207" s="24">
        <v>1</v>
      </c>
      <c r="I207" s="23"/>
      <c r="J207" s="34"/>
      <c r="K207" s="25"/>
      <c r="L207" s="24"/>
      <c r="M207" s="24"/>
      <c r="N207" s="24"/>
      <c r="O207" s="25"/>
      <c r="P207" s="25"/>
      <c r="Q207" s="24"/>
      <c r="R207" s="24" t="s">
        <v>111</v>
      </c>
      <c r="S207" s="25"/>
    </row>
    <row r="208" spans="1:19">
      <c r="A208" s="23" t="s">
        <v>40</v>
      </c>
      <c r="B208" s="23">
        <v>63</v>
      </c>
      <c r="C208" s="24">
        <v>11</v>
      </c>
      <c r="D208" s="23" t="s">
        <v>79</v>
      </c>
      <c r="E208" s="24">
        <v>22</v>
      </c>
      <c r="F208" s="24">
        <v>0.5</v>
      </c>
      <c r="G208" s="25"/>
      <c r="H208" s="24">
        <v>0</v>
      </c>
      <c r="I208" s="24">
        <v>42</v>
      </c>
      <c r="J208" s="35">
        <v>0.82</v>
      </c>
      <c r="K208" s="25"/>
      <c r="L208" s="24"/>
      <c r="M208" s="24"/>
      <c r="N208" s="24"/>
      <c r="O208" s="25"/>
      <c r="P208" s="25"/>
      <c r="Q208" s="24"/>
      <c r="R208" s="24"/>
      <c r="S208" s="25"/>
    </row>
    <row r="209" spans="1:19">
      <c r="A209" s="23" t="s">
        <v>40</v>
      </c>
      <c r="B209" s="23">
        <v>63</v>
      </c>
      <c r="C209" s="24">
        <v>12</v>
      </c>
      <c r="D209" s="23" t="s">
        <v>79</v>
      </c>
      <c r="E209" s="24">
        <v>58</v>
      </c>
      <c r="F209" s="24">
        <v>1.1000000000000001</v>
      </c>
      <c r="G209" s="25"/>
      <c r="H209" s="24">
        <v>0</v>
      </c>
      <c r="I209" s="24">
        <v>96</v>
      </c>
      <c r="J209" s="35">
        <v>1.5</v>
      </c>
      <c r="K209" s="25"/>
      <c r="L209" s="24"/>
      <c r="M209" s="24"/>
      <c r="N209" s="24"/>
      <c r="O209" s="25"/>
      <c r="P209" s="25"/>
      <c r="Q209" s="24">
        <v>1</v>
      </c>
      <c r="R209" s="24"/>
      <c r="S209" s="25"/>
    </row>
    <row r="210" spans="1:19">
      <c r="A210" s="23" t="s">
        <v>40</v>
      </c>
      <c r="B210" s="23">
        <v>63</v>
      </c>
      <c r="C210" s="24">
        <v>13</v>
      </c>
      <c r="D210" s="23" t="s">
        <v>79</v>
      </c>
      <c r="E210" s="24">
        <v>64</v>
      </c>
      <c r="F210" s="24">
        <v>1.4</v>
      </c>
      <c r="G210" s="25"/>
      <c r="H210" s="24">
        <v>0</v>
      </c>
      <c r="I210" s="24">
        <v>148</v>
      </c>
      <c r="J210" s="35">
        <v>2.4900000000000002</v>
      </c>
      <c r="K210" s="25">
        <v>0.75</v>
      </c>
      <c r="L210" s="24"/>
      <c r="M210" s="24"/>
      <c r="N210" s="24"/>
      <c r="O210" s="25"/>
      <c r="P210" s="25"/>
      <c r="Q210" s="24"/>
      <c r="R210" s="24"/>
      <c r="S210" s="25"/>
    </row>
    <row r="211" spans="1:19">
      <c r="A211" s="23" t="s">
        <v>40</v>
      </c>
      <c r="B211" s="23">
        <v>63</v>
      </c>
      <c r="C211" s="24">
        <v>14</v>
      </c>
      <c r="D211" s="23" t="s">
        <v>79</v>
      </c>
      <c r="E211" s="24">
        <v>31</v>
      </c>
      <c r="F211" s="24">
        <v>1.6</v>
      </c>
      <c r="G211" s="25"/>
      <c r="H211" s="24">
        <v>0</v>
      </c>
      <c r="I211" s="24">
        <v>61</v>
      </c>
      <c r="J211" s="35">
        <v>0.92</v>
      </c>
      <c r="K211" s="25"/>
      <c r="L211" s="24"/>
      <c r="M211" s="24"/>
      <c r="N211" s="24"/>
      <c r="O211" s="25"/>
      <c r="P211" s="25"/>
      <c r="Q211" s="24"/>
      <c r="R211" s="24"/>
      <c r="S211" s="25"/>
    </row>
    <row r="212" spans="1:19">
      <c r="A212" s="23" t="s">
        <v>40</v>
      </c>
      <c r="B212" s="23">
        <v>76</v>
      </c>
      <c r="C212" s="24">
        <v>8</v>
      </c>
      <c r="D212" s="23" t="s">
        <v>79</v>
      </c>
      <c r="E212" s="24">
        <v>320</v>
      </c>
      <c r="F212" s="24">
        <v>5.7</v>
      </c>
      <c r="G212" s="24">
        <v>3.1</v>
      </c>
      <c r="H212" s="24">
        <v>1</v>
      </c>
      <c r="I212" s="23"/>
      <c r="J212" s="34"/>
      <c r="K212" s="25"/>
      <c r="L212" s="24"/>
      <c r="M212" s="24"/>
      <c r="N212" s="24"/>
      <c r="O212" s="25"/>
      <c r="P212" s="25"/>
      <c r="Q212" s="24"/>
      <c r="R212" s="24" t="s">
        <v>111</v>
      </c>
      <c r="S212" s="25"/>
    </row>
    <row r="213" spans="1:19">
      <c r="A213" s="23" t="s">
        <v>40</v>
      </c>
      <c r="B213" s="23">
        <v>76</v>
      </c>
      <c r="C213" s="24">
        <v>9</v>
      </c>
      <c r="D213" s="23" t="s">
        <v>79</v>
      </c>
      <c r="E213" s="24">
        <v>330</v>
      </c>
      <c r="F213" s="24">
        <v>5.4</v>
      </c>
      <c r="G213" s="24">
        <v>3.4</v>
      </c>
      <c r="H213" s="24">
        <v>1</v>
      </c>
      <c r="I213" s="23"/>
      <c r="J213" s="34"/>
      <c r="K213" s="25"/>
      <c r="L213" s="24"/>
      <c r="M213" s="24"/>
      <c r="N213" s="24"/>
      <c r="O213" s="25"/>
      <c r="P213" s="25"/>
      <c r="Q213" s="24"/>
      <c r="R213" s="24" t="s">
        <v>111</v>
      </c>
      <c r="S213" s="25"/>
    </row>
    <row r="214" spans="1:19">
      <c r="A214" s="23" t="s">
        <v>40</v>
      </c>
      <c r="B214" s="23">
        <v>76</v>
      </c>
      <c r="C214" s="24">
        <v>10</v>
      </c>
      <c r="D214" s="23" t="s">
        <v>79</v>
      </c>
      <c r="E214" s="24">
        <v>209</v>
      </c>
      <c r="F214" s="24">
        <v>4.5999999999999996</v>
      </c>
      <c r="G214" s="24">
        <v>1.4</v>
      </c>
      <c r="H214" s="24">
        <v>1</v>
      </c>
      <c r="I214" s="23"/>
      <c r="J214" s="34"/>
      <c r="K214" s="25"/>
      <c r="L214" s="24"/>
      <c r="M214" s="24"/>
      <c r="N214" s="24"/>
      <c r="O214" s="25"/>
      <c r="P214" s="25"/>
      <c r="Q214" s="24"/>
      <c r="R214" s="24" t="s">
        <v>111</v>
      </c>
      <c r="S214" s="25"/>
    </row>
    <row r="215" spans="1:19">
      <c r="A215" s="23" t="s">
        <v>40</v>
      </c>
      <c r="B215" s="23">
        <v>76</v>
      </c>
      <c r="C215" s="24">
        <v>11</v>
      </c>
      <c r="D215" s="23" t="s">
        <v>79</v>
      </c>
      <c r="E215" s="24">
        <v>330</v>
      </c>
      <c r="F215" s="24">
        <v>5.3</v>
      </c>
      <c r="G215" s="24">
        <v>4.2</v>
      </c>
      <c r="H215" s="24">
        <v>0</v>
      </c>
      <c r="I215" s="24">
        <v>481</v>
      </c>
      <c r="J215" s="35">
        <v>7.58</v>
      </c>
      <c r="K215" s="24">
        <v>5.18</v>
      </c>
      <c r="L215" s="24"/>
      <c r="M215" s="24">
        <v>30</v>
      </c>
      <c r="N215" s="27">
        <v>120</v>
      </c>
      <c r="O215" s="25"/>
      <c r="P215" s="25"/>
      <c r="Q215" s="24">
        <v>1</v>
      </c>
      <c r="R215" s="24"/>
      <c r="S215" s="25"/>
    </row>
    <row r="216" spans="1:19">
      <c r="A216" s="23" t="s">
        <v>40</v>
      </c>
      <c r="B216" s="23">
        <v>76</v>
      </c>
      <c r="C216" s="24">
        <v>12</v>
      </c>
      <c r="D216" s="23" t="s">
        <v>79</v>
      </c>
      <c r="E216" s="24">
        <v>197</v>
      </c>
      <c r="F216" s="24">
        <v>4.8</v>
      </c>
      <c r="G216" s="24">
        <v>2.6</v>
      </c>
      <c r="H216" s="24">
        <v>1</v>
      </c>
      <c r="I216" s="24">
        <v>303</v>
      </c>
      <c r="J216" s="35">
        <v>4.0599999999999996</v>
      </c>
      <c r="K216" s="24">
        <v>3.13</v>
      </c>
      <c r="L216" s="24"/>
      <c r="M216" s="24">
        <v>1</v>
      </c>
      <c r="N216" s="27">
        <v>1</v>
      </c>
      <c r="O216" s="25"/>
      <c r="P216" s="25">
        <v>1</v>
      </c>
      <c r="Q216" s="24"/>
      <c r="R216" s="24"/>
      <c r="S216" s="25"/>
    </row>
    <row r="217" spans="1:19">
      <c r="A217" s="23" t="s">
        <v>40</v>
      </c>
      <c r="B217" s="23">
        <v>76</v>
      </c>
      <c r="C217" s="24">
        <v>13</v>
      </c>
      <c r="D217" s="23" t="s">
        <v>79</v>
      </c>
      <c r="E217" s="24">
        <v>320</v>
      </c>
      <c r="F217" s="24">
        <v>5</v>
      </c>
      <c r="G217" s="24">
        <v>3.3</v>
      </c>
      <c r="H217" s="24">
        <v>0</v>
      </c>
      <c r="I217" s="24">
        <v>481</v>
      </c>
      <c r="J217" s="35">
        <v>6.78</v>
      </c>
      <c r="K217" s="24">
        <v>4.6500000000000004</v>
      </c>
      <c r="L217" s="24"/>
      <c r="M217" s="24"/>
      <c r="N217" s="27"/>
      <c r="O217" s="25"/>
      <c r="P217" s="25"/>
      <c r="Q217" s="24"/>
      <c r="R217" s="24"/>
      <c r="S217" s="25"/>
    </row>
    <row r="218" spans="1:19">
      <c r="A218" s="23" t="s">
        <v>40</v>
      </c>
      <c r="B218" s="23">
        <v>76</v>
      </c>
      <c r="C218" s="24">
        <v>14</v>
      </c>
      <c r="D218" s="23" t="s">
        <v>79</v>
      </c>
      <c r="E218" s="24">
        <v>201</v>
      </c>
      <c r="F218" s="24">
        <v>6</v>
      </c>
      <c r="G218" s="24">
        <v>1.7</v>
      </c>
      <c r="H218" s="24">
        <v>1</v>
      </c>
      <c r="I218" s="24">
        <v>336</v>
      </c>
      <c r="J218" s="35">
        <v>9.85</v>
      </c>
      <c r="K218" s="24">
        <v>4.72</v>
      </c>
      <c r="L218" s="24"/>
      <c r="M218" s="24">
        <v>60</v>
      </c>
      <c r="N218" s="27">
        <v>8</v>
      </c>
      <c r="O218" s="25"/>
      <c r="P218" s="25"/>
      <c r="Q218" s="24"/>
      <c r="R218" s="24"/>
      <c r="S218" s="23"/>
    </row>
    <row r="219" spans="1:19">
      <c r="A219" s="23" t="s">
        <v>40</v>
      </c>
      <c r="B219" s="23">
        <v>78</v>
      </c>
      <c r="C219" s="24">
        <v>8</v>
      </c>
      <c r="D219" s="23" t="s">
        <v>79</v>
      </c>
      <c r="E219" s="24">
        <v>81</v>
      </c>
      <c r="F219" s="24">
        <v>1.9</v>
      </c>
      <c r="G219" s="25"/>
      <c r="H219" s="24">
        <v>2</v>
      </c>
      <c r="I219" s="25">
        <v>99</v>
      </c>
      <c r="J219" s="34">
        <v>2.06</v>
      </c>
      <c r="K219" s="25"/>
      <c r="L219" s="25"/>
      <c r="M219" s="25"/>
      <c r="N219" s="24"/>
      <c r="O219" s="25"/>
      <c r="P219" s="25"/>
      <c r="Q219" s="24"/>
      <c r="R219" s="24"/>
      <c r="S219" s="25" t="s">
        <v>80</v>
      </c>
    </row>
    <row r="220" spans="1:19">
      <c r="A220" s="23" t="s">
        <v>40</v>
      </c>
      <c r="B220" s="23">
        <v>78</v>
      </c>
      <c r="C220" s="24">
        <v>9</v>
      </c>
      <c r="D220" s="23" t="s">
        <v>79</v>
      </c>
      <c r="E220" s="24">
        <v>86</v>
      </c>
      <c r="F220" s="24">
        <v>1.7</v>
      </c>
      <c r="G220" s="25"/>
      <c r="H220" s="24">
        <v>2</v>
      </c>
      <c r="I220" s="24">
        <v>122</v>
      </c>
      <c r="J220" s="35">
        <v>2.19</v>
      </c>
      <c r="K220" s="25"/>
      <c r="L220" s="24"/>
      <c r="M220" s="24"/>
      <c r="N220" s="24"/>
      <c r="O220" s="25"/>
      <c r="P220" s="25"/>
      <c r="Q220" s="24">
        <v>1</v>
      </c>
      <c r="R220" s="24"/>
      <c r="S220" s="25" t="s">
        <v>80</v>
      </c>
    </row>
    <row r="221" spans="1:19">
      <c r="A221" s="23" t="s">
        <v>40</v>
      </c>
      <c r="B221" s="23">
        <v>78</v>
      </c>
      <c r="C221" s="24">
        <v>10</v>
      </c>
      <c r="D221" s="23" t="s">
        <v>79</v>
      </c>
      <c r="E221" s="25"/>
      <c r="F221" s="25"/>
      <c r="G221" s="25"/>
      <c r="H221" s="25"/>
      <c r="I221" s="25"/>
      <c r="J221" s="34"/>
      <c r="K221" s="25"/>
      <c r="L221" s="25"/>
      <c r="M221" s="25"/>
      <c r="N221" s="24"/>
      <c r="O221" s="25"/>
      <c r="P221" s="25"/>
      <c r="Q221" s="24"/>
      <c r="R221" s="24" t="s">
        <v>83</v>
      </c>
      <c r="S221" s="25"/>
    </row>
    <row r="222" spans="1:19">
      <c r="A222" s="23" t="s">
        <v>40</v>
      </c>
      <c r="B222" s="23">
        <v>78</v>
      </c>
      <c r="C222" s="24">
        <v>11</v>
      </c>
      <c r="D222" s="23" t="s">
        <v>79</v>
      </c>
      <c r="E222" s="24">
        <v>86</v>
      </c>
      <c r="F222" s="24">
        <v>1.5</v>
      </c>
      <c r="G222" s="25"/>
      <c r="H222" s="24">
        <v>2</v>
      </c>
      <c r="I222" s="24">
        <v>102</v>
      </c>
      <c r="J222" s="35">
        <v>2.38</v>
      </c>
      <c r="K222" s="25"/>
      <c r="L222" s="24"/>
      <c r="M222" s="24">
        <v>1</v>
      </c>
      <c r="N222" s="24">
        <v>3</v>
      </c>
      <c r="O222" s="25"/>
      <c r="P222" s="25"/>
      <c r="Q222" s="24"/>
      <c r="R222" s="24"/>
      <c r="S222" s="25" t="s">
        <v>85</v>
      </c>
    </row>
    <row r="223" spans="1:19">
      <c r="A223" s="23" t="s">
        <v>40</v>
      </c>
      <c r="B223" s="23">
        <v>78</v>
      </c>
      <c r="C223" s="24">
        <v>12</v>
      </c>
      <c r="D223" s="23" t="s">
        <v>79</v>
      </c>
      <c r="E223" s="25"/>
      <c r="F223" s="25"/>
      <c r="G223" s="25"/>
      <c r="H223" s="25"/>
      <c r="I223" s="25"/>
      <c r="J223" s="34"/>
      <c r="K223" s="25"/>
      <c r="L223" s="25"/>
      <c r="M223" s="25"/>
      <c r="N223" s="24"/>
      <c r="O223" s="25"/>
      <c r="P223" s="25"/>
      <c r="Q223" s="24"/>
      <c r="R223" s="24" t="s">
        <v>83</v>
      </c>
      <c r="S223" s="25"/>
    </row>
    <row r="224" spans="1:19">
      <c r="A224" s="23" t="s">
        <v>40</v>
      </c>
      <c r="B224" s="23">
        <v>78</v>
      </c>
      <c r="C224" s="24">
        <v>13</v>
      </c>
      <c r="D224" s="23" t="s">
        <v>79</v>
      </c>
      <c r="E224" s="25"/>
      <c r="F224" s="25"/>
      <c r="G224" s="25"/>
      <c r="H224" s="25"/>
      <c r="I224" s="25"/>
      <c r="J224" s="34"/>
      <c r="K224" s="25"/>
      <c r="L224" s="25"/>
      <c r="M224" s="25"/>
      <c r="N224" s="24"/>
      <c r="O224" s="25"/>
      <c r="P224" s="25"/>
      <c r="Q224" s="24"/>
      <c r="R224" s="24" t="s">
        <v>83</v>
      </c>
      <c r="S224" s="25"/>
    </row>
    <row r="225" spans="1:19">
      <c r="A225" s="23" t="s">
        <v>40</v>
      </c>
      <c r="B225" s="23">
        <v>78</v>
      </c>
      <c r="C225" s="24">
        <v>14</v>
      </c>
      <c r="D225" s="23" t="s">
        <v>79</v>
      </c>
      <c r="E225" s="25"/>
      <c r="F225" s="25"/>
      <c r="G225" s="25"/>
      <c r="H225" s="25"/>
      <c r="I225" s="25"/>
      <c r="J225" s="34"/>
      <c r="K225" s="25"/>
      <c r="L225" s="25"/>
      <c r="M225" s="25"/>
      <c r="N225" s="24"/>
      <c r="O225" s="25"/>
      <c r="P225" s="25"/>
      <c r="Q225" s="24"/>
      <c r="R225" s="24" t="s">
        <v>83</v>
      </c>
      <c r="S225" s="25"/>
    </row>
    <row r="226" spans="1:19">
      <c r="A226" s="23" t="s">
        <v>40</v>
      </c>
      <c r="B226" s="23">
        <v>79</v>
      </c>
      <c r="C226" s="24">
        <v>8</v>
      </c>
      <c r="D226" s="23" t="s">
        <v>79</v>
      </c>
      <c r="E226" s="24">
        <v>200</v>
      </c>
      <c r="F226" s="24">
        <v>4.2</v>
      </c>
      <c r="G226" s="24">
        <v>2.5</v>
      </c>
      <c r="H226" s="24">
        <v>1</v>
      </c>
      <c r="I226" s="23"/>
      <c r="J226" s="34"/>
      <c r="K226" s="25"/>
      <c r="L226" s="24"/>
      <c r="M226" s="24"/>
      <c r="N226" s="24"/>
      <c r="O226" s="25"/>
      <c r="P226" s="25"/>
      <c r="Q226" s="24"/>
      <c r="R226" s="24" t="s">
        <v>111</v>
      </c>
      <c r="S226" s="25"/>
    </row>
    <row r="227" spans="1:19">
      <c r="A227" s="23" t="s">
        <v>40</v>
      </c>
      <c r="B227" s="23">
        <v>79</v>
      </c>
      <c r="C227" s="24">
        <v>9</v>
      </c>
      <c r="D227" s="23" t="s">
        <v>79</v>
      </c>
      <c r="E227" s="24">
        <v>254</v>
      </c>
      <c r="F227" s="24">
        <v>4.8</v>
      </c>
      <c r="G227" s="24">
        <v>2.5</v>
      </c>
      <c r="H227" s="24">
        <v>2</v>
      </c>
      <c r="I227" s="23"/>
      <c r="J227" s="34"/>
      <c r="K227" s="25"/>
      <c r="L227" s="24"/>
      <c r="M227" s="24"/>
      <c r="N227" s="24"/>
      <c r="O227" s="25"/>
      <c r="P227" s="25"/>
      <c r="Q227" s="24"/>
      <c r="R227" s="24" t="s">
        <v>111</v>
      </c>
      <c r="S227" s="25"/>
    </row>
    <row r="228" spans="1:19">
      <c r="A228" s="23" t="s">
        <v>40</v>
      </c>
      <c r="B228" s="23">
        <v>79</v>
      </c>
      <c r="C228" s="24">
        <v>10</v>
      </c>
      <c r="D228" s="23" t="s">
        <v>79</v>
      </c>
      <c r="E228" s="24">
        <v>270</v>
      </c>
      <c r="F228" s="24">
        <v>6.4</v>
      </c>
      <c r="G228" s="24">
        <v>3.8</v>
      </c>
      <c r="H228" s="24">
        <v>1</v>
      </c>
      <c r="I228" s="23"/>
      <c r="J228" s="34"/>
      <c r="K228" s="25"/>
      <c r="L228" s="24"/>
      <c r="M228" s="24"/>
      <c r="N228" s="24"/>
      <c r="O228" s="25"/>
      <c r="P228" s="25"/>
      <c r="Q228" s="24"/>
      <c r="R228" s="24" t="s">
        <v>111</v>
      </c>
      <c r="S228" s="25"/>
    </row>
    <row r="229" spans="1:19">
      <c r="A229" s="23" t="s">
        <v>40</v>
      </c>
      <c r="B229" s="23">
        <v>79</v>
      </c>
      <c r="C229" s="24">
        <v>11</v>
      </c>
      <c r="D229" s="23" t="s">
        <v>79</v>
      </c>
      <c r="E229" s="24">
        <v>123</v>
      </c>
      <c r="F229" s="24">
        <v>2.2000000000000002</v>
      </c>
      <c r="G229" s="25"/>
      <c r="H229" s="27">
        <v>4</v>
      </c>
      <c r="I229" s="24">
        <v>176</v>
      </c>
      <c r="J229" s="35">
        <v>2.93</v>
      </c>
      <c r="K229" s="25">
        <v>1.3</v>
      </c>
      <c r="L229" s="27"/>
      <c r="M229" s="27"/>
      <c r="N229" s="24"/>
      <c r="O229" s="25"/>
      <c r="P229" s="25"/>
      <c r="Q229" s="24"/>
      <c r="R229" s="24"/>
      <c r="S229" s="25"/>
    </row>
    <row r="230" spans="1:19">
      <c r="A230" s="23" t="s">
        <v>40</v>
      </c>
      <c r="B230" s="23">
        <v>79</v>
      </c>
      <c r="C230" s="24">
        <v>12</v>
      </c>
      <c r="D230" s="23" t="s">
        <v>79</v>
      </c>
      <c r="E230" s="24">
        <v>240</v>
      </c>
      <c r="F230" s="24">
        <v>5.0999999999999996</v>
      </c>
      <c r="G230" s="24">
        <v>2.7</v>
      </c>
      <c r="H230" s="24">
        <v>2</v>
      </c>
      <c r="I230" s="24">
        <v>361</v>
      </c>
      <c r="J230" s="35">
        <v>7.19</v>
      </c>
      <c r="K230" s="24">
        <v>4.9000000000000004</v>
      </c>
      <c r="L230" s="24"/>
      <c r="M230" s="24">
        <v>55</v>
      </c>
      <c r="N230" s="27">
        <v>109</v>
      </c>
      <c r="O230" s="25"/>
      <c r="P230" s="25"/>
      <c r="Q230" s="24"/>
      <c r="R230" s="24"/>
      <c r="S230" s="25"/>
    </row>
    <row r="231" spans="1:19">
      <c r="A231" s="23" t="s">
        <v>40</v>
      </c>
      <c r="B231" s="23">
        <v>79</v>
      </c>
      <c r="C231" s="24">
        <v>13</v>
      </c>
      <c r="D231" s="23" t="s">
        <v>79</v>
      </c>
      <c r="E231" s="24">
        <v>290</v>
      </c>
      <c r="F231" s="24">
        <v>4.5</v>
      </c>
      <c r="G231" s="24">
        <v>3.1</v>
      </c>
      <c r="H231" s="27">
        <v>2</v>
      </c>
      <c r="I231" s="24">
        <v>425</v>
      </c>
      <c r="J231" s="35">
        <v>7.78</v>
      </c>
      <c r="K231" s="24">
        <v>5.17</v>
      </c>
      <c r="L231" s="27"/>
      <c r="M231" s="27">
        <v>4</v>
      </c>
      <c r="N231" s="27">
        <v>4</v>
      </c>
      <c r="O231" s="25"/>
      <c r="P231" s="25"/>
      <c r="Q231" s="24">
        <v>1</v>
      </c>
      <c r="R231" s="24"/>
      <c r="S231" s="25"/>
    </row>
    <row r="232" spans="1:19">
      <c r="A232" s="23" t="s">
        <v>40</v>
      </c>
      <c r="B232" s="23">
        <v>79</v>
      </c>
      <c r="C232" s="24">
        <v>14</v>
      </c>
      <c r="D232" s="23" t="s">
        <v>79</v>
      </c>
      <c r="E232" s="24">
        <v>245</v>
      </c>
      <c r="F232" s="24">
        <v>5.2</v>
      </c>
      <c r="G232" s="24">
        <v>2.9</v>
      </c>
      <c r="H232" s="24">
        <v>2</v>
      </c>
      <c r="I232" s="24">
        <v>396</v>
      </c>
      <c r="J232" s="35">
        <v>10.18</v>
      </c>
      <c r="K232" s="24">
        <v>5.71</v>
      </c>
      <c r="L232" s="24"/>
      <c r="M232" s="24">
        <v>5</v>
      </c>
      <c r="N232" s="27">
        <v>111</v>
      </c>
      <c r="O232" s="25"/>
      <c r="P232" s="25"/>
      <c r="Q232" s="24"/>
      <c r="R232" s="24"/>
      <c r="S232" s="25"/>
    </row>
    <row r="233" spans="1:19">
      <c r="A233" s="23" t="s">
        <v>40</v>
      </c>
      <c r="B233" s="23">
        <v>81</v>
      </c>
      <c r="C233" s="24">
        <v>8</v>
      </c>
      <c r="D233" s="23" t="s">
        <v>79</v>
      </c>
      <c r="E233" s="24">
        <v>220</v>
      </c>
      <c r="F233" s="24">
        <v>4.3</v>
      </c>
      <c r="G233" s="24">
        <v>2.2999999999999998</v>
      </c>
      <c r="H233" s="24">
        <v>1</v>
      </c>
      <c r="I233" s="23"/>
      <c r="J233" s="34"/>
      <c r="K233" s="25"/>
      <c r="L233" s="24"/>
      <c r="M233" s="24"/>
      <c r="N233" s="24"/>
      <c r="O233" s="25"/>
      <c r="P233" s="25"/>
      <c r="Q233" s="24"/>
      <c r="R233" s="24" t="s">
        <v>111</v>
      </c>
      <c r="S233" s="25"/>
    </row>
    <row r="234" spans="1:19">
      <c r="A234" s="23" t="s">
        <v>40</v>
      </c>
      <c r="B234" s="23">
        <v>81</v>
      </c>
      <c r="C234" s="24">
        <v>9</v>
      </c>
      <c r="D234" s="23" t="s">
        <v>79</v>
      </c>
      <c r="E234" s="24">
        <v>134</v>
      </c>
      <c r="F234" s="24">
        <v>2.7</v>
      </c>
      <c r="G234" s="25"/>
      <c r="H234" s="24">
        <v>3</v>
      </c>
      <c r="I234" s="23"/>
      <c r="J234" s="34"/>
      <c r="K234" s="25"/>
      <c r="L234" s="24"/>
      <c r="M234" s="24"/>
      <c r="N234" s="24"/>
      <c r="O234" s="25"/>
      <c r="P234" s="25"/>
      <c r="Q234" s="24"/>
      <c r="R234" s="24" t="s">
        <v>111</v>
      </c>
      <c r="S234" s="25"/>
    </row>
    <row r="235" spans="1:19">
      <c r="A235" s="23" t="s">
        <v>40</v>
      </c>
      <c r="B235" s="23">
        <v>81</v>
      </c>
      <c r="C235" s="24">
        <v>10</v>
      </c>
      <c r="D235" s="23" t="s">
        <v>79</v>
      </c>
      <c r="E235" s="24">
        <v>227</v>
      </c>
      <c r="F235" s="24">
        <v>3.8</v>
      </c>
      <c r="G235" s="24">
        <v>1.9</v>
      </c>
      <c r="H235" s="24">
        <v>1</v>
      </c>
      <c r="I235" s="23"/>
      <c r="J235" s="34"/>
      <c r="K235" s="25"/>
      <c r="L235" s="24"/>
      <c r="M235" s="24"/>
      <c r="N235" s="24"/>
      <c r="O235" s="25"/>
      <c r="P235" s="25"/>
      <c r="Q235" s="24"/>
      <c r="R235" s="24" t="s">
        <v>111</v>
      </c>
      <c r="S235" s="25"/>
    </row>
    <row r="236" spans="1:19">
      <c r="A236" s="23" t="s">
        <v>40</v>
      </c>
      <c r="B236" s="23">
        <v>81</v>
      </c>
      <c r="C236" s="24">
        <v>11</v>
      </c>
      <c r="D236" s="23" t="s">
        <v>79</v>
      </c>
      <c r="E236" s="24">
        <v>250</v>
      </c>
      <c r="F236" s="24">
        <v>4.5999999999999996</v>
      </c>
      <c r="G236" s="24">
        <v>2.2999999999999998</v>
      </c>
      <c r="H236" s="24">
        <v>1</v>
      </c>
      <c r="I236" s="24">
        <v>409</v>
      </c>
      <c r="J236" s="35">
        <v>7.62</v>
      </c>
      <c r="K236" s="24">
        <v>4.53</v>
      </c>
      <c r="L236" s="24"/>
      <c r="M236" s="24">
        <v>2</v>
      </c>
      <c r="N236" s="27">
        <v>52</v>
      </c>
      <c r="O236" s="25"/>
      <c r="P236" s="25"/>
      <c r="Q236" s="24">
        <v>1</v>
      </c>
      <c r="R236" s="24"/>
      <c r="S236" s="25"/>
    </row>
    <row r="237" spans="1:19">
      <c r="A237" s="23" t="s">
        <v>40</v>
      </c>
      <c r="B237" s="23">
        <v>81</v>
      </c>
      <c r="C237" s="24">
        <v>12</v>
      </c>
      <c r="D237" s="23" t="s">
        <v>79</v>
      </c>
      <c r="E237" s="24">
        <v>103</v>
      </c>
      <c r="F237" s="24">
        <v>1.9</v>
      </c>
      <c r="G237" s="25"/>
      <c r="H237" s="24">
        <v>1</v>
      </c>
      <c r="I237" s="24">
        <v>205</v>
      </c>
      <c r="J237" s="35">
        <v>2.91</v>
      </c>
      <c r="K237" s="25">
        <v>1.69</v>
      </c>
      <c r="L237" s="24"/>
      <c r="M237" s="24"/>
      <c r="N237" s="24"/>
      <c r="O237" s="25">
        <v>1</v>
      </c>
      <c r="P237" s="25"/>
      <c r="Q237" s="24"/>
      <c r="R237" s="24"/>
      <c r="S237" s="25" t="s">
        <v>122</v>
      </c>
    </row>
    <row r="238" spans="1:19">
      <c r="A238" s="23" t="s">
        <v>40</v>
      </c>
      <c r="B238" s="23">
        <v>81</v>
      </c>
      <c r="C238" s="24">
        <v>13</v>
      </c>
      <c r="D238" s="23" t="s">
        <v>79</v>
      </c>
      <c r="E238" s="24">
        <v>168</v>
      </c>
      <c r="F238" s="24">
        <v>3.4</v>
      </c>
      <c r="G238" s="24">
        <v>1.2</v>
      </c>
      <c r="H238" s="24">
        <v>2</v>
      </c>
      <c r="I238" s="24">
        <v>269</v>
      </c>
      <c r="J238" s="35">
        <v>5.88</v>
      </c>
      <c r="K238" s="24">
        <v>2.86</v>
      </c>
      <c r="L238" s="24"/>
      <c r="M238" s="24"/>
      <c r="N238" s="27">
        <v>12</v>
      </c>
      <c r="O238" s="25">
        <v>1</v>
      </c>
      <c r="P238" s="25"/>
      <c r="Q238" s="24"/>
      <c r="R238" s="24"/>
      <c r="S238" s="25" t="s">
        <v>122</v>
      </c>
    </row>
    <row r="239" spans="1:19">
      <c r="A239" s="23" t="s">
        <v>40</v>
      </c>
      <c r="B239" s="23">
        <v>81</v>
      </c>
      <c r="C239" s="24">
        <v>14</v>
      </c>
      <c r="D239" s="23" t="s">
        <v>79</v>
      </c>
      <c r="E239" s="24">
        <v>200</v>
      </c>
      <c r="F239" s="24">
        <v>4.0999999999999996</v>
      </c>
      <c r="G239" s="24">
        <v>2.1</v>
      </c>
      <c r="H239" s="24">
        <v>0</v>
      </c>
      <c r="I239" s="24">
        <v>194</v>
      </c>
      <c r="J239" s="35">
        <v>5.79</v>
      </c>
      <c r="K239" s="24">
        <v>3.68</v>
      </c>
      <c r="L239" s="24"/>
      <c r="M239" s="24">
        <v>13</v>
      </c>
      <c r="N239" s="27">
        <v>15</v>
      </c>
      <c r="O239" s="25">
        <v>1</v>
      </c>
      <c r="P239" s="25"/>
      <c r="Q239" s="24"/>
      <c r="R239" s="24"/>
      <c r="S239" s="25" t="s">
        <v>122</v>
      </c>
    </row>
    <row r="240" spans="1:19">
      <c r="A240" s="23" t="s">
        <v>40</v>
      </c>
      <c r="B240" s="23">
        <v>84</v>
      </c>
      <c r="C240" s="24">
        <v>8</v>
      </c>
      <c r="D240" s="23" t="s">
        <v>79</v>
      </c>
      <c r="E240" s="24">
        <v>107</v>
      </c>
      <c r="F240" s="24">
        <v>1.6</v>
      </c>
      <c r="G240" s="25"/>
      <c r="H240" s="24">
        <v>2</v>
      </c>
      <c r="I240" s="24">
        <v>24</v>
      </c>
      <c r="J240" s="35">
        <v>0.42</v>
      </c>
      <c r="K240" s="25"/>
      <c r="L240" s="24"/>
      <c r="M240" s="24"/>
      <c r="N240" s="24"/>
      <c r="O240" s="25"/>
      <c r="P240" s="25"/>
      <c r="Q240" s="24">
        <v>1</v>
      </c>
      <c r="R240" s="24"/>
      <c r="S240" s="25"/>
    </row>
    <row r="241" spans="1:19">
      <c r="A241" s="23" t="s">
        <v>40</v>
      </c>
      <c r="B241" s="23">
        <v>84</v>
      </c>
      <c r="C241" s="24">
        <v>9</v>
      </c>
      <c r="D241" s="23" t="s">
        <v>79</v>
      </c>
      <c r="E241" s="25"/>
      <c r="F241" s="25"/>
      <c r="G241" s="25"/>
      <c r="H241" s="25"/>
      <c r="I241" s="25"/>
      <c r="J241" s="34"/>
      <c r="K241" s="25"/>
      <c r="L241" s="25"/>
      <c r="M241" s="25"/>
      <c r="N241" s="24"/>
      <c r="O241" s="25"/>
      <c r="P241" s="25"/>
      <c r="Q241" s="24"/>
      <c r="R241" s="24" t="s">
        <v>83</v>
      </c>
      <c r="S241" s="25"/>
    </row>
    <row r="242" spans="1:19">
      <c r="A242" s="23" t="s">
        <v>40</v>
      </c>
      <c r="B242" s="23">
        <v>84</v>
      </c>
      <c r="C242" s="24">
        <v>10</v>
      </c>
      <c r="D242" s="23" t="s">
        <v>79</v>
      </c>
      <c r="E242" s="24">
        <v>27</v>
      </c>
      <c r="F242" s="24">
        <v>0.4</v>
      </c>
      <c r="G242" s="25"/>
      <c r="H242" s="24">
        <v>1</v>
      </c>
      <c r="I242" s="24"/>
      <c r="J242" s="35"/>
      <c r="K242" s="25"/>
      <c r="L242" s="24"/>
      <c r="M242" s="24"/>
      <c r="N242" s="24"/>
      <c r="O242" s="25"/>
      <c r="P242" s="25"/>
      <c r="Q242" s="24"/>
      <c r="R242" s="24" t="s">
        <v>83</v>
      </c>
      <c r="S242" s="25" t="s">
        <v>119</v>
      </c>
    </row>
    <row r="243" spans="1:19">
      <c r="A243" s="23" t="s">
        <v>40</v>
      </c>
      <c r="B243" s="23">
        <v>84</v>
      </c>
      <c r="C243" s="24">
        <v>11</v>
      </c>
      <c r="D243" s="23" t="s">
        <v>79</v>
      </c>
      <c r="E243" s="24">
        <v>40</v>
      </c>
      <c r="F243" s="24">
        <v>0.4</v>
      </c>
      <c r="G243" s="25"/>
      <c r="H243" s="24">
        <v>2</v>
      </c>
      <c r="I243" s="24">
        <v>52</v>
      </c>
      <c r="J243" s="35" t="s">
        <v>98</v>
      </c>
      <c r="K243" s="25"/>
      <c r="L243" s="24"/>
      <c r="M243" s="24"/>
      <c r="N243" s="24"/>
      <c r="O243" s="25"/>
      <c r="P243" s="25"/>
      <c r="Q243" s="24"/>
      <c r="R243" s="24"/>
      <c r="S243" s="25" t="s">
        <v>123</v>
      </c>
    </row>
    <row r="244" spans="1:19">
      <c r="A244" s="23" t="s">
        <v>40</v>
      </c>
      <c r="B244" s="23">
        <v>84</v>
      </c>
      <c r="C244" s="24">
        <v>12</v>
      </c>
      <c r="D244" s="23" t="s">
        <v>79</v>
      </c>
      <c r="E244" s="25"/>
      <c r="F244" s="25"/>
      <c r="G244" s="25"/>
      <c r="H244" s="25"/>
      <c r="I244" s="25"/>
      <c r="J244" s="34"/>
      <c r="K244" s="25"/>
      <c r="L244" s="25"/>
      <c r="M244" s="25"/>
      <c r="N244" s="24"/>
      <c r="O244" s="25"/>
      <c r="P244" s="25"/>
      <c r="Q244" s="24"/>
      <c r="R244" s="24" t="s">
        <v>83</v>
      </c>
      <c r="S244" s="25"/>
    </row>
    <row r="245" spans="1:19">
      <c r="A245" s="23" t="s">
        <v>40</v>
      </c>
      <c r="B245" s="23">
        <v>84</v>
      </c>
      <c r="C245" s="24">
        <v>13</v>
      </c>
      <c r="D245" s="23" t="s">
        <v>79</v>
      </c>
      <c r="E245" s="25"/>
      <c r="F245" s="25"/>
      <c r="G245" s="25"/>
      <c r="H245" s="25"/>
      <c r="I245" s="25">
        <v>18</v>
      </c>
      <c r="J245" s="34">
        <v>0.44</v>
      </c>
      <c r="K245" s="25"/>
      <c r="L245" s="25"/>
      <c r="M245" s="25"/>
      <c r="N245" s="24"/>
      <c r="O245" s="25"/>
      <c r="P245" s="25"/>
      <c r="Q245" s="24"/>
      <c r="R245" s="24"/>
      <c r="S245" s="25" t="s">
        <v>86</v>
      </c>
    </row>
    <row r="246" spans="1:19">
      <c r="A246" s="23" t="s">
        <v>40</v>
      </c>
      <c r="B246" s="23">
        <v>84</v>
      </c>
      <c r="C246" s="24">
        <v>14</v>
      </c>
      <c r="D246" s="23" t="s">
        <v>79</v>
      </c>
      <c r="E246" s="24">
        <v>54</v>
      </c>
      <c r="F246" s="24">
        <v>1</v>
      </c>
      <c r="G246" s="25"/>
      <c r="H246" s="24">
        <v>0</v>
      </c>
      <c r="I246" s="24">
        <v>74</v>
      </c>
      <c r="J246" s="35">
        <v>1.17</v>
      </c>
      <c r="K246" s="25"/>
      <c r="L246" s="24">
        <v>1</v>
      </c>
      <c r="M246" s="24"/>
      <c r="N246" s="24"/>
      <c r="O246" s="25"/>
      <c r="P246" s="25"/>
      <c r="Q246" s="24"/>
      <c r="R246" s="24"/>
      <c r="S246" s="25" t="s">
        <v>87</v>
      </c>
    </row>
    <row r="247" spans="1:19">
      <c r="A247" s="23" t="s">
        <v>40</v>
      </c>
      <c r="B247" s="23">
        <v>86</v>
      </c>
      <c r="C247" s="24">
        <v>8</v>
      </c>
      <c r="D247" s="23" t="s">
        <v>79</v>
      </c>
      <c r="E247" s="24">
        <v>256</v>
      </c>
      <c r="F247" s="24">
        <v>4.5</v>
      </c>
      <c r="G247" s="24">
        <v>2.8</v>
      </c>
      <c r="H247" s="24">
        <v>2</v>
      </c>
      <c r="I247" s="23"/>
      <c r="J247" s="34"/>
      <c r="K247" s="25"/>
      <c r="L247" s="24"/>
      <c r="M247" s="24"/>
      <c r="N247" s="24"/>
      <c r="O247" s="25"/>
      <c r="P247" s="25"/>
      <c r="Q247" s="24"/>
      <c r="R247" s="24" t="s">
        <v>111</v>
      </c>
      <c r="S247" s="25"/>
    </row>
    <row r="248" spans="1:19">
      <c r="A248" s="23" t="s">
        <v>40</v>
      </c>
      <c r="B248" s="23">
        <v>86</v>
      </c>
      <c r="C248" s="24">
        <v>9</v>
      </c>
      <c r="D248" s="23" t="s">
        <v>79</v>
      </c>
      <c r="E248" s="24">
        <v>270</v>
      </c>
      <c r="F248" s="24">
        <v>4.7</v>
      </c>
      <c r="G248" s="24">
        <v>3</v>
      </c>
      <c r="H248" s="24">
        <v>2</v>
      </c>
      <c r="I248" s="23"/>
      <c r="J248" s="34"/>
      <c r="K248" s="25"/>
      <c r="L248" s="24"/>
      <c r="M248" s="24"/>
      <c r="N248" s="24"/>
      <c r="O248" s="25"/>
      <c r="P248" s="25"/>
      <c r="Q248" s="24"/>
      <c r="R248" s="24" t="s">
        <v>111</v>
      </c>
      <c r="S248" s="25"/>
    </row>
    <row r="249" spans="1:19">
      <c r="A249" s="23" t="s">
        <v>40</v>
      </c>
      <c r="B249" s="23">
        <v>86</v>
      </c>
      <c r="C249" s="24">
        <v>10</v>
      </c>
      <c r="D249" s="23" t="s">
        <v>79</v>
      </c>
      <c r="E249" s="24">
        <v>182</v>
      </c>
      <c r="F249" s="24">
        <v>4.0999999999999996</v>
      </c>
      <c r="G249" s="24">
        <v>1.2</v>
      </c>
      <c r="H249" s="24">
        <v>2</v>
      </c>
      <c r="I249" s="23"/>
      <c r="J249" s="34"/>
      <c r="K249" s="25"/>
      <c r="L249" s="24"/>
      <c r="M249" s="24"/>
      <c r="N249" s="24"/>
      <c r="O249" s="25"/>
      <c r="P249" s="25"/>
      <c r="Q249" s="24"/>
      <c r="R249" s="24" t="s">
        <v>111</v>
      </c>
      <c r="S249" s="25"/>
    </row>
    <row r="250" spans="1:19">
      <c r="A250" s="23" t="s">
        <v>40</v>
      </c>
      <c r="B250" s="23">
        <v>86</v>
      </c>
      <c r="C250" s="24">
        <v>11</v>
      </c>
      <c r="D250" s="23" t="s">
        <v>79</v>
      </c>
      <c r="E250" s="24">
        <v>220</v>
      </c>
      <c r="F250" s="24">
        <v>3.5</v>
      </c>
      <c r="G250" s="24">
        <v>2.1</v>
      </c>
      <c r="H250" s="24">
        <v>3</v>
      </c>
      <c r="I250" s="24">
        <v>321</v>
      </c>
      <c r="J250" s="35">
        <v>6.48</v>
      </c>
      <c r="K250" s="24">
        <v>3.31</v>
      </c>
      <c r="L250" s="24"/>
      <c r="M250" s="24">
        <v>3</v>
      </c>
      <c r="N250" s="24">
        <v>8</v>
      </c>
      <c r="O250" s="23"/>
      <c r="P250" s="23"/>
      <c r="Q250" s="27"/>
      <c r="R250" s="27"/>
      <c r="S250" s="25"/>
    </row>
    <row r="251" spans="1:19">
      <c r="A251" s="23" t="s">
        <v>40</v>
      </c>
      <c r="B251" s="23">
        <v>86</v>
      </c>
      <c r="C251" s="24">
        <v>12</v>
      </c>
      <c r="D251" s="23" t="s">
        <v>79</v>
      </c>
      <c r="E251" s="24">
        <v>200</v>
      </c>
      <c r="F251" s="24">
        <v>4.8</v>
      </c>
      <c r="G251" s="24">
        <v>1.9</v>
      </c>
      <c r="H251" s="24">
        <v>2</v>
      </c>
      <c r="I251" s="24">
        <v>376</v>
      </c>
      <c r="J251" s="35">
        <v>6.13</v>
      </c>
      <c r="K251" s="24">
        <v>3.98</v>
      </c>
      <c r="L251" s="24"/>
      <c r="M251" s="24">
        <v>1</v>
      </c>
      <c r="N251" s="24"/>
      <c r="O251" s="25"/>
      <c r="P251" s="25">
        <v>1</v>
      </c>
      <c r="Q251" s="24">
        <v>1</v>
      </c>
      <c r="R251" s="24"/>
      <c r="S251" s="25"/>
    </row>
    <row r="252" spans="1:19">
      <c r="A252" s="23" t="s">
        <v>40</v>
      </c>
      <c r="B252" s="23">
        <v>86</v>
      </c>
      <c r="C252" s="24">
        <v>13</v>
      </c>
      <c r="D252" s="23" t="s">
        <v>79</v>
      </c>
      <c r="E252" s="24">
        <v>187</v>
      </c>
      <c r="F252" s="24">
        <v>2.1</v>
      </c>
      <c r="G252" s="24">
        <v>1.4</v>
      </c>
      <c r="H252" s="27">
        <v>4</v>
      </c>
      <c r="I252" s="24">
        <v>287</v>
      </c>
      <c r="J252" s="35">
        <v>3.17</v>
      </c>
      <c r="K252" s="24">
        <v>2.2000000000000002</v>
      </c>
      <c r="L252" s="27"/>
      <c r="M252" s="27"/>
      <c r="N252" s="24"/>
      <c r="O252" s="23"/>
      <c r="P252" s="23"/>
      <c r="Q252" s="27"/>
      <c r="R252" s="27"/>
      <c r="S252" s="25"/>
    </row>
    <row r="253" spans="1:19">
      <c r="A253" s="23" t="s">
        <v>40</v>
      </c>
      <c r="B253" s="23">
        <v>86</v>
      </c>
      <c r="C253" s="24">
        <v>14</v>
      </c>
      <c r="D253" s="23" t="s">
        <v>79</v>
      </c>
      <c r="E253" s="24">
        <v>140</v>
      </c>
      <c r="F253" s="24">
        <v>2.1</v>
      </c>
      <c r="G253" s="25"/>
      <c r="H253" s="24">
        <v>4</v>
      </c>
      <c r="I253" s="24">
        <v>185</v>
      </c>
      <c r="J253" s="35">
        <v>2.4500000000000002</v>
      </c>
      <c r="K253" s="25">
        <v>1.2</v>
      </c>
      <c r="L253" s="24"/>
      <c r="M253" s="24">
        <v>4</v>
      </c>
      <c r="N253" s="24"/>
      <c r="O253" s="23"/>
      <c r="P253" s="23"/>
      <c r="Q253" s="27"/>
      <c r="R253" s="27"/>
      <c r="S253" s="25"/>
    </row>
    <row r="254" spans="1:19">
      <c r="A254" s="23" t="s">
        <v>40</v>
      </c>
      <c r="B254" s="23">
        <v>87</v>
      </c>
      <c r="C254" s="24">
        <v>8</v>
      </c>
      <c r="D254" s="23" t="s">
        <v>79</v>
      </c>
      <c r="E254" s="24">
        <v>112</v>
      </c>
      <c r="F254" s="24">
        <v>1.9</v>
      </c>
      <c r="G254" s="25"/>
      <c r="H254" s="24">
        <v>4</v>
      </c>
      <c r="I254" s="23"/>
      <c r="J254" s="34"/>
      <c r="K254" s="25"/>
      <c r="L254" s="24"/>
      <c r="M254" s="24"/>
      <c r="N254" s="24"/>
      <c r="O254" s="25"/>
      <c r="P254" s="25"/>
      <c r="Q254" s="24"/>
      <c r="R254" s="24" t="s">
        <v>111</v>
      </c>
      <c r="S254" s="25"/>
    </row>
    <row r="255" spans="1:19">
      <c r="A255" s="23" t="s">
        <v>40</v>
      </c>
      <c r="B255" s="23">
        <v>87</v>
      </c>
      <c r="C255" s="24">
        <v>9</v>
      </c>
      <c r="D255" s="23" t="s">
        <v>79</v>
      </c>
      <c r="E255" s="24">
        <v>240</v>
      </c>
      <c r="F255" s="24">
        <v>2.7</v>
      </c>
      <c r="G255" s="24">
        <v>2</v>
      </c>
      <c r="H255" s="24">
        <v>4</v>
      </c>
      <c r="I255" s="23"/>
      <c r="J255" s="34"/>
      <c r="K255" s="25"/>
      <c r="L255" s="24"/>
      <c r="M255" s="24"/>
      <c r="N255" s="24"/>
      <c r="O255" s="25"/>
      <c r="P255" s="25"/>
      <c r="Q255" s="24"/>
      <c r="R255" s="24" t="s">
        <v>111</v>
      </c>
      <c r="S255" s="25"/>
    </row>
    <row r="256" spans="1:19">
      <c r="A256" s="23" t="s">
        <v>40</v>
      </c>
      <c r="B256" s="23">
        <v>87</v>
      </c>
      <c r="C256" s="24">
        <v>10</v>
      </c>
      <c r="D256" s="23" t="s">
        <v>79</v>
      </c>
      <c r="E256" s="24">
        <v>100</v>
      </c>
      <c r="F256" s="24">
        <v>1.6</v>
      </c>
      <c r="G256" s="25"/>
      <c r="H256" s="24">
        <v>5</v>
      </c>
      <c r="I256" s="23"/>
      <c r="J256" s="34"/>
      <c r="K256" s="25"/>
      <c r="L256" s="24"/>
      <c r="M256" s="24"/>
      <c r="N256" s="24"/>
      <c r="O256" s="25"/>
      <c r="P256" s="25"/>
      <c r="Q256" s="24"/>
      <c r="R256" s="24" t="s">
        <v>111</v>
      </c>
      <c r="S256" s="25"/>
    </row>
    <row r="257" spans="1:19">
      <c r="A257" s="23" t="s">
        <v>40</v>
      </c>
      <c r="B257" s="23">
        <v>87</v>
      </c>
      <c r="C257" s="24">
        <v>11</v>
      </c>
      <c r="D257" s="23" t="s">
        <v>79</v>
      </c>
      <c r="E257" s="24">
        <v>175</v>
      </c>
      <c r="F257" s="24">
        <v>2.2000000000000002</v>
      </c>
      <c r="G257" s="24">
        <v>1</v>
      </c>
      <c r="H257" s="24">
        <v>5</v>
      </c>
      <c r="I257" s="24">
        <v>188</v>
      </c>
      <c r="J257" s="35">
        <v>2.2999999999999998</v>
      </c>
      <c r="K257" s="24">
        <v>1.1499999999999999</v>
      </c>
      <c r="L257" s="24"/>
      <c r="M257" s="24"/>
      <c r="N257" s="24"/>
      <c r="O257" s="25">
        <v>1</v>
      </c>
      <c r="P257" s="25">
        <v>1</v>
      </c>
      <c r="Q257" s="24"/>
      <c r="R257" s="24"/>
      <c r="S257" s="25" t="s">
        <v>124</v>
      </c>
    </row>
    <row r="258" spans="1:19">
      <c r="A258" s="23" t="s">
        <v>40</v>
      </c>
      <c r="B258" s="23">
        <v>87</v>
      </c>
      <c r="C258" s="24">
        <v>12</v>
      </c>
      <c r="D258" s="23" t="s">
        <v>79</v>
      </c>
      <c r="E258" s="24">
        <v>280</v>
      </c>
      <c r="F258" s="24">
        <v>3.3</v>
      </c>
      <c r="G258" s="24">
        <v>2.2000000000000002</v>
      </c>
      <c r="H258" s="24">
        <v>3</v>
      </c>
      <c r="I258" s="24">
        <v>357</v>
      </c>
      <c r="J258" s="35">
        <v>4.9000000000000004</v>
      </c>
      <c r="K258" s="24">
        <v>3.51</v>
      </c>
      <c r="L258" s="24"/>
      <c r="M258" s="24">
        <v>3</v>
      </c>
      <c r="N258" s="24">
        <v>2</v>
      </c>
      <c r="O258" s="25">
        <v>1</v>
      </c>
      <c r="P258" s="25">
        <v>1</v>
      </c>
      <c r="Q258" s="24"/>
      <c r="R258" s="24"/>
      <c r="S258" s="25" t="s">
        <v>124</v>
      </c>
    </row>
    <row r="259" spans="1:19">
      <c r="A259" s="23" t="s">
        <v>40</v>
      </c>
      <c r="B259" s="23">
        <v>87</v>
      </c>
      <c r="C259" s="24">
        <v>13</v>
      </c>
      <c r="D259" s="23" t="s">
        <v>79</v>
      </c>
      <c r="E259" s="24">
        <v>256</v>
      </c>
      <c r="F259" s="24">
        <v>3.8</v>
      </c>
      <c r="G259" s="24">
        <v>2.2000000000000002</v>
      </c>
      <c r="H259" s="24">
        <v>3</v>
      </c>
      <c r="I259" s="24">
        <v>353</v>
      </c>
      <c r="J259" s="35">
        <v>6.3</v>
      </c>
      <c r="K259" s="24">
        <v>4.29</v>
      </c>
      <c r="L259" s="24"/>
      <c r="M259" s="24">
        <v>10</v>
      </c>
      <c r="N259" s="27"/>
      <c r="O259" s="23"/>
      <c r="P259" s="23"/>
      <c r="Q259" s="27"/>
      <c r="R259" s="27"/>
      <c r="S259" s="25"/>
    </row>
    <row r="260" spans="1:19">
      <c r="A260" s="23" t="s">
        <v>40</v>
      </c>
      <c r="B260" s="23">
        <v>87</v>
      </c>
      <c r="C260" s="24">
        <v>14</v>
      </c>
      <c r="D260" s="23" t="s">
        <v>79</v>
      </c>
      <c r="E260" s="24">
        <v>270</v>
      </c>
      <c r="F260" s="24">
        <v>5.0999999999999996</v>
      </c>
      <c r="G260" s="24">
        <v>2.6</v>
      </c>
      <c r="H260" s="24">
        <v>2</v>
      </c>
      <c r="I260" s="24">
        <v>431</v>
      </c>
      <c r="J260" s="35">
        <v>7.28</v>
      </c>
      <c r="K260" s="24">
        <v>5.47</v>
      </c>
      <c r="L260" s="24"/>
      <c r="M260" s="24"/>
      <c r="N260" s="24"/>
      <c r="O260" s="23"/>
      <c r="P260" s="23"/>
      <c r="Q260" s="27">
        <v>1</v>
      </c>
      <c r="R260" s="27"/>
      <c r="S260" s="25"/>
    </row>
    <row r="261" spans="1:19">
      <c r="A261" s="23" t="s">
        <v>40</v>
      </c>
      <c r="B261" s="23">
        <v>91</v>
      </c>
      <c r="C261" s="24">
        <v>8</v>
      </c>
      <c r="D261" s="23" t="s">
        <v>79</v>
      </c>
      <c r="E261" s="24">
        <v>44</v>
      </c>
      <c r="F261" s="24">
        <v>1.3</v>
      </c>
      <c r="G261" s="25"/>
      <c r="H261" s="24">
        <v>0</v>
      </c>
      <c r="I261" s="24"/>
      <c r="J261" s="35"/>
      <c r="K261" s="25"/>
      <c r="L261" s="24"/>
      <c r="M261" s="24"/>
      <c r="N261" s="24"/>
      <c r="O261" s="25"/>
      <c r="P261" s="25"/>
      <c r="Q261" s="24"/>
      <c r="R261" s="24" t="s">
        <v>83</v>
      </c>
      <c r="S261" s="25" t="s">
        <v>119</v>
      </c>
    </row>
    <row r="262" spans="1:19">
      <c r="A262" s="23" t="s">
        <v>40</v>
      </c>
      <c r="B262" s="23">
        <v>91</v>
      </c>
      <c r="C262" s="24">
        <v>9</v>
      </c>
      <c r="D262" s="23" t="s">
        <v>79</v>
      </c>
      <c r="E262" s="24">
        <v>67</v>
      </c>
      <c r="F262" s="24">
        <v>1.3</v>
      </c>
      <c r="G262" s="25"/>
      <c r="H262" s="24">
        <v>0</v>
      </c>
      <c r="I262" s="24">
        <v>103</v>
      </c>
      <c r="J262" s="35">
        <v>2.34</v>
      </c>
      <c r="K262" s="25"/>
      <c r="L262" s="24"/>
      <c r="M262" s="24"/>
      <c r="N262" s="24"/>
      <c r="O262" s="25"/>
      <c r="P262" s="25"/>
      <c r="Q262" s="24">
        <v>1</v>
      </c>
      <c r="R262" s="24"/>
      <c r="S262" s="25" t="s">
        <v>84</v>
      </c>
    </row>
    <row r="263" spans="1:19">
      <c r="A263" s="23" t="s">
        <v>40</v>
      </c>
      <c r="B263" s="23">
        <v>91</v>
      </c>
      <c r="C263" s="24">
        <v>10</v>
      </c>
      <c r="D263" s="23" t="s">
        <v>79</v>
      </c>
      <c r="E263" s="24">
        <v>37</v>
      </c>
      <c r="F263" s="24">
        <v>0.6</v>
      </c>
      <c r="G263" s="25"/>
      <c r="H263" s="24">
        <v>0</v>
      </c>
      <c r="I263" s="24"/>
      <c r="J263" s="35"/>
      <c r="K263" s="25"/>
      <c r="L263" s="24"/>
      <c r="M263" s="24"/>
      <c r="N263" s="24"/>
      <c r="O263" s="25"/>
      <c r="P263" s="25"/>
      <c r="Q263" s="24"/>
      <c r="R263" s="24" t="s">
        <v>83</v>
      </c>
      <c r="S263" s="25" t="s">
        <v>88</v>
      </c>
    </row>
    <row r="264" spans="1:19">
      <c r="A264" s="23" t="s">
        <v>40</v>
      </c>
      <c r="B264" s="23">
        <v>91</v>
      </c>
      <c r="C264" s="24">
        <v>11</v>
      </c>
      <c r="D264" s="23" t="s">
        <v>79</v>
      </c>
      <c r="E264" s="25"/>
      <c r="F264" s="25"/>
      <c r="G264" s="25"/>
      <c r="H264" s="25"/>
      <c r="I264" s="25"/>
      <c r="J264" s="34"/>
      <c r="K264" s="25"/>
      <c r="L264" s="25"/>
      <c r="M264" s="25"/>
      <c r="N264" s="24"/>
      <c r="O264" s="25"/>
      <c r="P264" s="25"/>
      <c r="Q264" s="24"/>
      <c r="R264" s="24" t="s">
        <v>83</v>
      </c>
      <c r="S264" s="25"/>
    </row>
    <row r="265" spans="1:19">
      <c r="A265" s="23" t="s">
        <v>40</v>
      </c>
      <c r="B265" s="23">
        <v>91</v>
      </c>
      <c r="C265" s="24">
        <v>12</v>
      </c>
      <c r="D265" s="23" t="s">
        <v>79</v>
      </c>
      <c r="E265" s="24">
        <v>20</v>
      </c>
      <c r="F265" s="24">
        <v>0.4</v>
      </c>
      <c r="G265" s="25"/>
      <c r="H265" s="24">
        <v>0</v>
      </c>
      <c r="I265" s="24">
        <v>38</v>
      </c>
      <c r="J265" s="35">
        <v>0.76</v>
      </c>
      <c r="K265" s="25"/>
      <c r="L265" s="24"/>
      <c r="M265" s="24"/>
      <c r="N265" s="24"/>
      <c r="O265" s="25"/>
      <c r="P265" s="25"/>
      <c r="Q265" s="24"/>
      <c r="R265" s="24"/>
      <c r="S265" s="25"/>
    </row>
    <row r="266" spans="1:19">
      <c r="A266" s="23" t="s">
        <v>40</v>
      </c>
      <c r="B266" s="23">
        <v>91</v>
      </c>
      <c r="C266" s="24">
        <v>13</v>
      </c>
      <c r="D266" s="23" t="s">
        <v>79</v>
      </c>
      <c r="E266" s="24">
        <v>21</v>
      </c>
      <c r="F266" s="24">
        <v>0.3</v>
      </c>
      <c r="G266" s="25"/>
      <c r="H266" s="24">
        <v>0</v>
      </c>
      <c r="I266" s="24">
        <v>38</v>
      </c>
      <c r="J266" s="35">
        <v>0.49</v>
      </c>
      <c r="K266" s="25"/>
      <c r="L266" s="24"/>
      <c r="M266" s="24"/>
      <c r="N266" s="24"/>
      <c r="O266" s="25"/>
      <c r="P266" s="25"/>
      <c r="Q266" s="24"/>
      <c r="R266" s="24"/>
      <c r="S266" s="25"/>
    </row>
    <row r="267" spans="1:19">
      <c r="A267" s="23" t="s">
        <v>40</v>
      </c>
      <c r="B267" s="23">
        <v>91</v>
      </c>
      <c r="C267" s="24">
        <v>14</v>
      </c>
      <c r="D267" s="23" t="s">
        <v>79</v>
      </c>
      <c r="E267" s="24">
        <v>49</v>
      </c>
      <c r="F267" s="24">
        <v>0.9</v>
      </c>
      <c r="G267" s="25"/>
      <c r="H267" s="24">
        <v>0</v>
      </c>
      <c r="I267" s="24">
        <v>75</v>
      </c>
      <c r="J267" s="35">
        <v>1.45</v>
      </c>
      <c r="K267" s="25"/>
      <c r="L267" s="24"/>
      <c r="M267" s="24"/>
      <c r="N267" s="24"/>
      <c r="O267" s="25"/>
      <c r="P267" s="25"/>
      <c r="Q267" s="24"/>
      <c r="R267" s="24"/>
      <c r="S267" s="25"/>
    </row>
    <row r="268" spans="1:19">
      <c r="A268" s="23" t="s">
        <v>40</v>
      </c>
      <c r="B268" s="23">
        <v>92</v>
      </c>
      <c r="C268" s="24">
        <v>8</v>
      </c>
      <c r="D268" s="23" t="s">
        <v>79</v>
      </c>
      <c r="E268" s="24">
        <v>40</v>
      </c>
      <c r="F268" s="24">
        <v>0.8</v>
      </c>
      <c r="G268" s="25"/>
      <c r="H268" s="24">
        <v>2</v>
      </c>
      <c r="I268" s="23"/>
      <c r="J268" s="34"/>
      <c r="K268" s="25"/>
      <c r="L268" s="24"/>
      <c r="M268" s="24"/>
      <c r="N268" s="24"/>
      <c r="O268" s="25"/>
      <c r="P268" s="25"/>
      <c r="Q268" s="24"/>
      <c r="R268" s="24" t="s">
        <v>111</v>
      </c>
      <c r="S268" s="25"/>
    </row>
    <row r="269" spans="1:19">
      <c r="A269" s="23" t="s">
        <v>40</v>
      </c>
      <c r="B269" s="23">
        <v>92</v>
      </c>
      <c r="C269" s="24">
        <v>9</v>
      </c>
      <c r="D269" s="23" t="s">
        <v>79</v>
      </c>
      <c r="E269" s="24">
        <v>63</v>
      </c>
      <c r="F269" s="24">
        <v>1.3</v>
      </c>
      <c r="G269" s="25"/>
      <c r="H269" s="24">
        <v>1</v>
      </c>
      <c r="I269" s="23"/>
      <c r="J269" s="34"/>
      <c r="K269" s="25"/>
      <c r="L269" s="24"/>
      <c r="M269" s="24"/>
      <c r="N269" s="24"/>
      <c r="O269" s="25"/>
      <c r="P269" s="25"/>
      <c r="Q269" s="24"/>
      <c r="R269" s="24" t="s">
        <v>111</v>
      </c>
      <c r="S269" s="25"/>
    </row>
    <row r="270" spans="1:19">
      <c r="A270" s="23" t="s">
        <v>40</v>
      </c>
      <c r="B270" s="23">
        <v>92</v>
      </c>
      <c r="C270" s="24">
        <v>10</v>
      </c>
      <c r="D270" s="23" t="s">
        <v>79</v>
      </c>
      <c r="E270" s="24">
        <v>122</v>
      </c>
      <c r="F270" s="24">
        <v>2.4</v>
      </c>
      <c r="G270" s="25"/>
      <c r="H270" s="24">
        <v>3</v>
      </c>
      <c r="I270" s="23"/>
      <c r="J270" s="34"/>
      <c r="K270" s="25"/>
      <c r="L270" s="24"/>
      <c r="M270" s="24"/>
      <c r="N270" s="24"/>
      <c r="O270" s="25"/>
      <c r="P270" s="25"/>
      <c r="Q270" s="24"/>
      <c r="R270" s="24" t="s">
        <v>111</v>
      </c>
      <c r="S270" s="25"/>
    </row>
    <row r="271" spans="1:19">
      <c r="A271" s="23" t="s">
        <v>40</v>
      </c>
      <c r="B271" s="23">
        <v>92</v>
      </c>
      <c r="C271" s="24">
        <v>11</v>
      </c>
      <c r="D271" s="23" t="s">
        <v>79</v>
      </c>
      <c r="E271" s="24">
        <v>126</v>
      </c>
      <c r="F271" s="24">
        <v>2.8</v>
      </c>
      <c r="G271" s="25"/>
      <c r="H271" s="24">
        <v>1</v>
      </c>
      <c r="I271" s="24">
        <v>223</v>
      </c>
      <c r="J271" s="35">
        <v>5.16</v>
      </c>
      <c r="K271" s="25">
        <v>2.0099999999999998</v>
      </c>
      <c r="L271" s="24"/>
      <c r="M271" s="24"/>
      <c r="N271" s="24"/>
      <c r="O271" s="25"/>
      <c r="P271" s="25"/>
      <c r="Q271" s="24">
        <v>1</v>
      </c>
      <c r="R271" s="24"/>
      <c r="S271" s="25"/>
    </row>
    <row r="272" spans="1:19">
      <c r="A272" s="23" t="s">
        <v>40</v>
      </c>
      <c r="B272" s="23">
        <v>92</v>
      </c>
      <c r="C272" s="24">
        <v>12</v>
      </c>
      <c r="D272" s="23" t="s">
        <v>79</v>
      </c>
      <c r="E272" s="24">
        <v>65</v>
      </c>
      <c r="F272" s="24">
        <v>1.1000000000000001</v>
      </c>
      <c r="G272" s="25"/>
      <c r="H272" s="24">
        <v>0</v>
      </c>
      <c r="I272" s="24">
        <v>119</v>
      </c>
      <c r="J272" s="35">
        <v>2.19</v>
      </c>
      <c r="K272" s="25"/>
      <c r="L272" s="24"/>
      <c r="M272" s="24"/>
      <c r="N272" s="24"/>
      <c r="O272" s="25"/>
      <c r="P272" s="25"/>
      <c r="Q272" s="24"/>
      <c r="R272" s="24"/>
      <c r="S272" s="25"/>
    </row>
    <row r="273" spans="1:19">
      <c r="A273" s="23" t="s">
        <v>40</v>
      </c>
      <c r="B273" s="23">
        <v>92</v>
      </c>
      <c r="C273" s="24">
        <v>13</v>
      </c>
      <c r="D273" s="23" t="s">
        <v>79</v>
      </c>
      <c r="E273" s="24">
        <v>121</v>
      </c>
      <c r="F273" s="24">
        <v>2.7</v>
      </c>
      <c r="G273" s="25"/>
      <c r="H273" s="24">
        <v>1</v>
      </c>
      <c r="I273" s="24">
        <v>189</v>
      </c>
      <c r="J273" s="35">
        <v>5.26</v>
      </c>
      <c r="K273" s="25">
        <v>1.83</v>
      </c>
      <c r="L273" s="24"/>
      <c r="M273" s="24"/>
      <c r="N273" s="24"/>
      <c r="O273" s="25"/>
      <c r="P273" s="25"/>
      <c r="Q273" s="24"/>
      <c r="R273" s="24"/>
      <c r="S273" s="25"/>
    </row>
    <row r="274" spans="1:19">
      <c r="A274" s="23" t="s">
        <v>40</v>
      </c>
      <c r="B274" s="23">
        <v>92</v>
      </c>
      <c r="C274" s="24">
        <v>14</v>
      </c>
      <c r="D274" s="23" t="s">
        <v>79</v>
      </c>
      <c r="E274" s="24">
        <v>174</v>
      </c>
      <c r="F274" s="24">
        <v>3.1</v>
      </c>
      <c r="G274" s="24">
        <v>1.2</v>
      </c>
      <c r="H274" s="24">
        <v>3</v>
      </c>
      <c r="I274" s="24">
        <v>214</v>
      </c>
      <c r="J274" s="35">
        <v>4.3</v>
      </c>
      <c r="K274" s="24">
        <v>2.06</v>
      </c>
      <c r="L274" s="24"/>
      <c r="M274" s="24"/>
      <c r="N274" s="24"/>
      <c r="O274" s="25"/>
      <c r="P274" s="25">
        <v>1</v>
      </c>
      <c r="Q274" s="24"/>
      <c r="R274" s="24"/>
      <c r="S27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46EE-0D29-E045-B0E0-0341B9166CA7}">
  <dimension ref="A1:AK44"/>
  <sheetViews>
    <sheetView workbookViewId="0">
      <selection activeCell="E47" sqref="E47"/>
    </sheetView>
  </sheetViews>
  <sheetFormatPr baseColWidth="10" defaultColWidth="8.83203125" defaultRowHeight="15"/>
  <cols>
    <col min="2" max="3" width="5.5" customWidth="1"/>
    <col min="12" max="12" width="8.83203125" style="1"/>
    <col min="20" max="20" width="8.83203125" style="1"/>
    <col min="33" max="34" width="8.83203125" style="1"/>
    <col min="37" max="37" width="21.1640625" customWidth="1"/>
  </cols>
  <sheetData>
    <row r="1" spans="1:37">
      <c r="A1" t="s">
        <v>0</v>
      </c>
    </row>
    <row r="2" spans="1:37">
      <c r="B2" t="s">
        <v>1</v>
      </c>
    </row>
    <row r="3" spans="1:37">
      <c r="B3" t="s">
        <v>2</v>
      </c>
    </row>
    <row r="4" spans="1:37">
      <c r="A4" s="2"/>
    </row>
    <row r="5" spans="1:37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s="1" t="s">
        <v>14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  <c r="R5" t="s">
        <v>20</v>
      </c>
      <c r="S5" t="s">
        <v>21</v>
      </c>
      <c r="T5" s="1" t="s">
        <v>22</v>
      </c>
      <c r="U5" t="s">
        <v>23</v>
      </c>
      <c r="V5" t="s">
        <v>24</v>
      </c>
      <c r="W5" t="s">
        <v>25</v>
      </c>
      <c r="X5" t="s">
        <v>26</v>
      </c>
      <c r="Y5" t="s">
        <v>27</v>
      </c>
      <c r="Z5" t="s">
        <v>28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34</v>
      </c>
      <c r="AG5" s="1" t="s">
        <v>35</v>
      </c>
      <c r="AH5" s="1" t="s">
        <v>36</v>
      </c>
      <c r="AI5" s="1" t="s">
        <v>37</v>
      </c>
      <c r="AJ5" s="1" t="s">
        <v>38</v>
      </c>
      <c r="AK5" s="1" t="s">
        <v>39</v>
      </c>
    </row>
    <row r="6" spans="1:37">
      <c r="A6" s="3">
        <v>42187</v>
      </c>
      <c r="B6" t="s">
        <v>40</v>
      </c>
      <c r="C6">
        <v>61</v>
      </c>
      <c r="D6">
        <v>13</v>
      </c>
      <c r="E6" s="4">
        <v>116</v>
      </c>
      <c r="F6" s="5">
        <v>2.76</v>
      </c>
      <c r="G6">
        <v>144.22</v>
      </c>
      <c r="H6">
        <v>144.22</v>
      </c>
      <c r="I6">
        <v>45.82</v>
      </c>
      <c r="J6">
        <v>8.75</v>
      </c>
      <c r="K6" s="6">
        <f t="shared" ref="K6:K17" si="0">(I6-J6)/(H6-J6)</f>
        <v>0.27363992027755224</v>
      </c>
      <c r="L6" s="1">
        <f t="shared" ref="L6:L17" si="1">(G6-J6)*K6</f>
        <v>37.07</v>
      </c>
      <c r="M6" s="7"/>
      <c r="N6" s="8">
        <f t="shared" ref="N6:N14" si="2">(P6-R6)/(P6-R6+V6-X6)</f>
        <v>0.4216234963976605</v>
      </c>
      <c r="O6">
        <v>276.01</v>
      </c>
      <c r="P6">
        <v>276.01</v>
      </c>
      <c r="Q6">
        <v>136.18</v>
      </c>
      <c r="R6">
        <v>8.57</v>
      </c>
      <c r="S6" s="6">
        <f t="shared" ref="S6:S15" si="3">(Q6-R6)/(P6-R6)</f>
        <v>0.47715375411307215</v>
      </c>
      <c r="T6" s="9">
        <f>(P6-R6)*S6</f>
        <v>127.61000000000001</v>
      </c>
      <c r="U6">
        <v>375.45</v>
      </c>
      <c r="V6">
        <v>375.45</v>
      </c>
      <c r="W6">
        <v>153.26</v>
      </c>
      <c r="X6">
        <v>8.58</v>
      </c>
      <c r="Y6" s="6">
        <f>(W6-X6)/(V6-X6)</f>
        <v>0.39436312590290834</v>
      </c>
      <c r="Z6">
        <f>W6-X6</f>
        <v>144.67999999999998</v>
      </c>
      <c r="AG6" s="9">
        <f t="shared" ref="AG6:AG17" si="4">Z6+AF6</f>
        <v>144.67999999999998</v>
      </c>
      <c r="AH6" s="10">
        <f t="shared" ref="AH6:AH17" si="5">AG6+T6+L6</f>
        <v>309.35999999999996</v>
      </c>
      <c r="AI6" s="11">
        <f>SUM(U6+O6+AA6+G6)</f>
        <v>795.68000000000006</v>
      </c>
      <c r="AJ6" s="6">
        <f>AH6/AI6</f>
        <v>0.3887995173939271</v>
      </c>
    </row>
    <row r="7" spans="1:37">
      <c r="A7" s="3">
        <v>42187</v>
      </c>
      <c r="B7" t="s">
        <v>40</v>
      </c>
      <c r="C7">
        <v>62</v>
      </c>
      <c r="D7">
        <v>11</v>
      </c>
      <c r="E7" s="4">
        <v>183</v>
      </c>
      <c r="F7" s="5">
        <v>3.97</v>
      </c>
      <c r="G7">
        <v>342.46</v>
      </c>
      <c r="H7">
        <v>342.46</v>
      </c>
      <c r="I7">
        <v>117.91</v>
      </c>
      <c r="J7">
        <v>19.78</v>
      </c>
      <c r="K7" s="6">
        <f t="shared" si="0"/>
        <v>0.3041093343250279</v>
      </c>
      <c r="L7" s="1">
        <f t="shared" si="1"/>
        <v>98.129999999999981</v>
      </c>
      <c r="M7" s="7"/>
      <c r="N7" s="8">
        <f t="shared" si="2"/>
        <v>0.61151639121698687</v>
      </c>
      <c r="O7">
        <v>716.47</v>
      </c>
      <c r="P7">
        <v>716.47</v>
      </c>
      <c r="Q7">
        <v>383.34</v>
      </c>
      <c r="R7">
        <v>40.83</v>
      </c>
      <c r="S7" s="6">
        <f t="shared" si="3"/>
        <v>0.50694156651471201</v>
      </c>
      <c r="T7" s="9">
        <f>(P7-R7)*S7</f>
        <v>342.51</v>
      </c>
      <c r="U7">
        <v>448.88</v>
      </c>
      <c r="V7">
        <v>448.88</v>
      </c>
      <c r="W7">
        <v>195.25</v>
      </c>
      <c r="X7">
        <v>19.66</v>
      </c>
      <c r="Y7" s="6">
        <f>(W7-X7)/(V7-X7)</f>
        <v>0.40909090909090912</v>
      </c>
      <c r="Z7">
        <f>W7-X7</f>
        <v>175.59</v>
      </c>
      <c r="AA7">
        <v>850.34</v>
      </c>
      <c r="AB7">
        <v>850.34</v>
      </c>
      <c r="AC7">
        <v>332.66</v>
      </c>
      <c r="AD7">
        <v>19.46</v>
      </c>
      <c r="AE7" s="6">
        <f>(AC7-AD7)/(AB7-AD7)</f>
        <v>0.37694974003466208</v>
      </c>
      <c r="AF7">
        <f>AC7-AD7</f>
        <v>313.20000000000005</v>
      </c>
      <c r="AG7" s="9">
        <f t="shared" si="4"/>
        <v>488.79000000000008</v>
      </c>
      <c r="AH7" s="10">
        <f t="shared" si="5"/>
        <v>929.43000000000006</v>
      </c>
      <c r="AI7" s="11">
        <f t="shared" ref="AI7:AI44" si="6">SUM(U7+O7+AA7+G7)</f>
        <v>2358.15</v>
      </c>
      <c r="AJ7" s="6">
        <f t="shared" ref="AJ7:AJ44" si="7">AH7/AI7</f>
        <v>0.39413523312766363</v>
      </c>
    </row>
    <row r="8" spans="1:37">
      <c r="A8" s="3">
        <v>42187</v>
      </c>
      <c r="B8" t="s">
        <v>40</v>
      </c>
      <c r="C8">
        <v>63</v>
      </c>
      <c r="D8">
        <v>12</v>
      </c>
      <c r="E8" s="4">
        <v>96</v>
      </c>
      <c r="F8" s="5">
        <v>1.5</v>
      </c>
      <c r="G8">
        <v>197.59</v>
      </c>
      <c r="H8">
        <v>197.59</v>
      </c>
      <c r="I8">
        <v>63.94</v>
      </c>
      <c r="J8">
        <v>10.68</v>
      </c>
      <c r="K8" s="6">
        <f t="shared" si="0"/>
        <v>0.28494997592424159</v>
      </c>
      <c r="L8" s="1">
        <f t="shared" si="1"/>
        <v>53.26</v>
      </c>
      <c r="M8" s="7"/>
      <c r="N8" s="8">
        <f t="shared" si="2"/>
        <v>0.39071191773894476</v>
      </c>
      <c r="O8">
        <v>297.49</v>
      </c>
      <c r="P8">
        <v>297.49</v>
      </c>
      <c r="Q8">
        <v>144.16</v>
      </c>
      <c r="R8">
        <v>19.350000000000001</v>
      </c>
      <c r="S8" s="6">
        <f t="shared" si="3"/>
        <v>0.44873085496512549</v>
      </c>
      <c r="T8" s="9">
        <f>(P8-R8)*S8</f>
        <v>124.81</v>
      </c>
      <c r="U8">
        <v>453.15</v>
      </c>
      <c r="V8">
        <v>453.15</v>
      </c>
      <c r="W8">
        <v>182.3</v>
      </c>
      <c r="X8">
        <v>19.41</v>
      </c>
      <c r="Y8" s="6">
        <f>(W8-X8)/(V8-X8)</f>
        <v>0.37554756305620884</v>
      </c>
      <c r="Z8">
        <f>W8-X8</f>
        <v>162.89000000000001</v>
      </c>
      <c r="AG8" s="9">
        <f t="shared" si="4"/>
        <v>162.89000000000001</v>
      </c>
      <c r="AH8" s="10">
        <f t="shared" si="5"/>
        <v>340.96000000000004</v>
      </c>
      <c r="AI8" s="11">
        <f t="shared" si="6"/>
        <v>948.23</v>
      </c>
      <c r="AJ8" s="6">
        <f t="shared" si="7"/>
        <v>0.35957520854644975</v>
      </c>
    </row>
    <row r="9" spans="1:37">
      <c r="A9" s="3">
        <v>42215</v>
      </c>
      <c r="B9" t="s">
        <v>40</v>
      </c>
      <c r="C9">
        <v>76</v>
      </c>
      <c r="D9">
        <v>11</v>
      </c>
      <c r="E9" s="4">
        <v>481</v>
      </c>
      <c r="F9" s="5">
        <v>7.58</v>
      </c>
      <c r="G9">
        <v>711.39</v>
      </c>
      <c r="H9">
        <v>711.39</v>
      </c>
      <c r="I9">
        <v>288.41000000000003</v>
      </c>
      <c r="J9">
        <v>19.91</v>
      </c>
      <c r="K9" s="6">
        <f t="shared" si="0"/>
        <v>0.3882975646439521</v>
      </c>
      <c r="L9" s="1">
        <f t="shared" si="1"/>
        <v>268.5</v>
      </c>
      <c r="M9" s="7">
        <v>4618.54</v>
      </c>
      <c r="N9" s="12">
        <f>(P9-R9)/(P9-R9+V9-X9)</f>
        <v>0.42786807761993539</v>
      </c>
      <c r="O9" s="13">
        <f>M9*N9</f>
        <v>1976.1258312107764</v>
      </c>
      <c r="P9" s="7">
        <v>345.53</v>
      </c>
      <c r="Q9">
        <v>194.61</v>
      </c>
      <c r="R9">
        <v>19.64</v>
      </c>
      <c r="S9" s="6">
        <f t="shared" si="3"/>
        <v>0.53689895363466211</v>
      </c>
      <c r="T9" s="9">
        <f>(O9)*S9</f>
        <v>1060.9798910274928</v>
      </c>
      <c r="U9" s="13">
        <f>M9-O9</f>
        <v>2642.4141687892234</v>
      </c>
      <c r="V9" s="7">
        <v>455.35</v>
      </c>
      <c r="W9">
        <v>224.28</v>
      </c>
      <c r="X9">
        <v>19.579999999999998</v>
      </c>
      <c r="Y9" s="6">
        <f>(W9-X9)/(V9-X9)</f>
        <v>0.46974321316290696</v>
      </c>
      <c r="Z9" s="14">
        <f>U9*Y9</f>
        <v>1241.2561221542417</v>
      </c>
      <c r="AA9" s="7">
        <v>6563.13</v>
      </c>
      <c r="AB9" s="7">
        <v>1047.8800000000001</v>
      </c>
      <c r="AC9">
        <v>434.89</v>
      </c>
      <c r="AD9">
        <v>0</v>
      </c>
      <c r="AE9" s="6">
        <f>(AC9-AD9)/(AB9-AD9)</f>
        <v>0.41501889529335412</v>
      </c>
      <c r="AF9" s="14">
        <f>AA9*AE9</f>
        <v>2723.8229622666713</v>
      </c>
      <c r="AG9" s="9">
        <f t="shared" si="4"/>
        <v>3965.0790844209132</v>
      </c>
      <c r="AH9" s="10">
        <f t="shared" si="5"/>
        <v>5294.5589754484063</v>
      </c>
      <c r="AI9" s="11">
        <f t="shared" si="6"/>
        <v>11893.06</v>
      </c>
      <c r="AJ9" s="6">
        <f t="shared" si="7"/>
        <v>0.44518054860972756</v>
      </c>
    </row>
    <row r="10" spans="1:37">
      <c r="A10" s="3">
        <v>42186</v>
      </c>
      <c r="B10" t="s">
        <v>40</v>
      </c>
      <c r="C10">
        <v>78</v>
      </c>
      <c r="D10">
        <v>9</v>
      </c>
      <c r="E10" s="4">
        <v>122</v>
      </c>
      <c r="F10" s="5">
        <v>2.19</v>
      </c>
      <c r="G10">
        <v>44.74</v>
      </c>
      <c r="H10">
        <v>44.74</v>
      </c>
      <c r="I10">
        <v>21.74</v>
      </c>
      <c r="J10">
        <v>10.88</v>
      </c>
      <c r="K10" s="6">
        <f t="shared" si="0"/>
        <v>0.32073242764323678</v>
      </c>
      <c r="L10" s="1">
        <f t="shared" si="1"/>
        <v>10.859999999999998</v>
      </c>
      <c r="M10" s="7"/>
      <c r="N10" s="8">
        <f t="shared" si="2"/>
        <v>1</v>
      </c>
      <c r="O10">
        <v>163.98</v>
      </c>
      <c r="P10">
        <v>163.98</v>
      </c>
      <c r="Q10">
        <v>94.7</v>
      </c>
      <c r="R10">
        <v>19.84</v>
      </c>
      <c r="S10" s="6">
        <f t="shared" si="3"/>
        <v>0.51935618149021789</v>
      </c>
      <c r="T10" s="1">
        <f>(P10-R10)*S10</f>
        <v>74.86</v>
      </c>
      <c r="AA10">
        <v>272.98</v>
      </c>
      <c r="AB10">
        <v>272.98</v>
      </c>
      <c r="AC10">
        <v>128.88999999999999</v>
      </c>
      <c r="AD10">
        <v>19.510000000000002</v>
      </c>
      <c r="AE10" s="6">
        <f>(AC10-AD10)/(AB10-AD10)</f>
        <v>0.43153035862232203</v>
      </c>
      <c r="AF10" s="14">
        <f>(AA10-AD10)*AE10</f>
        <v>109.37999999999998</v>
      </c>
      <c r="AG10" s="9">
        <f t="shared" si="4"/>
        <v>109.37999999999998</v>
      </c>
      <c r="AH10" s="10">
        <f t="shared" si="5"/>
        <v>195.09999999999997</v>
      </c>
      <c r="AI10" s="11">
        <f t="shared" si="6"/>
        <v>481.70000000000005</v>
      </c>
      <c r="AJ10" s="6">
        <f t="shared" si="7"/>
        <v>0.40502387378036109</v>
      </c>
    </row>
    <row r="11" spans="1:37">
      <c r="A11" s="3">
        <v>42186</v>
      </c>
      <c r="B11" t="s">
        <v>40</v>
      </c>
      <c r="C11">
        <v>79</v>
      </c>
      <c r="D11">
        <v>13</v>
      </c>
      <c r="E11" s="4">
        <v>425</v>
      </c>
      <c r="F11" s="5">
        <v>7.78</v>
      </c>
      <c r="G11">
        <v>632.19000000000005</v>
      </c>
      <c r="H11">
        <v>632.19000000000005</v>
      </c>
      <c r="I11">
        <v>249.08</v>
      </c>
      <c r="J11">
        <v>20.09</v>
      </c>
      <c r="K11" s="6">
        <f t="shared" si="0"/>
        <v>0.37410553831073357</v>
      </c>
      <c r="L11" s="1">
        <f t="shared" si="1"/>
        <v>228.99000000000004</v>
      </c>
      <c r="M11" s="7"/>
      <c r="N11" s="8">
        <f t="shared" si="2"/>
        <v>0.53999301744742934</v>
      </c>
      <c r="O11">
        <v>622.88</v>
      </c>
      <c r="P11">
        <v>622.88</v>
      </c>
      <c r="Q11">
        <v>339.68</v>
      </c>
      <c r="R11">
        <v>19.670000000000002</v>
      </c>
      <c r="S11" s="6">
        <f t="shared" si="3"/>
        <v>0.53051176207290984</v>
      </c>
      <c r="T11" s="9">
        <f>(P11-R11)*S11</f>
        <v>320.01</v>
      </c>
      <c r="U11">
        <v>533.61</v>
      </c>
      <c r="V11">
        <v>533.61</v>
      </c>
      <c r="W11">
        <v>261.88</v>
      </c>
      <c r="X11">
        <v>19.75</v>
      </c>
      <c r="Y11" s="6">
        <f t="shared" ref="Y11:Y17" si="8">(W11-X11)/(V11-X11)</f>
        <v>0.47119838088195226</v>
      </c>
      <c r="Z11">
        <f>W11-X11</f>
        <v>242.13</v>
      </c>
      <c r="AA11" s="7">
        <v>4700.53</v>
      </c>
      <c r="AB11" s="7">
        <v>1909.26</v>
      </c>
      <c r="AC11">
        <v>758.85</v>
      </c>
      <c r="AD11">
        <v>20.63</v>
      </c>
      <c r="AE11" s="6">
        <f>(AC11-AD11)/(AB11-AD11)</f>
        <v>0.39087592593573123</v>
      </c>
      <c r="AF11" s="14">
        <f>AA11*AE11</f>
        <v>1837.3240161386825</v>
      </c>
      <c r="AG11" s="9">
        <f t="shared" si="4"/>
        <v>2079.4540161386826</v>
      </c>
      <c r="AH11" s="10">
        <f t="shared" si="5"/>
        <v>2628.4540161386826</v>
      </c>
      <c r="AI11" s="11">
        <f t="shared" si="6"/>
        <v>6489.2099999999991</v>
      </c>
      <c r="AJ11" s="6">
        <f t="shared" si="7"/>
        <v>0.40504992381795057</v>
      </c>
    </row>
    <row r="12" spans="1:37">
      <c r="A12" s="3">
        <v>42215</v>
      </c>
      <c r="B12" t="s">
        <v>40</v>
      </c>
      <c r="C12">
        <v>81</v>
      </c>
      <c r="D12">
        <v>11</v>
      </c>
      <c r="E12" s="4">
        <v>409</v>
      </c>
      <c r="F12" s="5">
        <v>7.62</v>
      </c>
      <c r="G12">
        <v>812.78</v>
      </c>
      <c r="H12">
        <v>812.78</v>
      </c>
      <c r="I12">
        <v>273.05</v>
      </c>
      <c r="J12">
        <v>20.010000000000002</v>
      </c>
      <c r="K12" s="6">
        <f t="shared" si="0"/>
        <v>0.31918463110359879</v>
      </c>
      <c r="L12" s="1">
        <f t="shared" si="1"/>
        <v>253.04000000000002</v>
      </c>
      <c r="M12" s="7">
        <v>3243.16</v>
      </c>
      <c r="N12" s="12">
        <f t="shared" si="2"/>
        <v>0.61547334443400514</v>
      </c>
      <c r="O12" s="13">
        <f>M12*N12</f>
        <v>1996.0785317345881</v>
      </c>
      <c r="P12" s="7">
        <v>681.31</v>
      </c>
      <c r="Q12">
        <v>359.22</v>
      </c>
      <c r="R12" s="15">
        <v>19.670000000000002</v>
      </c>
      <c r="S12" s="6">
        <f t="shared" si="3"/>
        <v>0.51319448642766463</v>
      </c>
      <c r="T12" s="9">
        <f>(O12)*S12</f>
        <v>1024.3764969628187</v>
      </c>
      <c r="U12" s="13">
        <f>M12-O12</f>
        <v>1247.0814682654118</v>
      </c>
      <c r="V12" s="7">
        <v>433.24</v>
      </c>
      <c r="W12">
        <v>207.66</v>
      </c>
      <c r="X12" s="15">
        <v>19.87</v>
      </c>
      <c r="Y12" s="6">
        <f t="shared" si="8"/>
        <v>0.4542903452113119</v>
      </c>
      <c r="Z12" s="14">
        <f>U12*Y12</f>
        <v>566.53707072492364</v>
      </c>
      <c r="AA12">
        <v>4895.79</v>
      </c>
      <c r="AB12">
        <v>1636.96</v>
      </c>
      <c r="AC12">
        <v>695.48</v>
      </c>
      <c r="AD12">
        <v>19.68</v>
      </c>
      <c r="AE12" s="6">
        <f>(AC12-AD12)/(AB12-AD12)</f>
        <v>0.41786208943411163</v>
      </c>
      <c r="AF12" s="14">
        <f>AA12*AE12</f>
        <v>2045.7650388306292</v>
      </c>
      <c r="AG12" s="9">
        <f t="shared" si="4"/>
        <v>2612.3021095555528</v>
      </c>
      <c r="AH12" s="10">
        <f t="shared" si="5"/>
        <v>3889.7186065183714</v>
      </c>
      <c r="AI12" s="11">
        <f t="shared" si="6"/>
        <v>8951.73</v>
      </c>
      <c r="AJ12" s="6">
        <f t="shared" si="7"/>
        <v>0.43452143960087847</v>
      </c>
    </row>
    <row r="13" spans="1:37">
      <c r="A13" s="3">
        <v>42186</v>
      </c>
      <c r="B13" t="s">
        <v>40</v>
      </c>
      <c r="C13">
        <v>84</v>
      </c>
      <c r="D13">
        <v>8</v>
      </c>
      <c r="E13" s="4">
        <v>24</v>
      </c>
      <c r="F13" s="5">
        <v>0.42</v>
      </c>
      <c r="G13">
        <v>49.36</v>
      </c>
      <c r="H13">
        <v>49.36</v>
      </c>
      <c r="I13">
        <v>24.7</v>
      </c>
      <c r="J13">
        <v>8.4600000000000009</v>
      </c>
      <c r="K13" s="6">
        <f t="shared" si="0"/>
        <v>0.39706601466992664</v>
      </c>
      <c r="L13" s="1">
        <f t="shared" si="1"/>
        <v>16.239999999999998</v>
      </c>
      <c r="M13" s="7"/>
      <c r="N13" s="8">
        <f t="shared" si="2"/>
        <v>0.36511904128773781</v>
      </c>
      <c r="O13">
        <v>214.48</v>
      </c>
      <c r="P13">
        <v>214.48</v>
      </c>
      <c r="Q13">
        <v>111.95</v>
      </c>
      <c r="R13">
        <v>8.52</v>
      </c>
      <c r="S13" s="6">
        <f t="shared" si="3"/>
        <v>0.50218489026995539</v>
      </c>
      <c r="T13" s="9">
        <f>(P13-R13)*S13</f>
        <v>103.43</v>
      </c>
      <c r="U13">
        <v>368.85</v>
      </c>
      <c r="V13">
        <v>368.85</v>
      </c>
      <c r="W13" s="14">
        <v>169.5</v>
      </c>
      <c r="X13">
        <v>10.72</v>
      </c>
      <c r="Y13" s="6">
        <f t="shared" si="8"/>
        <v>0.44335855694859411</v>
      </c>
      <c r="Z13">
        <f>W13-X13</f>
        <v>158.78</v>
      </c>
      <c r="AG13" s="9">
        <f t="shared" si="4"/>
        <v>158.78</v>
      </c>
      <c r="AH13" s="10">
        <f t="shared" si="5"/>
        <v>278.45000000000005</v>
      </c>
      <c r="AI13" s="11">
        <f t="shared" si="6"/>
        <v>632.69000000000005</v>
      </c>
      <c r="AJ13" s="6">
        <f t="shared" si="7"/>
        <v>0.44010494871105915</v>
      </c>
    </row>
    <row r="14" spans="1:37">
      <c r="A14" s="3">
        <v>42215</v>
      </c>
      <c r="B14" t="s">
        <v>40</v>
      </c>
      <c r="C14">
        <v>86</v>
      </c>
      <c r="D14">
        <v>12</v>
      </c>
      <c r="E14" s="4">
        <v>376</v>
      </c>
      <c r="F14" s="5">
        <v>6.13</v>
      </c>
      <c r="G14">
        <v>670.27</v>
      </c>
      <c r="H14">
        <v>670.27</v>
      </c>
      <c r="I14">
        <v>247.01</v>
      </c>
      <c r="J14">
        <v>19.690000000000001</v>
      </c>
      <c r="K14" s="6">
        <f t="shared" si="0"/>
        <v>0.34941129453718223</v>
      </c>
      <c r="L14" s="1">
        <f t="shared" si="1"/>
        <v>227.32</v>
      </c>
      <c r="M14" s="7">
        <f>471.84+488.19+574.28+727+472.1+521.54</f>
        <v>3254.95</v>
      </c>
      <c r="N14" s="12">
        <f t="shared" si="2"/>
        <v>0.50742946519882093</v>
      </c>
      <c r="O14" s="13">
        <f>M14*N14</f>
        <v>1651.6575377489021</v>
      </c>
      <c r="P14" s="7">
        <v>694.53</v>
      </c>
      <c r="Q14">
        <v>369.93</v>
      </c>
      <c r="R14" s="15">
        <v>19.73</v>
      </c>
      <c r="S14" s="6">
        <f t="shared" si="3"/>
        <v>0.51896858328393602</v>
      </c>
      <c r="T14" s="9">
        <f>(O14)*S14</f>
        <v>857.15837243578176</v>
      </c>
      <c r="U14" s="13">
        <f>M14-O14</f>
        <v>1603.2924622510977</v>
      </c>
      <c r="V14" s="7">
        <v>674.69</v>
      </c>
      <c r="W14">
        <v>312.52</v>
      </c>
      <c r="X14" s="15">
        <v>19.649999999999999</v>
      </c>
      <c r="Y14" s="6">
        <f t="shared" si="8"/>
        <v>0.44710246702491446</v>
      </c>
      <c r="Z14" s="14">
        <f>U14*Y14</f>
        <v>716.83601523491529</v>
      </c>
      <c r="AA14" s="7">
        <v>4662.34</v>
      </c>
      <c r="AB14" s="7">
        <v>1389.89</v>
      </c>
      <c r="AC14">
        <v>557.08000000000004</v>
      </c>
      <c r="AD14">
        <v>19.89</v>
      </c>
      <c r="AE14" s="6">
        <f>(AC14-AD14)/(AB14-AD14)</f>
        <v>0.39210948905109494</v>
      </c>
      <c r="AF14" s="14">
        <f>AA14*AE14</f>
        <v>1828.1477551824821</v>
      </c>
      <c r="AG14" s="9">
        <f t="shared" si="4"/>
        <v>2544.9837704173974</v>
      </c>
      <c r="AH14" s="10">
        <f t="shared" si="5"/>
        <v>3629.4621428531796</v>
      </c>
      <c r="AI14" s="11">
        <f t="shared" si="6"/>
        <v>8587.56</v>
      </c>
      <c r="AJ14" s="6">
        <f t="shared" si="7"/>
        <v>0.42264183806030814</v>
      </c>
    </row>
    <row r="15" spans="1:37">
      <c r="A15" s="3">
        <v>42186</v>
      </c>
      <c r="B15" t="s">
        <v>40</v>
      </c>
      <c r="C15">
        <v>87</v>
      </c>
      <c r="D15">
        <v>14</v>
      </c>
      <c r="E15" s="4">
        <v>431</v>
      </c>
      <c r="F15" s="5">
        <v>7.28</v>
      </c>
      <c r="G15" s="7">
        <v>944.89</v>
      </c>
      <c r="H15" s="7">
        <v>436.84</v>
      </c>
      <c r="I15">
        <v>159.91</v>
      </c>
      <c r="J15">
        <v>19.95</v>
      </c>
      <c r="K15" s="6">
        <f t="shared" si="0"/>
        <v>0.33572405190817722</v>
      </c>
      <c r="L15" s="9">
        <f t="shared" si="1"/>
        <v>310.5246045719494</v>
      </c>
      <c r="M15" s="7">
        <f>O15+U15</f>
        <v>3868.42</v>
      </c>
      <c r="N15" s="12">
        <f>O15/(O15+U15)</f>
        <v>0.60978383939696312</v>
      </c>
      <c r="O15" s="7">
        <v>2358.9</v>
      </c>
      <c r="P15" s="7">
        <v>294.13</v>
      </c>
      <c r="Q15">
        <v>167.45</v>
      </c>
      <c r="R15">
        <v>20.03</v>
      </c>
      <c r="S15" s="6">
        <f t="shared" si="3"/>
        <v>0.53783290769792036</v>
      </c>
      <c r="T15" s="9">
        <f>(O15)*S15</f>
        <v>1268.6940459686243</v>
      </c>
      <c r="U15" s="7">
        <v>1509.52</v>
      </c>
      <c r="V15" s="7">
        <v>576.22</v>
      </c>
      <c r="W15">
        <v>281.32</v>
      </c>
      <c r="X15">
        <v>19.73</v>
      </c>
      <c r="Y15" s="6">
        <f t="shared" si="8"/>
        <v>0.47007134000610967</v>
      </c>
      <c r="Z15" s="14">
        <f>U15*Y15</f>
        <v>709.58208916602268</v>
      </c>
      <c r="AA15" s="7">
        <f>296.48+805.62+381.37+1156.92+757.49+1055.96+694.17</f>
        <v>5148.01</v>
      </c>
      <c r="AB15" s="7">
        <v>694.17</v>
      </c>
      <c r="AC15">
        <v>265.89999999999998</v>
      </c>
      <c r="AD15">
        <v>0</v>
      </c>
      <c r="AE15" s="6">
        <f>(AC15-AD15)/(AB15-AD15)</f>
        <v>0.38304738032470431</v>
      </c>
      <c r="AF15" s="14">
        <f>AA15*AE15</f>
        <v>1971.9317443853811</v>
      </c>
      <c r="AG15" s="9">
        <f t="shared" si="4"/>
        <v>2681.5138335514039</v>
      </c>
      <c r="AH15" s="10">
        <f t="shared" si="5"/>
        <v>4260.7324840919773</v>
      </c>
      <c r="AI15" s="11">
        <f t="shared" si="6"/>
        <v>9961.32</v>
      </c>
      <c r="AJ15" s="6">
        <f t="shared" si="7"/>
        <v>0.42772769914950803</v>
      </c>
    </row>
    <row r="16" spans="1:37">
      <c r="A16" s="3">
        <v>42187</v>
      </c>
      <c r="B16" t="s">
        <v>40</v>
      </c>
      <c r="C16">
        <v>91</v>
      </c>
      <c r="D16">
        <v>9</v>
      </c>
      <c r="E16" s="4">
        <v>103</v>
      </c>
      <c r="F16" s="5">
        <v>2.34</v>
      </c>
      <c r="G16">
        <v>61.15</v>
      </c>
      <c r="H16">
        <v>61.15</v>
      </c>
      <c r="I16">
        <v>25.15</v>
      </c>
      <c r="J16">
        <v>8.6300000000000008</v>
      </c>
      <c r="K16" s="6">
        <f t="shared" si="0"/>
        <v>0.31454683929931448</v>
      </c>
      <c r="L16" s="1">
        <f t="shared" si="1"/>
        <v>16.519999999999996</v>
      </c>
      <c r="M16" s="7"/>
      <c r="N16" s="8">
        <f>(P16-R16)/(P16-R16+V16-X16)</f>
        <v>0.44199770378874859</v>
      </c>
      <c r="O16">
        <v>212.2</v>
      </c>
      <c r="P16">
        <f>84.11+62.81+65.28</f>
        <v>212.20000000000002</v>
      </c>
      <c r="Q16">
        <f>121.79</f>
        <v>121.79</v>
      </c>
      <c r="R16" s="16">
        <v>19.71</v>
      </c>
      <c r="S16" s="6">
        <f>(Q16-R16)/(P16)</f>
        <v>0.48105560791705942</v>
      </c>
      <c r="T16" s="1">
        <f>(P16)*S16</f>
        <v>102.08000000000001</v>
      </c>
      <c r="U16" s="15">
        <v>251.56</v>
      </c>
      <c r="V16" s="15">
        <v>251.56</v>
      </c>
      <c r="W16">
        <v>108.87</v>
      </c>
      <c r="X16" s="15">
        <v>8.5500000000000007</v>
      </c>
      <c r="Y16" s="6">
        <f t="shared" si="8"/>
        <v>0.41282251759186872</v>
      </c>
      <c r="Z16">
        <f>W16-X16</f>
        <v>100.32000000000001</v>
      </c>
      <c r="AG16" s="9">
        <f t="shared" si="4"/>
        <v>100.32000000000001</v>
      </c>
      <c r="AH16" s="10">
        <f t="shared" si="5"/>
        <v>218.92000000000002</v>
      </c>
      <c r="AI16" s="11">
        <f t="shared" si="6"/>
        <v>524.91</v>
      </c>
      <c r="AJ16" s="6">
        <f t="shared" si="7"/>
        <v>0.41706197252862404</v>
      </c>
    </row>
    <row r="17" spans="1:37">
      <c r="A17" s="3">
        <v>42187</v>
      </c>
      <c r="B17" t="s">
        <v>40</v>
      </c>
      <c r="C17">
        <v>92</v>
      </c>
      <c r="D17">
        <v>11</v>
      </c>
      <c r="E17" s="4">
        <v>223</v>
      </c>
      <c r="F17" s="5">
        <v>5.16</v>
      </c>
      <c r="G17">
        <v>595.95000000000005</v>
      </c>
      <c r="H17">
        <v>595.95000000000005</v>
      </c>
      <c r="I17">
        <v>187.45</v>
      </c>
      <c r="J17">
        <v>20.09</v>
      </c>
      <c r="K17" s="6">
        <f t="shared" si="0"/>
        <v>0.29062619386656474</v>
      </c>
      <c r="L17" s="1">
        <f t="shared" si="1"/>
        <v>167.35999999999999</v>
      </c>
      <c r="M17" s="7">
        <v>1895.97</v>
      </c>
      <c r="N17" s="12">
        <f>(P17-R17)/(P17-R17+V17-X17)</f>
        <v>0.56568420820321552</v>
      </c>
      <c r="O17" s="13">
        <f>M17*N17</f>
        <v>1072.5202882270505</v>
      </c>
      <c r="P17" s="7">
        <v>532.51</v>
      </c>
      <c r="Q17">
        <v>272.05</v>
      </c>
      <c r="R17" s="15">
        <v>19.87</v>
      </c>
      <c r="S17" s="6">
        <f>(Q17-R17)/(P17-R17)</f>
        <v>0.4919241573033708</v>
      </c>
      <c r="T17" s="9">
        <f>(O17)*S17</f>
        <v>527.59863897686023</v>
      </c>
      <c r="U17" s="13">
        <f>M17-O17</f>
        <v>823.44971177294951</v>
      </c>
      <c r="V17" s="7">
        <v>400.63</v>
      </c>
      <c r="W17">
        <v>159.84</v>
      </c>
      <c r="X17">
        <v>7.04</v>
      </c>
      <c r="Y17" s="6">
        <f t="shared" si="8"/>
        <v>0.38822124545847209</v>
      </c>
      <c r="Z17" s="14">
        <f>U17*Y17</f>
        <v>319.6806726769143</v>
      </c>
      <c r="AA17">
        <v>1235.9100000000001</v>
      </c>
      <c r="AB17">
        <v>1235.9100000000001</v>
      </c>
      <c r="AC17">
        <v>488.59</v>
      </c>
      <c r="AD17">
        <v>0</v>
      </c>
      <c r="AE17" s="6">
        <f>(AC17-AD17)/(AB17-AD17)</f>
        <v>0.39532813878033185</v>
      </c>
      <c r="AF17" s="14">
        <f>AA17*AE17</f>
        <v>488.59</v>
      </c>
      <c r="AG17" s="9">
        <f t="shared" si="4"/>
        <v>808.27067267691427</v>
      </c>
      <c r="AH17" s="10">
        <f t="shared" si="5"/>
        <v>1503.2293116537744</v>
      </c>
      <c r="AI17" s="11">
        <f t="shared" si="6"/>
        <v>3727.83</v>
      </c>
      <c r="AJ17" s="6">
        <f t="shared" si="7"/>
        <v>0.40324513501253395</v>
      </c>
    </row>
    <row r="18" spans="1:37">
      <c r="A18" s="3">
        <v>42192</v>
      </c>
      <c r="B18" t="s">
        <v>41</v>
      </c>
      <c r="C18">
        <v>30</v>
      </c>
      <c r="D18">
        <v>8</v>
      </c>
      <c r="E18" s="17">
        <v>206</v>
      </c>
      <c r="F18" s="18">
        <v>5.9</v>
      </c>
      <c r="G18">
        <f>692.26+589.06</f>
        <v>1281.32</v>
      </c>
      <c r="H18">
        <f>692.26+589.06</f>
        <v>1281.32</v>
      </c>
      <c r="I18">
        <f>189.73+156.82</f>
        <v>346.54999999999995</v>
      </c>
      <c r="J18">
        <f>20.02+19.69</f>
        <v>39.71</v>
      </c>
      <c r="K18" s="6">
        <f>(I18-J18)/(H18-J18)</f>
        <v>0.24713074153719766</v>
      </c>
      <c r="L18" s="1">
        <f t="shared" ref="L18:L31" si="9">(G18-J18)*K18</f>
        <v>306.83999999999997</v>
      </c>
      <c r="O18" s="19">
        <v>3592.73</v>
      </c>
      <c r="P18" s="19">
        <f>470.61+273.6</f>
        <v>744.21</v>
      </c>
      <c r="Q18">
        <f>214.37+124.21</f>
        <v>338.58</v>
      </c>
      <c r="R18">
        <f>19.88+19.57</f>
        <v>39.450000000000003</v>
      </c>
      <c r="S18" s="6">
        <f t="shared" ref="S18:S31" si="10">(Q18-R18)/(P18-R18)</f>
        <v>0.42444236335773883</v>
      </c>
      <c r="T18" s="9">
        <f t="shared" ref="T18:T31" si="11">(O18)*S18</f>
        <v>1524.9068121062489</v>
      </c>
      <c r="U18" s="19">
        <v>1744.41</v>
      </c>
      <c r="V18" s="19">
        <f>389.78+189.66</f>
        <v>579.43999999999994</v>
      </c>
      <c r="W18">
        <f>168.34+93.06</f>
        <v>261.39999999999998</v>
      </c>
      <c r="X18">
        <f>19.76+20.14</f>
        <v>39.900000000000006</v>
      </c>
      <c r="Y18" s="6">
        <f t="shared" ref="Y18:Y31" si="12">(W18-X18)/(V18-X18)</f>
        <v>0.41053490010008525</v>
      </c>
      <c r="Z18" s="14">
        <f t="shared" ref="Z18:Z31" si="13">U18*Y18</f>
        <v>716.14118508358979</v>
      </c>
      <c r="AA18" s="19">
        <v>2388.66</v>
      </c>
      <c r="AB18" s="19">
        <v>828.88</v>
      </c>
      <c r="AC18">
        <v>355.21</v>
      </c>
      <c r="AD18">
        <v>19.78</v>
      </c>
      <c r="AE18" s="6">
        <f t="shared" ref="AE18:AE21" si="14">(AC18-AD18)/(AB18-AD18)</f>
        <v>0.41457174638487199</v>
      </c>
      <c r="AF18" s="14">
        <f t="shared" ref="AF18:AF21" si="15">AA18*AE18</f>
        <v>990.27094771968825</v>
      </c>
      <c r="AG18" s="9">
        <f t="shared" ref="AG18:AG31" si="16">Z18+AF18</f>
        <v>1706.4121328032779</v>
      </c>
      <c r="AH18" s="10">
        <f t="shared" ref="AH18:AH31" si="17">AG18+T18+L18</f>
        <v>3538.1589449095272</v>
      </c>
      <c r="AI18" s="11">
        <f t="shared" si="6"/>
        <v>9007.1200000000008</v>
      </c>
      <c r="AJ18" s="6">
        <f t="shared" si="7"/>
        <v>0.39281800896507729</v>
      </c>
      <c r="AK18" t="s">
        <v>42</v>
      </c>
    </row>
    <row r="19" spans="1:37">
      <c r="A19" s="3">
        <v>42192</v>
      </c>
      <c r="B19" t="s">
        <v>41</v>
      </c>
      <c r="C19">
        <v>31</v>
      </c>
      <c r="D19">
        <v>14</v>
      </c>
      <c r="E19" s="17">
        <v>206</v>
      </c>
      <c r="F19" s="18">
        <v>5.7</v>
      </c>
      <c r="G19">
        <v>1008.5</v>
      </c>
      <c r="H19">
        <v>1008.5</v>
      </c>
      <c r="I19">
        <v>282.69</v>
      </c>
      <c r="J19">
        <v>20.149999999999999</v>
      </c>
      <c r="K19" s="6">
        <f t="shared" ref="K19:K31" si="18">(I19-J19)/(H19-J19)</f>
        <v>0.26563464359791572</v>
      </c>
      <c r="L19" s="1">
        <f t="shared" si="9"/>
        <v>262.54000000000002</v>
      </c>
      <c r="M19" s="7"/>
      <c r="N19" s="7"/>
      <c r="O19" s="19">
        <v>3784.1</v>
      </c>
      <c r="P19" s="19">
        <v>585.07000000000005</v>
      </c>
      <c r="Q19">
        <v>270.2</v>
      </c>
      <c r="R19">
        <v>40.72</v>
      </c>
      <c r="S19" s="6">
        <f t="shared" si="10"/>
        <v>0.42156700652153939</v>
      </c>
      <c r="T19" s="9">
        <f t="shared" si="11"/>
        <v>1595.2517093781571</v>
      </c>
      <c r="U19">
        <v>374.9</v>
      </c>
      <c r="V19">
        <v>374.9</v>
      </c>
      <c r="W19">
        <v>163.33000000000001</v>
      </c>
      <c r="X19">
        <v>10.88</v>
      </c>
      <c r="Y19" s="6">
        <f t="shared" si="12"/>
        <v>0.41879567056755129</v>
      </c>
      <c r="Z19" s="14">
        <f t="shared" si="13"/>
        <v>157.00649689577497</v>
      </c>
      <c r="AA19" s="19">
        <v>1746.76</v>
      </c>
      <c r="AB19" s="19">
        <v>466.37</v>
      </c>
      <c r="AC19">
        <v>175.46</v>
      </c>
      <c r="AD19">
        <v>0</v>
      </c>
      <c r="AE19" s="6">
        <f t="shared" si="14"/>
        <v>0.37622488582027147</v>
      </c>
      <c r="AF19" s="14">
        <f t="shared" si="15"/>
        <v>657.17458155541738</v>
      </c>
      <c r="AG19" s="9">
        <f t="shared" si="16"/>
        <v>814.18107845119232</v>
      </c>
      <c r="AH19" s="10">
        <f t="shared" si="17"/>
        <v>2671.9727878293493</v>
      </c>
      <c r="AI19" s="11">
        <f t="shared" si="6"/>
        <v>6914.26</v>
      </c>
      <c r="AJ19" s="6">
        <f t="shared" si="7"/>
        <v>0.38644378253484091</v>
      </c>
    </row>
    <row r="20" spans="1:37">
      <c r="A20" s="3">
        <v>42192</v>
      </c>
      <c r="B20" t="s">
        <v>41</v>
      </c>
      <c r="C20">
        <v>34</v>
      </c>
      <c r="D20">
        <v>8</v>
      </c>
      <c r="E20" s="17">
        <v>68</v>
      </c>
      <c r="F20" s="18">
        <v>1.82</v>
      </c>
      <c r="G20">
        <v>34.299999999999997</v>
      </c>
      <c r="H20">
        <v>34.299999999999997</v>
      </c>
      <c r="I20">
        <v>16.66</v>
      </c>
      <c r="J20">
        <v>8.73</v>
      </c>
      <c r="K20" s="6">
        <f t="shared" si="18"/>
        <v>0.31012905748924524</v>
      </c>
      <c r="L20" s="1">
        <f t="shared" si="9"/>
        <v>7.93</v>
      </c>
      <c r="M20" s="7"/>
      <c r="N20" s="7"/>
      <c r="O20">
        <v>86.73</v>
      </c>
      <c r="P20">
        <v>86.73</v>
      </c>
      <c r="Q20">
        <v>47.34</v>
      </c>
      <c r="R20">
        <v>8.8000000000000007</v>
      </c>
      <c r="S20" s="6">
        <f t="shared" si="10"/>
        <v>0.49454638778390869</v>
      </c>
      <c r="T20" s="9">
        <f t="shared" si="11"/>
        <v>42.892008212498403</v>
      </c>
      <c r="U20">
        <v>92.6</v>
      </c>
      <c r="V20">
        <v>92.6</v>
      </c>
      <c r="W20">
        <v>47.05</v>
      </c>
      <c r="X20">
        <v>8.7200000000000006</v>
      </c>
      <c r="Y20" s="6">
        <f t="shared" si="12"/>
        <v>0.45696232713400098</v>
      </c>
      <c r="Z20" s="14">
        <f t="shared" si="13"/>
        <v>42.314711492608488</v>
      </c>
      <c r="AA20" s="19">
        <v>1662.05</v>
      </c>
      <c r="AB20" s="20">
        <v>394.61</v>
      </c>
      <c r="AC20" s="21">
        <v>153.83000000000001</v>
      </c>
      <c r="AD20" s="21">
        <v>10.87</v>
      </c>
      <c r="AE20" s="6">
        <f t="shared" si="14"/>
        <v>0.3725439099390212</v>
      </c>
      <c r="AF20" s="14">
        <f t="shared" si="15"/>
        <v>619.18660551415019</v>
      </c>
      <c r="AG20" s="9">
        <f t="shared" si="16"/>
        <v>661.50131700675865</v>
      </c>
      <c r="AH20" s="10">
        <f t="shared" si="17"/>
        <v>712.32332521925696</v>
      </c>
      <c r="AI20" s="11">
        <f t="shared" si="6"/>
        <v>1875.6799999999998</v>
      </c>
      <c r="AJ20" s="6">
        <f t="shared" si="7"/>
        <v>0.37976804423955951</v>
      </c>
    </row>
    <row r="21" spans="1:37">
      <c r="A21" s="3">
        <v>42192</v>
      </c>
      <c r="B21" t="s">
        <v>41</v>
      </c>
      <c r="C21">
        <v>35</v>
      </c>
      <c r="D21">
        <v>9</v>
      </c>
      <c r="E21" s="17">
        <v>164</v>
      </c>
      <c r="F21" s="18">
        <v>4.6100000000000003</v>
      </c>
      <c r="G21">
        <f>H21</f>
        <v>378.4</v>
      </c>
      <c r="H21">
        <v>378.4</v>
      </c>
      <c r="I21">
        <v>122.77</v>
      </c>
      <c r="J21">
        <v>11.35</v>
      </c>
      <c r="K21" s="6">
        <f t="shared" si="18"/>
        <v>0.3035553739272579</v>
      </c>
      <c r="L21" s="1">
        <f t="shared" si="9"/>
        <v>111.42</v>
      </c>
      <c r="M21" s="7"/>
      <c r="N21" s="7"/>
      <c r="O21">
        <f>P21</f>
        <v>908.78</v>
      </c>
      <c r="P21">
        <f>242.6+666.18</f>
        <v>908.78</v>
      </c>
      <c r="Q21">
        <f>124.96+343.89</f>
        <v>468.84999999999997</v>
      </c>
      <c r="R21">
        <f>11.24+19.63</f>
        <v>30.869999999999997</v>
      </c>
      <c r="S21" s="6">
        <f t="shared" si="10"/>
        <v>0.49888940779806584</v>
      </c>
      <c r="T21" s="9">
        <f t="shared" si="11"/>
        <v>453.38071601872628</v>
      </c>
      <c r="U21">
        <v>397.13</v>
      </c>
      <c r="V21">
        <v>397.13</v>
      </c>
      <c r="W21">
        <v>178.22</v>
      </c>
      <c r="X21">
        <v>11.08</v>
      </c>
      <c r="Y21" s="6">
        <f t="shared" si="12"/>
        <v>0.43294909985753138</v>
      </c>
      <c r="Z21" s="14">
        <f t="shared" si="13"/>
        <v>171.93707602642144</v>
      </c>
      <c r="AA21" s="21">
        <v>770.4</v>
      </c>
      <c r="AB21" s="21">
        <v>770.4</v>
      </c>
      <c r="AC21" s="21">
        <v>338.55</v>
      </c>
      <c r="AD21" s="21">
        <v>11.17</v>
      </c>
      <c r="AE21" s="6">
        <f t="shared" si="14"/>
        <v>0.43120003161097425</v>
      </c>
      <c r="AF21" s="14">
        <f t="shared" si="15"/>
        <v>332.19650435309455</v>
      </c>
      <c r="AG21" s="9">
        <f t="shared" si="16"/>
        <v>504.13358037951599</v>
      </c>
      <c r="AH21" s="10">
        <f t="shared" si="17"/>
        <v>1068.9342963982424</v>
      </c>
      <c r="AI21" s="11">
        <f t="shared" si="6"/>
        <v>2454.71</v>
      </c>
      <c r="AJ21" s="6">
        <f t="shared" si="7"/>
        <v>0.4354625582648225</v>
      </c>
      <c r="AK21" t="s">
        <v>43</v>
      </c>
    </row>
    <row r="22" spans="1:37">
      <c r="A22" s="3">
        <v>42192</v>
      </c>
      <c r="B22" t="s">
        <v>41</v>
      </c>
      <c r="C22">
        <v>37</v>
      </c>
      <c r="D22">
        <v>10</v>
      </c>
      <c r="E22" s="17">
        <v>106</v>
      </c>
      <c r="F22" s="18">
        <v>1.34</v>
      </c>
      <c r="G22">
        <v>32.67</v>
      </c>
      <c r="H22">
        <v>32.67</v>
      </c>
      <c r="I22">
        <v>16.920000000000002</v>
      </c>
      <c r="J22">
        <v>10.97</v>
      </c>
      <c r="K22" s="6">
        <f t="shared" si="18"/>
        <v>0.27419354838709681</v>
      </c>
      <c r="L22" s="1">
        <f t="shared" si="9"/>
        <v>5.950000000000002</v>
      </c>
      <c r="M22" s="7"/>
      <c r="N22" s="7"/>
      <c r="O22">
        <v>66.239999999999995</v>
      </c>
      <c r="P22">
        <v>66.239999999999995</v>
      </c>
      <c r="Q22">
        <v>33.58</v>
      </c>
      <c r="R22">
        <v>11.25</v>
      </c>
      <c r="S22" s="6">
        <f t="shared" si="10"/>
        <v>0.4060738316057465</v>
      </c>
      <c r="T22" s="9">
        <f t="shared" si="11"/>
        <v>26.898330605564645</v>
      </c>
      <c r="U22">
        <v>92</v>
      </c>
      <c r="V22">
        <v>92</v>
      </c>
      <c r="W22">
        <v>47.14</v>
      </c>
      <c r="X22">
        <v>11.1</v>
      </c>
      <c r="Y22" s="6">
        <f t="shared" si="12"/>
        <v>0.44548825710754014</v>
      </c>
      <c r="Z22" s="14">
        <f t="shared" si="13"/>
        <v>40.984919653893691</v>
      </c>
      <c r="AB22" s="21"/>
      <c r="AC22" s="21"/>
      <c r="AD22" s="21"/>
      <c r="AG22" s="9">
        <f t="shared" si="16"/>
        <v>40.984919653893691</v>
      </c>
      <c r="AH22" s="10">
        <f t="shared" si="17"/>
        <v>73.833250259458339</v>
      </c>
      <c r="AI22" s="11">
        <f t="shared" si="6"/>
        <v>190.91000000000003</v>
      </c>
      <c r="AJ22" s="6">
        <f t="shared" si="7"/>
        <v>0.38674375496023428</v>
      </c>
    </row>
    <row r="23" spans="1:37">
      <c r="A23" s="3">
        <v>42192</v>
      </c>
      <c r="B23" t="s">
        <v>41</v>
      </c>
      <c r="C23">
        <v>39</v>
      </c>
      <c r="D23">
        <v>12</v>
      </c>
      <c r="E23" s="17">
        <v>185</v>
      </c>
      <c r="F23" s="18">
        <v>5.22</v>
      </c>
      <c r="G23">
        <f>H23</f>
        <v>1055.47</v>
      </c>
      <c r="H23">
        <v>1055.47</v>
      </c>
      <c r="I23">
        <v>325.47000000000003</v>
      </c>
      <c r="J23">
        <v>19.8</v>
      </c>
      <c r="K23" s="6">
        <f t="shared" si="18"/>
        <v>0.29514227504900209</v>
      </c>
      <c r="L23" s="1">
        <f t="shared" si="9"/>
        <v>305.67</v>
      </c>
      <c r="M23" s="7"/>
      <c r="N23" s="7"/>
      <c r="O23" s="19">
        <v>2518.54</v>
      </c>
      <c r="P23" s="19">
        <v>463.71</v>
      </c>
      <c r="Q23">
        <v>215.21</v>
      </c>
      <c r="R23">
        <v>19.940000000000001</v>
      </c>
      <c r="S23" s="6">
        <f t="shared" si="10"/>
        <v>0.44002523829911894</v>
      </c>
      <c r="T23" s="9">
        <f t="shared" si="11"/>
        <v>1108.2211636658631</v>
      </c>
      <c r="U23">
        <v>380.91</v>
      </c>
      <c r="V23">
        <v>380.91</v>
      </c>
      <c r="W23">
        <v>171.15</v>
      </c>
      <c r="X23">
        <v>19.63</v>
      </c>
      <c r="Y23" s="6">
        <f t="shared" si="12"/>
        <v>0.41939769707705932</v>
      </c>
      <c r="Z23" s="14">
        <f t="shared" si="13"/>
        <v>159.75277679362267</v>
      </c>
      <c r="AG23" s="9">
        <f t="shared" si="16"/>
        <v>159.75277679362267</v>
      </c>
      <c r="AH23" s="10">
        <f t="shared" si="17"/>
        <v>1573.6439404594857</v>
      </c>
      <c r="AI23" s="11">
        <f t="shared" si="6"/>
        <v>3954.92</v>
      </c>
      <c r="AJ23" s="6">
        <f t="shared" si="7"/>
        <v>0.397895264748588</v>
      </c>
    </row>
    <row r="24" spans="1:37">
      <c r="A24" s="3">
        <v>42191</v>
      </c>
      <c r="B24" t="s">
        <v>41</v>
      </c>
      <c r="C24">
        <v>40</v>
      </c>
      <c r="D24">
        <v>11</v>
      </c>
      <c r="E24" s="17">
        <v>153</v>
      </c>
      <c r="F24" s="22">
        <v>4</v>
      </c>
      <c r="G24">
        <f>H24</f>
        <v>691.86</v>
      </c>
      <c r="H24">
        <v>691.86</v>
      </c>
      <c r="I24">
        <v>216.49</v>
      </c>
      <c r="J24">
        <v>20.21</v>
      </c>
      <c r="K24" s="6">
        <f t="shared" si="18"/>
        <v>0.29223553934340801</v>
      </c>
      <c r="L24" s="1">
        <f t="shared" si="9"/>
        <v>196.27999999999997</v>
      </c>
      <c r="M24" s="7"/>
      <c r="N24" s="7"/>
      <c r="O24">
        <f>532.97+372.71</f>
        <v>905.68000000000006</v>
      </c>
      <c r="P24">
        <f>532.97+372.71</f>
        <v>905.68000000000006</v>
      </c>
      <c r="Q24">
        <f>251.48+179.71</f>
        <v>431.19</v>
      </c>
      <c r="R24">
        <f>19.98+19.79</f>
        <v>39.769999999999996</v>
      </c>
      <c r="S24" s="6">
        <f t="shared" si="10"/>
        <v>0.45203312122506956</v>
      </c>
      <c r="T24" s="9">
        <f t="shared" si="11"/>
        <v>409.39735723112102</v>
      </c>
      <c r="U24">
        <f>V24</f>
        <v>598.96</v>
      </c>
      <c r="V24">
        <v>598.96</v>
      </c>
      <c r="W24">
        <v>259.60000000000002</v>
      </c>
      <c r="X24">
        <v>11.3</v>
      </c>
      <c r="Y24" s="6">
        <f t="shared" si="12"/>
        <v>0.42252322771670692</v>
      </c>
      <c r="Z24" s="14">
        <f t="shared" si="13"/>
        <v>253.07451247319878</v>
      </c>
      <c r="AA24">
        <v>832.35</v>
      </c>
      <c r="AB24">
        <v>832.35</v>
      </c>
      <c r="AC24" s="21">
        <v>346.92</v>
      </c>
      <c r="AD24" s="21">
        <v>19.8</v>
      </c>
      <c r="AE24" s="6">
        <f t="shared" ref="AE24:AE26" si="19">(AC24-AD24)/(AB24-AD24)</f>
        <v>0.4025844563411482</v>
      </c>
      <c r="AF24" s="14">
        <f t="shared" ref="AF24:AF26" si="20">AA24*AE24</f>
        <v>335.09117223555472</v>
      </c>
      <c r="AG24" s="9">
        <f t="shared" si="16"/>
        <v>588.16568470875347</v>
      </c>
      <c r="AH24" s="10">
        <f t="shared" si="17"/>
        <v>1193.8430419398744</v>
      </c>
      <c r="AI24" s="11">
        <f t="shared" si="6"/>
        <v>3028.8500000000004</v>
      </c>
      <c r="AJ24" s="6">
        <f t="shared" si="7"/>
        <v>0.39415720221862233</v>
      </c>
      <c r="AK24" t="s">
        <v>43</v>
      </c>
    </row>
    <row r="25" spans="1:37">
      <c r="A25" s="3">
        <v>42192</v>
      </c>
      <c r="B25" t="s">
        <v>41</v>
      </c>
      <c r="C25">
        <v>42</v>
      </c>
      <c r="D25">
        <v>14</v>
      </c>
      <c r="E25" s="17">
        <v>183</v>
      </c>
      <c r="F25" s="18">
        <v>5.76</v>
      </c>
      <c r="G25">
        <f>H25</f>
        <v>996.04</v>
      </c>
      <c r="H25">
        <v>996.04</v>
      </c>
      <c r="I25">
        <v>322.91000000000003</v>
      </c>
      <c r="J25">
        <v>19.559999999999999</v>
      </c>
      <c r="K25" s="6">
        <f t="shared" si="18"/>
        <v>0.31065664427330825</v>
      </c>
      <c r="L25" s="1">
        <f t="shared" si="9"/>
        <v>303.35000000000002</v>
      </c>
      <c r="M25" s="7"/>
      <c r="N25" s="7"/>
      <c r="O25" s="19">
        <f>1563.26+519.01</f>
        <v>2082.27</v>
      </c>
      <c r="P25" s="19">
        <v>519.01</v>
      </c>
      <c r="Q25">
        <v>256.49</v>
      </c>
      <c r="R25">
        <v>19.68</v>
      </c>
      <c r="S25" s="6">
        <f t="shared" si="10"/>
        <v>0.47425550237318009</v>
      </c>
      <c r="T25" s="9">
        <f t="shared" si="11"/>
        <v>987.52800492660174</v>
      </c>
      <c r="U25">
        <v>312.85000000000002</v>
      </c>
      <c r="V25">
        <v>312.85000000000002</v>
      </c>
      <c r="W25">
        <v>150.86000000000001</v>
      </c>
      <c r="X25">
        <v>11.57</v>
      </c>
      <c r="Y25" s="6">
        <f t="shared" si="12"/>
        <v>0.46232740308019121</v>
      </c>
      <c r="Z25" s="14">
        <f t="shared" si="13"/>
        <v>144.63912805363782</v>
      </c>
      <c r="AA25">
        <f>AB25</f>
        <v>1892.24</v>
      </c>
      <c r="AB25" s="21">
        <v>1892.24</v>
      </c>
      <c r="AC25" s="21">
        <v>821.79</v>
      </c>
      <c r="AD25" s="21">
        <v>19.61</v>
      </c>
      <c r="AE25" s="6">
        <f t="shared" si="19"/>
        <v>0.42837079401697076</v>
      </c>
      <c r="AF25" s="14">
        <f t="shared" si="20"/>
        <v>810.58035127067274</v>
      </c>
      <c r="AG25" s="9">
        <f t="shared" si="16"/>
        <v>955.21947932431056</v>
      </c>
      <c r="AH25" s="10">
        <f t="shared" si="17"/>
        <v>2246.0974842509122</v>
      </c>
      <c r="AI25" s="11">
        <f t="shared" si="6"/>
        <v>5283.4</v>
      </c>
      <c r="AJ25" s="6">
        <f t="shared" si="7"/>
        <v>0.42512349703806496</v>
      </c>
    </row>
    <row r="26" spans="1:37">
      <c r="A26" s="3">
        <v>42192</v>
      </c>
      <c r="B26" t="s">
        <v>41</v>
      </c>
      <c r="C26">
        <v>44</v>
      </c>
      <c r="D26">
        <v>8</v>
      </c>
      <c r="E26" s="17">
        <v>167</v>
      </c>
      <c r="F26" s="18">
        <v>3.67</v>
      </c>
      <c r="G26">
        <f>H26</f>
        <v>434.96</v>
      </c>
      <c r="H26">
        <v>434.96</v>
      </c>
      <c r="I26">
        <v>153.05000000000001</v>
      </c>
      <c r="J26">
        <v>20.45</v>
      </c>
      <c r="K26" s="6">
        <f t="shared" si="18"/>
        <v>0.31989578056017953</v>
      </c>
      <c r="L26" s="1">
        <f t="shared" si="9"/>
        <v>132.60000000000002</v>
      </c>
      <c r="O26">
        <f>P26</f>
        <v>650.79999999999995</v>
      </c>
      <c r="P26">
        <v>650.79999999999995</v>
      </c>
      <c r="Q26">
        <v>410.21</v>
      </c>
      <c r="R26">
        <v>40.9</v>
      </c>
      <c r="S26" s="6">
        <f t="shared" si="10"/>
        <v>0.60552549598294803</v>
      </c>
      <c r="T26" s="9">
        <f t="shared" si="11"/>
        <v>394.07599278570257</v>
      </c>
      <c r="U26">
        <v>394.31</v>
      </c>
      <c r="V26">
        <v>394.31</v>
      </c>
      <c r="W26">
        <v>176.26</v>
      </c>
      <c r="X26">
        <v>19.77</v>
      </c>
      <c r="Y26" s="6">
        <f t="shared" si="12"/>
        <v>0.41781919154162434</v>
      </c>
      <c r="Z26" s="14">
        <f t="shared" si="13"/>
        <v>164.7502854167779</v>
      </c>
      <c r="AA26">
        <f>AB26</f>
        <v>685.79</v>
      </c>
      <c r="AB26" s="21">
        <v>685.79</v>
      </c>
      <c r="AC26" s="21">
        <v>263.89999999999998</v>
      </c>
      <c r="AD26" s="21">
        <v>19.739999999999998</v>
      </c>
      <c r="AE26" s="6">
        <f t="shared" si="19"/>
        <v>0.36657908565423014</v>
      </c>
      <c r="AF26" s="14">
        <f t="shared" si="20"/>
        <v>251.39627115081447</v>
      </c>
      <c r="AG26" s="9">
        <f t="shared" si="16"/>
        <v>416.14655656759237</v>
      </c>
      <c r="AH26" s="10">
        <f t="shared" si="17"/>
        <v>942.8225493532949</v>
      </c>
      <c r="AI26" s="11">
        <f t="shared" si="6"/>
        <v>2165.8599999999997</v>
      </c>
      <c r="AJ26" s="6">
        <f t="shared" si="7"/>
        <v>0.43531093854325537</v>
      </c>
    </row>
    <row r="27" spans="1:37">
      <c r="A27" s="3">
        <v>42192</v>
      </c>
      <c r="B27" t="s">
        <v>41</v>
      </c>
      <c r="C27">
        <v>46</v>
      </c>
      <c r="D27">
        <v>10</v>
      </c>
      <c r="E27" s="17">
        <v>181</v>
      </c>
      <c r="F27" s="18">
        <v>3.6</v>
      </c>
      <c r="G27">
        <v>357.42</v>
      </c>
      <c r="H27">
        <v>357.42</v>
      </c>
      <c r="I27">
        <v>126.28</v>
      </c>
      <c r="J27">
        <v>11.47</v>
      </c>
      <c r="K27" s="6">
        <f t="shared" si="18"/>
        <v>0.33186876716288483</v>
      </c>
      <c r="L27" s="1">
        <f t="shared" si="9"/>
        <v>114.81</v>
      </c>
      <c r="O27">
        <f>P27</f>
        <v>462.15</v>
      </c>
      <c r="P27">
        <v>462.15</v>
      </c>
      <c r="Q27">
        <v>227.35</v>
      </c>
      <c r="R27">
        <v>19.71</v>
      </c>
      <c r="S27" s="6">
        <f t="shared" si="10"/>
        <v>0.46930657264261816</v>
      </c>
      <c r="T27" s="9">
        <f t="shared" si="11"/>
        <v>216.89003254678596</v>
      </c>
      <c r="U27">
        <f>V27</f>
        <v>841.9</v>
      </c>
      <c r="V27">
        <v>841.9</v>
      </c>
      <c r="W27">
        <v>348.79</v>
      </c>
      <c r="X27">
        <v>11.23</v>
      </c>
      <c r="Y27" s="6">
        <f t="shared" si="12"/>
        <v>0.40637076095200264</v>
      </c>
      <c r="Z27" s="14">
        <f t="shared" si="13"/>
        <v>342.123543645491</v>
      </c>
      <c r="AG27" s="9">
        <f t="shared" si="16"/>
        <v>342.123543645491</v>
      </c>
      <c r="AH27" s="10">
        <f t="shared" si="17"/>
        <v>673.82357619227696</v>
      </c>
      <c r="AI27" s="11">
        <f t="shared" si="6"/>
        <v>1661.47</v>
      </c>
      <c r="AJ27" s="6">
        <f t="shared" si="7"/>
        <v>0.40555867767234854</v>
      </c>
    </row>
    <row r="28" spans="1:37">
      <c r="A28" s="3">
        <v>42192</v>
      </c>
      <c r="B28" t="s">
        <v>41</v>
      </c>
      <c r="C28">
        <v>49</v>
      </c>
      <c r="D28">
        <v>11</v>
      </c>
      <c r="E28" s="17">
        <v>85</v>
      </c>
      <c r="F28" s="18">
        <v>2.52</v>
      </c>
      <c r="G28">
        <v>66.38</v>
      </c>
      <c r="H28">
        <v>66.38</v>
      </c>
      <c r="I28">
        <v>29.28</v>
      </c>
      <c r="J28">
        <v>11.1</v>
      </c>
      <c r="K28" s="6">
        <f t="shared" si="18"/>
        <v>0.32887120115774243</v>
      </c>
      <c r="L28" s="1">
        <f t="shared" si="9"/>
        <v>18.18</v>
      </c>
      <c r="O28">
        <v>67.09</v>
      </c>
      <c r="P28">
        <v>67.09</v>
      </c>
      <c r="Q28">
        <v>38.33</v>
      </c>
      <c r="R28">
        <v>11.16</v>
      </c>
      <c r="S28" s="6">
        <f t="shared" si="10"/>
        <v>0.48578580368317531</v>
      </c>
      <c r="T28" s="9">
        <f t="shared" si="11"/>
        <v>32.591369569104231</v>
      </c>
      <c r="U28">
        <v>186.49</v>
      </c>
      <c r="V28">
        <v>186.49</v>
      </c>
      <c r="W28">
        <v>94.66</v>
      </c>
      <c r="X28">
        <v>11.23</v>
      </c>
      <c r="Y28" s="6">
        <f t="shared" si="12"/>
        <v>0.47603560424512142</v>
      </c>
      <c r="Z28" s="14">
        <f t="shared" si="13"/>
        <v>88.775879835672697</v>
      </c>
      <c r="AG28" s="9">
        <f t="shared" si="16"/>
        <v>88.775879835672697</v>
      </c>
      <c r="AH28" s="10">
        <f t="shared" si="17"/>
        <v>139.54724940477692</v>
      </c>
      <c r="AI28" s="11">
        <f t="shared" si="6"/>
        <v>319.96000000000004</v>
      </c>
      <c r="AJ28" s="6">
        <f t="shared" si="7"/>
        <v>0.43613967184890895</v>
      </c>
    </row>
    <row r="29" spans="1:37">
      <c r="A29" s="3">
        <v>42191</v>
      </c>
      <c r="B29" t="s">
        <v>41</v>
      </c>
      <c r="C29">
        <v>51</v>
      </c>
      <c r="D29">
        <v>13</v>
      </c>
      <c r="E29" s="17">
        <v>242</v>
      </c>
      <c r="F29" s="18">
        <v>5.45</v>
      </c>
      <c r="G29">
        <f>H29</f>
        <v>1489.31</v>
      </c>
      <c r="H29">
        <f>596.63+425.26+467.42</f>
        <v>1489.31</v>
      </c>
      <c r="I29">
        <f>204.55+160.3+199.72</f>
        <v>564.57000000000005</v>
      </c>
      <c r="J29">
        <f>11.39+11.56+11.43</f>
        <v>34.380000000000003</v>
      </c>
      <c r="K29" s="6">
        <f t="shared" si="18"/>
        <v>0.36440928429546449</v>
      </c>
      <c r="L29" s="1">
        <f t="shared" si="9"/>
        <v>530.19000000000005</v>
      </c>
      <c r="O29" s="19">
        <v>2162.59</v>
      </c>
      <c r="P29" s="19">
        <v>323.18</v>
      </c>
      <c r="Q29">
        <v>165.46</v>
      </c>
      <c r="R29">
        <v>19.79</v>
      </c>
      <c r="S29" s="6">
        <f t="shared" si="10"/>
        <v>0.48014107254688693</v>
      </c>
      <c r="T29" s="9">
        <f t="shared" si="11"/>
        <v>1038.3482820791723</v>
      </c>
      <c r="U29">
        <f>V29</f>
        <v>1886.37</v>
      </c>
      <c r="V29">
        <f>954.49+931.88</f>
        <v>1886.37</v>
      </c>
      <c r="W29">
        <f>488.96+437.06</f>
        <v>926.02</v>
      </c>
      <c r="X29">
        <f>10.99+11.46</f>
        <v>22.450000000000003</v>
      </c>
      <c r="Y29" s="6">
        <f t="shared" si="12"/>
        <v>0.48476865959912441</v>
      </c>
      <c r="Z29" s="14">
        <f t="shared" si="13"/>
        <v>914.45305640800029</v>
      </c>
      <c r="AA29" s="19">
        <v>1654.09</v>
      </c>
      <c r="AB29" s="19">
        <v>353.15</v>
      </c>
      <c r="AC29" s="21">
        <v>170.9</v>
      </c>
      <c r="AD29" s="21">
        <v>19.88</v>
      </c>
      <c r="AE29" s="6">
        <f>(AC29-AD29)/(AB29-AD29)</f>
        <v>0.45314609775857417</v>
      </c>
      <c r="AF29" s="14">
        <f>AA29*AE29</f>
        <v>749.54442884147988</v>
      </c>
      <c r="AG29" s="9">
        <f t="shared" si="16"/>
        <v>1663.9974852494802</v>
      </c>
      <c r="AH29" s="10">
        <f t="shared" si="17"/>
        <v>3232.5357673286526</v>
      </c>
      <c r="AI29" s="11">
        <f t="shared" si="6"/>
        <v>7192.3600000000006</v>
      </c>
      <c r="AJ29" s="6">
        <f t="shared" si="7"/>
        <v>0.4494402070153124</v>
      </c>
      <c r="AK29" t="s">
        <v>44</v>
      </c>
    </row>
    <row r="30" spans="1:37">
      <c r="A30" s="3">
        <v>42191</v>
      </c>
      <c r="B30" t="s">
        <v>41</v>
      </c>
      <c r="C30">
        <v>53</v>
      </c>
      <c r="D30">
        <v>12</v>
      </c>
      <c r="E30" s="17">
        <v>215</v>
      </c>
      <c r="F30" s="18">
        <v>3.14</v>
      </c>
      <c r="G30">
        <v>160.88</v>
      </c>
      <c r="H30">
        <v>160.88</v>
      </c>
      <c r="I30">
        <v>56.4</v>
      </c>
      <c r="J30">
        <v>11.2</v>
      </c>
      <c r="K30" s="6">
        <f t="shared" si="18"/>
        <v>0.3019775521111705</v>
      </c>
      <c r="L30" s="1">
        <f t="shared" si="9"/>
        <v>45.2</v>
      </c>
      <c r="O30">
        <v>333.36</v>
      </c>
      <c r="P30">
        <v>333.36</v>
      </c>
      <c r="Q30">
        <v>168.47</v>
      </c>
      <c r="R30">
        <v>19.8</v>
      </c>
      <c r="S30" s="6">
        <f t="shared" si="10"/>
        <v>0.4741357315984181</v>
      </c>
      <c r="T30" s="9">
        <f t="shared" si="11"/>
        <v>158.05788748564865</v>
      </c>
      <c r="U30">
        <f>V30</f>
        <v>850.54</v>
      </c>
      <c r="V30">
        <v>850.54</v>
      </c>
      <c r="W30">
        <v>402.86</v>
      </c>
      <c r="X30">
        <v>11.26</v>
      </c>
      <c r="Y30" s="6">
        <f t="shared" si="12"/>
        <v>0.46659041082832908</v>
      </c>
      <c r="Z30" s="14">
        <f t="shared" si="13"/>
        <v>396.85380802592698</v>
      </c>
      <c r="AG30" s="9">
        <f t="shared" si="16"/>
        <v>396.85380802592698</v>
      </c>
      <c r="AH30" s="10">
        <f t="shared" si="17"/>
        <v>600.1116955115757</v>
      </c>
      <c r="AI30" s="11">
        <f t="shared" si="6"/>
        <v>1344.7800000000002</v>
      </c>
      <c r="AJ30" s="6">
        <f t="shared" si="7"/>
        <v>0.44625269227053915</v>
      </c>
    </row>
    <row r="31" spans="1:37">
      <c r="A31" s="3">
        <v>42191</v>
      </c>
      <c r="B31" t="s">
        <v>41</v>
      </c>
      <c r="C31">
        <v>54</v>
      </c>
      <c r="D31">
        <v>9</v>
      </c>
      <c r="E31" s="17">
        <v>80</v>
      </c>
      <c r="F31" s="18">
        <v>2.37</v>
      </c>
      <c r="G31">
        <v>67.87</v>
      </c>
      <c r="H31">
        <v>67.87</v>
      </c>
      <c r="I31">
        <v>28.98</v>
      </c>
      <c r="J31">
        <v>11.24</v>
      </c>
      <c r="K31" s="6">
        <f t="shared" si="18"/>
        <v>0.31326152216139858</v>
      </c>
      <c r="L31" s="1">
        <f t="shared" si="9"/>
        <v>17.740000000000002</v>
      </c>
      <c r="O31">
        <v>140.61000000000001</v>
      </c>
      <c r="P31">
        <v>140.61000000000001</v>
      </c>
      <c r="Q31">
        <v>69.94</v>
      </c>
      <c r="R31">
        <v>11.2</v>
      </c>
      <c r="S31" s="6">
        <f t="shared" si="10"/>
        <v>0.45390618962985846</v>
      </c>
      <c r="T31" s="9">
        <f t="shared" si="11"/>
        <v>63.823749323854408</v>
      </c>
      <c r="U31">
        <f>V31</f>
        <v>221.8</v>
      </c>
      <c r="V31">
        <v>221.8</v>
      </c>
      <c r="W31">
        <v>108.84</v>
      </c>
      <c r="X31">
        <v>11.5</v>
      </c>
      <c r="Y31" s="6">
        <f t="shared" si="12"/>
        <v>0.46286257727056584</v>
      </c>
      <c r="Z31" s="14">
        <f t="shared" si="13"/>
        <v>102.66291963861151</v>
      </c>
      <c r="AG31" s="9">
        <f t="shared" si="16"/>
        <v>102.66291963861151</v>
      </c>
      <c r="AH31" s="10">
        <f t="shared" si="17"/>
        <v>184.22666896246594</v>
      </c>
      <c r="AI31" s="11">
        <f t="shared" si="6"/>
        <v>430.28000000000003</v>
      </c>
      <c r="AJ31" s="6">
        <f t="shared" si="7"/>
        <v>0.42815531505639565</v>
      </c>
    </row>
    <row r="32" spans="1:37">
      <c r="A32" s="3">
        <v>42197</v>
      </c>
      <c r="B32" t="s">
        <v>45</v>
      </c>
      <c r="C32">
        <v>1</v>
      </c>
      <c r="D32">
        <v>11</v>
      </c>
      <c r="E32" s="17">
        <v>113</v>
      </c>
      <c r="F32" s="18">
        <v>2.82</v>
      </c>
      <c r="G32">
        <f>H32</f>
        <v>279.20999999999998</v>
      </c>
      <c r="H32">
        <v>279.20999999999998</v>
      </c>
      <c r="I32">
        <v>98.64</v>
      </c>
      <c r="J32">
        <v>10.93</v>
      </c>
      <c r="K32" s="6">
        <f t="shared" ref="K32:K44" si="21">(I32-J32)/(H32-J32)</f>
        <v>0.32693454599671989</v>
      </c>
      <c r="L32" s="1">
        <f t="shared" ref="L32:L44" si="22">(G32-J32)*K32</f>
        <v>87.710000000000008</v>
      </c>
      <c r="O32">
        <f t="shared" ref="O32:O36" si="23">P32</f>
        <v>321.95</v>
      </c>
      <c r="P32">
        <v>321.95</v>
      </c>
      <c r="Q32">
        <v>167.48</v>
      </c>
      <c r="R32">
        <v>40.619999999999997</v>
      </c>
      <c r="S32" s="6">
        <f t="shared" ref="S32:S44" si="24">(Q32-R32)/(P32-R32)</f>
        <v>0.45092951338285997</v>
      </c>
      <c r="T32" s="9">
        <f t="shared" ref="T32:T44" si="25">(O32)*S32</f>
        <v>145.17675683361176</v>
      </c>
      <c r="U32">
        <f t="shared" ref="U32:U44" si="26">V32</f>
        <v>378.47</v>
      </c>
      <c r="V32">
        <v>378.47</v>
      </c>
      <c r="W32">
        <v>158.79</v>
      </c>
      <c r="X32">
        <v>10.69</v>
      </c>
      <c r="Y32" s="6">
        <f t="shared" ref="Y32:Y44" si="27">(W32-X32)/(V32-X32)</f>
        <v>0.4026863886018815</v>
      </c>
      <c r="Z32" s="14">
        <f t="shared" ref="Z32:Z44" si="28">U32*Y32</f>
        <v>152.40471749415411</v>
      </c>
      <c r="AG32" s="9">
        <f t="shared" ref="AG32:AG44" si="29">Z32+AF32</f>
        <v>152.40471749415411</v>
      </c>
      <c r="AH32" s="10">
        <f t="shared" ref="AH32:AH44" si="30">AG32+T32+L32</f>
        <v>385.29147432776585</v>
      </c>
      <c r="AI32" s="11">
        <f t="shared" si="6"/>
        <v>979.63000000000011</v>
      </c>
      <c r="AJ32" s="6">
        <f t="shared" si="7"/>
        <v>0.39330305761130818</v>
      </c>
    </row>
    <row r="33" spans="1:37">
      <c r="A33" s="3">
        <v>42197</v>
      </c>
      <c r="B33" t="s">
        <v>45</v>
      </c>
      <c r="C33">
        <v>4</v>
      </c>
      <c r="D33">
        <v>10</v>
      </c>
      <c r="E33" s="17">
        <v>60</v>
      </c>
      <c r="F33" s="18">
        <v>1.1100000000000001</v>
      </c>
      <c r="G33">
        <f t="shared" ref="G33:G44" si="31">H33</f>
        <v>14.43</v>
      </c>
      <c r="H33">
        <v>14.43</v>
      </c>
      <c r="I33">
        <v>11.79</v>
      </c>
      <c r="J33">
        <v>10.67</v>
      </c>
      <c r="K33" s="6">
        <f t="shared" si="21"/>
        <v>0.29787234042553173</v>
      </c>
      <c r="L33" s="1">
        <f t="shared" si="22"/>
        <v>1.1199999999999992</v>
      </c>
      <c r="O33">
        <f t="shared" si="23"/>
        <v>24.39</v>
      </c>
      <c r="P33">
        <v>24.39</v>
      </c>
      <c r="Q33">
        <v>17.46</v>
      </c>
      <c r="R33">
        <v>11.17</v>
      </c>
      <c r="S33" s="6">
        <f t="shared" si="24"/>
        <v>0.47579425113464452</v>
      </c>
      <c r="T33" s="9">
        <f t="shared" si="25"/>
        <v>11.604621785173981</v>
      </c>
      <c r="U33">
        <f t="shared" si="26"/>
        <v>33.79</v>
      </c>
      <c r="V33">
        <v>33.79</v>
      </c>
      <c r="W33">
        <v>20.25</v>
      </c>
      <c r="X33">
        <v>8.59</v>
      </c>
      <c r="Y33" s="6">
        <f t="shared" si="27"/>
        <v>0.46269841269841272</v>
      </c>
      <c r="Z33" s="14">
        <f t="shared" si="28"/>
        <v>15.634579365079366</v>
      </c>
      <c r="AG33" s="9">
        <f t="shared" si="29"/>
        <v>15.634579365079366</v>
      </c>
      <c r="AH33" s="10">
        <f t="shared" si="30"/>
        <v>28.359201150253348</v>
      </c>
      <c r="AI33" s="11">
        <f t="shared" si="6"/>
        <v>72.61</v>
      </c>
      <c r="AJ33" s="6">
        <f t="shared" si="7"/>
        <v>0.39056880801891403</v>
      </c>
    </row>
    <row r="34" spans="1:37">
      <c r="A34" s="3">
        <v>42197</v>
      </c>
      <c r="B34" t="s">
        <v>45</v>
      </c>
      <c r="C34">
        <v>8</v>
      </c>
      <c r="D34">
        <v>9</v>
      </c>
      <c r="E34" s="17">
        <v>105</v>
      </c>
      <c r="F34" s="18">
        <v>2.3199999999999998</v>
      </c>
      <c r="G34">
        <f t="shared" si="31"/>
        <v>204.68</v>
      </c>
      <c r="H34">
        <v>204.68</v>
      </c>
      <c r="I34">
        <v>72.06</v>
      </c>
      <c r="J34">
        <v>11.21</v>
      </c>
      <c r="K34" s="6">
        <f t="shared" si="21"/>
        <v>0.31451904688065335</v>
      </c>
      <c r="L34" s="1">
        <f t="shared" si="22"/>
        <v>60.85</v>
      </c>
      <c r="O34">
        <f t="shared" si="23"/>
        <v>213.19</v>
      </c>
      <c r="P34">
        <v>213.19</v>
      </c>
      <c r="Q34">
        <v>104.02</v>
      </c>
      <c r="R34">
        <v>10.88</v>
      </c>
      <c r="S34" s="6">
        <f t="shared" si="24"/>
        <v>0.46038258118728681</v>
      </c>
      <c r="T34" s="9">
        <f t="shared" si="25"/>
        <v>98.148962483317675</v>
      </c>
      <c r="U34">
        <f t="shared" si="26"/>
        <v>253.27</v>
      </c>
      <c r="V34">
        <v>253.27</v>
      </c>
      <c r="W34">
        <v>106.03</v>
      </c>
      <c r="X34">
        <v>8.49</v>
      </c>
      <c r="Y34" s="6">
        <f t="shared" si="27"/>
        <v>0.39848026799575131</v>
      </c>
      <c r="Z34" s="14">
        <f t="shared" si="28"/>
        <v>100.92309747528394</v>
      </c>
      <c r="AG34" s="9">
        <f t="shared" si="29"/>
        <v>100.92309747528394</v>
      </c>
      <c r="AH34" s="10">
        <f t="shared" si="30"/>
        <v>259.92205995860161</v>
      </c>
      <c r="AI34" s="11">
        <f t="shared" si="6"/>
        <v>671.1400000000001</v>
      </c>
      <c r="AJ34" s="6">
        <f t="shared" si="7"/>
        <v>0.38728441153649251</v>
      </c>
    </row>
    <row r="35" spans="1:37">
      <c r="A35" s="3">
        <v>42197</v>
      </c>
      <c r="B35" t="s">
        <v>45</v>
      </c>
      <c r="C35">
        <v>10</v>
      </c>
      <c r="D35">
        <v>13</v>
      </c>
      <c r="E35" s="17">
        <v>111</v>
      </c>
      <c r="F35" s="18">
        <v>2.0499999999999998</v>
      </c>
      <c r="G35">
        <f t="shared" si="31"/>
        <v>109.93</v>
      </c>
      <c r="H35">
        <v>109.93</v>
      </c>
      <c r="I35">
        <v>43.46</v>
      </c>
      <c r="J35">
        <v>8.31</v>
      </c>
      <c r="K35" s="6">
        <f t="shared" si="21"/>
        <v>0.34589647707144261</v>
      </c>
      <c r="L35" s="1">
        <f t="shared" si="22"/>
        <v>35.15</v>
      </c>
      <c r="O35">
        <f t="shared" si="23"/>
        <v>156.72999999999999</v>
      </c>
      <c r="P35">
        <v>156.72999999999999</v>
      </c>
      <c r="Q35">
        <v>85.47</v>
      </c>
      <c r="R35">
        <v>19.63</v>
      </c>
      <c r="S35" s="6">
        <f t="shared" si="24"/>
        <v>0.48023340627279365</v>
      </c>
      <c r="T35" s="9">
        <f t="shared" si="25"/>
        <v>75.266981765134943</v>
      </c>
      <c r="U35">
        <f t="shared" si="26"/>
        <v>194.06</v>
      </c>
      <c r="V35">
        <v>194.06</v>
      </c>
      <c r="W35">
        <v>84.22</v>
      </c>
      <c r="X35">
        <v>11.22</v>
      </c>
      <c r="Y35" s="6">
        <f t="shared" si="27"/>
        <v>0.39925618026690002</v>
      </c>
      <c r="Z35" s="14">
        <f t="shared" si="28"/>
        <v>77.479654342594614</v>
      </c>
      <c r="AG35" s="9">
        <f t="shared" si="29"/>
        <v>77.479654342594614</v>
      </c>
      <c r="AH35" s="10">
        <f t="shared" si="30"/>
        <v>187.89663610772956</v>
      </c>
      <c r="AI35" s="11">
        <f t="shared" si="6"/>
        <v>460.71999999999997</v>
      </c>
      <c r="AJ35" s="6">
        <f t="shared" si="7"/>
        <v>0.40783260137986105</v>
      </c>
    </row>
    <row r="36" spans="1:37">
      <c r="A36" s="3">
        <v>42197</v>
      </c>
      <c r="B36" t="s">
        <v>45</v>
      </c>
      <c r="C36">
        <v>13</v>
      </c>
      <c r="D36">
        <v>14</v>
      </c>
      <c r="E36" s="17">
        <v>54</v>
      </c>
      <c r="F36" s="18">
        <v>0.8</v>
      </c>
      <c r="G36">
        <f t="shared" si="31"/>
        <v>19.27</v>
      </c>
      <c r="H36">
        <v>19.27</v>
      </c>
      <c r="I36">
        <v>13.57</v>
      </c>
      <c r="J36">
        <v>11.02</v>
      </c>
      <c r="K36" s="6">
        <f t="shared" si="21"/>
        <v>0.30909090909090919</v>
      </c>
      <c r="L36" s="1">
        <f t="shared" si="22"/>
        <v>2.5500000000000007</v>
      </c>
      <c r="O36">
        <f t="shared" si="23"/>
        <v>30.43</v>
      </c>
      <c r="P36">
        <v>30.43</v>
      </c>
      <c r="Q36">
        <v>17.920000000000002</v>
      </c>
      <c r="R36">
        <v>6.97</v>
      </c>
      <c r="S36" s="6">
        <f t="shared" si="24"/>
        <v>0.46675191815856787</v>
      </c>
      <c r="T36" s="9">
        <f t="shared" si="25"/>
        <v>14.20326086956522</v>
      </c>
      <c r="U36">
        <f t="shared" si="26"/>
        <v>30.37</v>
      </c>
      <c r="V36">
        <v>30.37</v>
      </c>
      <c r="W36">
        <v>19.82</v>
      </c>
      <c r="X36">
        <v>11.36</v>
      </c>
      <c r="Y36" s="6">
        <f t="shared" si="27"/>
        <v>0.44502893214097844</v>
      </c>
      <c r="Z36" s="14">
        <f t="shared" si="28"/>
        <v>13.515528669121515</v>
      </c>
      <c r="AG36" s="9">
        <f t="shared" si="29"/>
        <v>13.515528669121515</v>
      </c>
      <c r="AH36" s="10">
        <f t="shared" si="30"/>
        <v>30.268789538686736</v>
      </c>
      <c r="AI36" s="11">
        <f t="shared" si="6"/>
        <v>80.069999999999993</v>
      </c>
      <c r="AJ36" s="6">
        <f t="shared" si="7"/>
        <v>0.37802909377652977</v>
      </c>
    </row>
    <row r="37" spans="1:37">
      <c r="A37" s="3">
        <v>42197</v>
      </c>
      <c r="B37" t="s">
        <v>45</v>
      </c>
      <c r="C37">
        <v>14</v>
      </c>
      <c r="D37">
        <v>10</v>
      </c>
      <c r="E37" s="17">
        <v>184</v>
      </c>
      <c r="F37" s="18">
        <v>5.46</v>
      </c>
      <c r="G37">
        <f t="shared" si="31"/>
        <v>569.95000000000005</v>
      </c>
      <c r="H37">
        <v>569.95000000000005</v>
      </c>
      <c r="I37">
        <f>182.07- 10.68</f>
        <v>171.39</v>
      </c>
      <c r="J37">
        <v>0</v>
      </c>
      <c r="K37" s="6">
        <f t="shared" si="21"/>
        <v>0.300710588648127</v>
      </c>
      <c r="L37" s="1">
        <f t="shared" si="22"/>
        <v>171.39</v>
      </c>
      <c r="O37" s="19">
        <v>1622.19</v>
      </c>
      <c r="P37" s="19">
        <v>251.9</v>
      </c>
      <c r="Q37">
        <v>116.78</v>
      </c>
      <c r="R37">
        <v>0</v>
      </c>
      <c r="S37" s="6">
        <f t="shared" si="24"/>
        <v>0.46359666534339022</v>
      </c>
      <c r="T37" s="9">
        <f t="shared" si="25"/>
        <v>752.04187455339422</v>
      </c>
      <c r="U37">
        <f t="shared" si="26"/>
        <v>211.97</v>
      </c>
      <c r="V37">
        <v>211.97</v>
      </c>
      <c r="W37">
        <f>97.52-10.91</f>
        <v>86.61</v>
      </c>
      <c r="X37">
        <v>0</v>
      </c>
      <c r="Y37" s="6">
        <f t="shared" si="27"/>
        <v>0.4085955559749021</v>
      </c>
      <c r="Z37" s="14">
        <f t="shared" si="28"/>
        <v>86.61</v>
      </c>
      <c r="AA37">
        <f>AB37</f>
        <v>1243.0999999999999</v>
      </c>
      <c r="AB37">
        <v>1243.0999999999999</v>
      </c>
      <c r="AC37">
        <v>519.45000000000005</v>
      </c>
      <c r="AD37">
        <v>19.260000000000002</v>
      </c>
      <c r="AE37" s="6">
        <f t="shared" ref="AE37:AE40" si="32">(AC37-AD37)/(AB37-AD37)</f>
        <v>0.40870538632500986</v>
      </c>
      <c r="AF37" s="14">
        <f t="shared" ref="AF37:AF40" si="33">AA37*AE37</f>
        <v>508.06166574061973</v>
      </c>
      <c r="AG37" s="9">
        <f t="shared" si="29"/>
        <v>594.67166574061969</v>
      </c>
      <c r="AH37" s="10">
        <f t="shared" si="30"/>
        <v>1518.1035402940138</v>
      </c>
      <c r="AI37" s="11">
        <f t="shared" si="6"/>
        <v>3647.21</v>
      </c>
      <c r="AJ37" s="6">
        <f t="shared" si="7"/>
        <v>0.41623694283959894</v>
      </c>
    </row>
    <row r="38" spans="1:37">
      <c r="A38" s="3">
        <v>42197</v>
      </c>
      <c r="B38" t="s">
        <v>45</v>
      </c>
      <c r="C38">
        <v>19</v>
      </c>
      <c r="D38">
        <v>8</v>
      </c>
      <c r="E38" s="17">
        <v>176</v>
      </c>
      <c r="F38" s="18">
        <v>4.34</v>
      </c>
      <c r="G38">
        <f t="shared" si="31"/>
        <v>416.36</v>
      </c>
      <c r="H38">
        <v>416.36</v>
      </c>
      <c r="I38">
        <v>142.46</v>
      </c>
      <c r="J38">
        <v>19.46</v>
      </c>
      <c r="K38" s="6">
        <f t="shared" si="21"/>
        <v>0.30990173847316704</v>
      </c>
      <c r="L38" s="1">
        <f t="shared" si="22"/>
        <v>123.00000000000001</v>
      </c>
      <c r="O38" s="19">
        <v>1204.75</v>
      </c>
      <c r="P38" s="19">
        <v>257.02999999999997</v>
      </c>
      <c r="Q38">
        <f>143.52-19.75</f>
        <v>123.77000000000001</v>
      </c>
      <c r="R38">
        <v>0</v>
      </c>
      <c r="S38" s="6">
        <f t="shared" si="24"/>
        <v>0.48153911994708798</v>
      </c>
      <c r="T38" s="9">
        <f t="shared" si="25"/>
        <v>580.13425475625422</v>
      </c>
      <c r="U38">
        <f t="shared" si="26"/>
        <v>96.65</v>
      </c>
      <c r="V38">
        <v>96.65</v>
      </c>
      <c r="W38">
        <f>50.71-8.74</f>
        <v>41.97</v>
      </c>
      <c r="X38">
        <v>8.74</v>
      </c>
      <c r="Y38" s="6">
        <f t="shared" si="27"/>
        <v>0.37800022750540319</v>
      </c>
      <c r="Z38" s="14">
        <f t="shared" si="28"/>
        <v>36.533721988397218</v>
      </c>
      <c r="AA38">
        <f>AB38</f>
        <v>707.94</v>
      </c>
      <c r="AB38">
        <v>707.94</v>
      </c>
      <c r="AC38">
        <v>280.81</v>
      </c>
      <c r="AD38">
        <v>19.579999999999998</v>
      </c>
      <c r="AE38" s="6">
        <f t="shared" si="32"/>
        <v>0.37949619385205419</v>
      </c>
      <c r="AF38" s="14">
        <f t="shared" si="33"/>
        <v>268.66053547562325</v>
      </c>
      <c r="AG38" s="9">
        <f t="shared" si="29"/>
        <v>305.19425746402044</v>
      </c>
      <c r="AH38" s="10">
        <f t="shared" si="30"/>
        <v>1008.3285122202747</v>
      </c>
      <c r="AI38" s="11">
        <f t="shared" si="6"/>
        <v>2425.7000000000003</v>
      </c>
      <c r="AJ38" s="6">
        <f t="shared" si="7"/>
        <v>0.41568558033568642</v>
      </c>
    </row>
    <row r="39" spans="1:37">
      <c r="A39" s="3">
        <v>42197</v>
      </c>
      <c r="B39" t="s">
        <v>45</v>
      </c>
      <c r="C39">
        <v>23</v>
      </c>
      <c r="D39">
        <v>8</v>
      </c>
      <c r="E39" s="17">
        <v>255</v>
      </c>
      <c r="F39" s="18">
        <v>6.29</v>
      </c>
      <c r="G39">
        <f t="shared" si="31"/>
        <v>875.67</v>
      </c>
      <c r="H39">
        <v>875.67</v>
      </c>
      <c r="I39">
        <v>321.73</v>
      </c>
      <c r="J39">
        <v>39.92</v>
      </c>
      <c r="K39" s="6">
        <f t="shared" si="21"/>
        <v>0.33719413700269218</v>
      </c>
      <c r="L39" s="1">
        <f t="shared" si="22"/>
        <v>281.81</v>
      </c>
      <c r="O39" s="19">
        <v>2235.5100000000002</v>
      </c>
      <c r="P39" s="19">
        <v>392.07</v>
      </c>
      <c r="Q39">
        <v>190.91</v>
      </c>
      <c r="R39">
        <v>0</v>
      </c>
      <c r="S39" s="6">
        <f t="shared" si="24"/>
        <v>0.48692835463055067</v>
      </c>
      <c r="T39" s="9">
        <f t="shared" si="25"/>
        <v>1088.5332060601424</v>
      </c>
      <c r="U39">
        <f t="shared" si="26"/>
        <v>229.02</v>
      </c>
      <c r="V39">
        <v>229.02</v>
      </c>
      <c r="W39">
        <f>114.17-10.99</f>
        <v>103.18</v>
      </c>
      <c r="X39">
        <v>0</v>
      </c>
      <c r="Y39" s="6">
        <f t="shared" si="27"/>
        <v>0.4505283381364073</v>
      </c>
      <c r="Z39" s="14">
        <f t="shared" si="28"/>
        <v>103.18</v>
      </c>
      <c r="AA39" s="19">
        <v>2095.9</v>
      </c>
      <c r="AB39" s="19">
        <f>923.69+358.64</f>
        <v>1282.33</v>
      </c>
      <c r="AC39">
        <f>368.55+11.05</f>
        <v>379.6</v>
      </c>
      <c r="AD39">
        <v>0</v>
      </c>
      <c r="AE39" s="6">
        <f>(AC39-AD39)/(AB39-AD39)</f>
        <v>0.29602364445969448</v>
      </c>
      <c r="AF39" s="14">
        <f t="shared" si="33"/>
        <v>620.43595642307366</v>
      </c>
      <c r="AG39" s="9">
        <f t="shared" si="29"/>
        <v>723.61595642307361</v>
      </c>
      <c r="AH39" s="10">
        <f t="shared" si="30"/>
        <v>2093.959162483216</v>
      </c>
      <c r="AI39" s="11">
        <f t="shared" si="6"/>
        <v>5436.1</v>
      </c>
      <c r="AJ39" s="6">
        <f t="shared" si="7"/>
        <v>0.38519511460113243</v>
      </c>
    </row>
    <row r="40" spans="1:37">
      <c r="A40" s="3">
        <v>42197</v>
      </c>
      <c r="B40" t="s">
        <v>45</v>
      </c>
      <c r="C40">
        <v>24</v>
      </c>
      <c r="D40">
        <v>14</v>
      </c>
      <c r="E40" s="17">
        <v>191</v>
      </c>
      <c r="F40" s="18">
        <v>3.97</v>
      </c>
      <c r="G40">
        <f t="shared" si="31"/>
        <v>539.66999999999996</v>
      </c>
      <c r="H40">
        <v>539.66999999999996</v>
      </c>
      <c r="I40">
        <v>171.09</v>
      </c>
      <c r="J40">
        <v>11.06</v>
      </c>
      <c r="K40" s="6">
        <f t="shared" si="21"/>
        <v>0.30273736781370009</v>
      </c>
      <c r="L40" s="1">
        <f t="shared" si="22"/>
        <v>160.03</v>
      </c>
      <c r="O40" s="19">
        <v>969.37</v>
      </c>
      <c r="P40" s="19">
        <v>210.83</v>
      </c>
      <c r="Q40">
        <v>94.04</v>
      </c>
      <c r="R40">
        <v>0</v>
      </c>
      <c r="S40" s="6">
        <f t="shared" si="24"/>
        <v>0.44604657781150692</v>
      </c>
      <c r="T40" s="9">
        <f t="shared" si="25"/>
        <v>432.38417113314046</v>
      </c>
      <c r="U40">
        <f t="shared" si="26"/>
        <v>78.36</v>
      </c>
      <c r="V40">
        <v>78.36</v>
      </c>
      <c r="W40">
        <v>33.25</v>
      </c>
      <c r="X40">
        <v>0</v>
      </c>
      <c r="Y40" s="6">
        <f t="shared" si="27"/>
        <v>0.42432363450740174</v>
      </c>
      <c r="Z40" s="14">
        <f t="shared" si="28"/>
        <v>33.25</v>
      </c>
      <c r="AA40" s="19">
        <v>836.45</v>
      </c>
      <c r="AB40" s="19">
        <v>442.08</v>
      </c>
      <c r="AC40">
        <f>174.31-10.89</f>
        <v>163.42000000000002</v>
      </c>
      <c r="AD40">
        <v>0</v>
      </c>
      <c r="AE40" s="6">
        <f t="shared" si="32"/>
        <v>0.3696615997104597</v>
      </c>
      <c r="AF40" s="14">
        <f t="shared" si="33"/>
        <v>309.20344507781402</v>
      </c>
      <c r="AG40" s="9">
        <f t="shared" si="29"/>
        <v>342.45344507781402</v>
      </c>
      <c r="AH40" s="10">
        <f t="shared" si="30"/>
        <v>934.86761621095445</v>
      </c>
      <c r="AI40" s="11">
        <f t="shared" si="6"/>
        <v>2423.85</v>
      </c>
      <c r="AJ40" s="6">
        <f t="shared" si="7"/>
        <v>0.38569532611793406</v>
      </c>
    </row>
    <row r="41" spans="1:37">
      <c r="A41" s="3">
        <v>42197</v>
      </c>
      <c r="B41" t="s">
        <v>45</v>
      </c>
      <c r="C41">
        <v>25</v>
      </c>
      <c r="D41">
        <v>11</v>
      </c>
      <c r="E41" s="17">
        <v>68</v>
      </c>
      <c r="F41" s="18">
        <v>1.62</v>
      </c>
      <c r="G41">
        <f t="shared" si="31"/>
        <v>31.01</v>
      </c>
      <c r="H41">
        <v>31.01</v>
      </c>
      <c r="I41">
        <v>16.54</v>
      </c>
      <c r="J41">
        <v>11.02</v>
      </c>
      <c r="K41" s="6">
        <f t="shared" si="21"/>
        <v>0.27613806903451721</v>
      </c>
      <c r="L41" s="1">
        <f t="shared" si="22"/>
        <v>5.52</v>
      </c>
      <c r="O41">
        <f>P41</f>
        <v>75.53</v>
      </c>
      <c r="P41">
        <v>75.53</v>
      </c>
      <c r="Q41">
        <v>39.450000000000003</v>
      </c>
      <c r="R41">
        <v>11.15</v>
      </c>
      <c r="S41" s="6">
        <f t="shared" si="24"/>
        <v>0.43957750854302591</v>
      </c>
      <c r="T41" s="9">
        <f t="shared" si="25"/>
        <v>33.20128922025475</v>
      </c>
      <c r="U41">
        <f t="shared" si="26"/>
        <v>78.39</v>
      </c>
      <c r="V41">
        <v>78.39</v>
      </c>
      <c r="W41">
        <v>40.35</v>
      </c>
      <c r="X41">
        <v>11.41</v>
      </c>
      <c r="Y41" s="6">
        <f t="shared" si="27"/>
        <v>0.43206927441027171</v>
      </c>
      <c r="Z41" s="14">
        <f t="shared" si="28"/>
        <v>33.869910421021203</v>
      </c>
      <c r="AG41" s="9">
        <f t="shared" si="29"/>
        <v>33.869910421021203</v>
      </c>
      <c r="AH41" s="10">
        <f t="shared" si="30"/>
        <v>72.591199641275949</v>
      </c>
      <c r="AI41" s="11">
        <f t="shared" si="6"/>
        <v>184.93</v>
      </c>
      <c r="AJ41" s="6">
        <f t="shared" si="7"/>
        <v>0.39253338907303276</v>
      </c>
    </row>
    <row r="42" spans="1:37">
      <c r="A42" s="3">
        <v>42197</v>
      </c>
      <c r="B42" t="s">
        <v>45</v>
      </c>
      <c r="C42">
        <v>26</v>
      </c>
      <c r="D42">
        <v>13</v>
      </c>
      <c r="E42" s="17">
        <v>152</v>
      </c>
      <c r="F42" s="18">
        <v>3.86</v>
      </c>
      <c r="G42">
        <f t="shared" si="31"/>
        <v>476.23</v>
      </c>
      <c r="H42">
        <v>476.23</v>
      </c>
      <c r="I42">
        <v>157.61000000000001</v>
      </c>
      <c r="J42">
        <v>10.88</v>
      </c>
      <c r="K42" s="6">
        <f t="shared" si="21"/>
        <v>0.31531105619426242</v>
      </c>
      <c r="L42" s="1">
        <f t="shared" si="22"/>
        <v>146.73000000000002</v>
      </c>
      <c r="O42" s="19">
        <v>932.42</v>
      </c>
      <c r="P42" s="19">
        <v>222.07</v>
      </c>
      <c r="Q42">
        <f>112.55-10.99</f>
        <v>101.56</v>
      </c>
      <c r="R42">
        <v>0</v>
      </c>
      <c r="S42" s="6">
        <f t="shared" si="24"/>
        <v>0.45733327329220519</v>
      </c>
      <c r="T42" s="9">
        <f t="shared" si="25"/>
        <v>426.42669068311795</v>
      </c>
      <c r="U42">
        <f t="shared" si="26"/>
        <v>145.07</v>
      </c>
      <c r="V42">
        <v>145.07</v>
      </c>
      <c r="W42">
        <f>74.73-11.04</f>
        <v>63.690000000000005</v>
      </c>
      <c r="X42">
        <v>0</v>
      </c>
      <c r="Y42" s="6">
        <f t="shared" si="27"/>
        <v>0.4390294340663129</v>
      </c>
      <c r="Z42" s="14">
        <f t="shared" si="28"/>
        <v>63.690000000000012</v>
      </c>
      <c r="AA42">
        <f>AB42</f>
        <v>566.9</v>
      </c>
      <c r="AB42">
        <v>566.9</v>
      </c>
      <c r="AC42">
        <v>226.43</v>
      </c>
      <c r="AD42">
        <v>11.01</v>
      </c>
      <c r="AE42" s="6">
        <f>(AC42-AD42)/(AB42-AD42)</f>
        <v>0.38752271132778071</v>
      </c>
      <c r="AF42" s="14">
        <f>AA42*AE42</f>
        <v>219.68662505171886</v>
      </c>
      <c r="AG42" s="9">
        <f t="shared" si="29"/>
        <v>283.37662505171886</v>
      </c>
      <c r="AH42" s="10">
        <f t="shared" si="30"/>
        <v>856.53331573483683</v>
      </c>
      <c r="AI42" s="11">
        <f t="shared" si="6"/>
        <v>2120.62</v>
      </c>
      <c r="AJ42" s="6">
        <f t="shared" si="7"/>
        <v>0.40390702517888016</v>
      </c>
    </row>
    <row r="43" spans="1:37">
      <c r="A43" s="3">
        <v>42197</v>
      </c>
      <c r="B43" t="s">
        <v>45</v>
      </c>
      <c r="C43">
        <v>27</v>
      </c>
      <c r="D43">
        <v>13</v>
      </c>
      <c r="E43">
        <v>59</v>
      </c>
      <c r="F43" s="14">
        <v>0.93</v>
      </c>
      <c r="G43">
        <f t="shared" si="31"/>
        <v>22.81</v>
      </c>
      <c r="H43">
        <v>22.81</v>
      </c>
      <c r="I43">
        <v>14.24</v>
      </c>
      <c r="J43">
        <v>10.79</v>
      </c>
      <c r="K43" s="6">
        <f t="shared" si="21"/>
        <v>0.28702163061564068</v>
      </c>
      <c r="L43" s="1">
        <f t="shared" si="22"/>
        <v>3.4500000000000006</v>
      </c>
      <c r="O43">
        <f t="shared" ref="O43:O44" si="34">P43</f>
        <v>45.63</v>
      </c>
      <c r="P43">
        <v>45.63</v>
      </c>
      <c r="Q43">
        <v>27.1</v>
      </c>
      <c r="R43">
        <v>11.1</v>
      </c>
      <c r="S43" s="6">
        <f t="shared" si="24"/>
        <v>0.46336518969012452</v>
      </c>
      <c r="T43" s="9">
        <f t="shared" si="25"/>
        <v>21.143353605560382</v>
      </c>
      <c r="U43">
        <f t="shared" si="26"/>
        <v>39.32</v>
      </c>
      <c r="V43">
        <v>39.32</v>
      </c>
      <c r="W43">
        <v>22.67</v>
      </c>
      <c r="X43">
        <v>10.93</v>
      </c>
      <c r="Y43" s="6">
        <f t="shared" si="27"/>
        <v>0.41352588939767532</v>
      </c>
      <c r="Z43" s="14">
        <f t="shared" si="28"/>
        <v>16.259837971116593</v>
      </c>
      <c r="AG43" s="9">
        <f t="shared" si="29"/>
        <v>16.259837971116593</v>
      </c>
      <c r="AH43" s="10">
        <f t="shared" si="30"/>
        <v>40.853191576676977</v>
      </c>
      <c r="AI43" s="11">
        <f t="shared" si="6"/>
        <v>107.76</v>
      </c>
      <c r="AJ43" s="6">
        <f t="shared" si="7"/>
        <v>0.37911276518816794</v>
      </c>
    </row>
    <row r="44" spans="1:37">
      <c r="A44" s="3">
        <v>42197</v>
      </c>
      <c r="B44" t="s">
        <v>45</v>
      </c>
      <c r="C44">
        <v>29</v>
      </c>
      <c r="D44">
        <v>13</v>
      </c>
      <c r="E44" s="17">
        <v>203</v>
      </c>
      <c r="F44" s="18">
        <v>3.9</v>
      </c>
      <c r="G44">
        <f t="shared" si="31"/>
        <v>489.12</v>
      </c>
      <c r="H44">
        <v>489.12</v>
      </c>
      <c r="I44">
        <v>159.22</v>
      </c>
      <c r="J44">
        <v>19.37</v>
      </c>
      <c r="K44" s="6">
        <f t="shared" si="21"/>
        <v>0.29771154869611494</v>
      </c>
      <c r="L44" s="1">
        <f t="shared" si="22"/>
        <v>139.85</v>
      </c>
      <c r="O44">
        <f t="shared" si="34"/>
        <v>532.51</v>
      </c>
      <c r="P44">
        <f>454.23+78.28</f>
        <v>532.51</v>
      </c>
      <c r="Q44">
        <f>210.79+41.21</f>
        <v>252</v>
      </c>
      <c r="R44">
        <f>19.32+11.14</f>
        <v>30.46</v>
      </c>
      <c r="S44" s="6">
        <f t="shared" si="24"/>
        <v>0.44127078976197587</v>
      </c>
      <c r="T44" s="9">
        <f t="shared" si="25"/>
        <v>234.98110825614975</v>
      </c>
      <c r="U44">
        <f t="shared" si="26"/>
        <v>1012.3599999999999</v>
      </c>
      <c r="V44">
        <f>772.3+240.06</f>
        <v>1012.3599999999999</v>
      </c>
      <c r="W44">
        <f>279.83+101.66</f>
        <v>381.49</v>
      </c>
      <c r="X44">
        <f>10.81+11.28</f>
        <v>22.09</v>
      </c>
      <c r="Y44" s="6">
        <f t="shared" si="27"/>
        <v>0.36293132176073201</v>
      </c>
      <c r="Z44" s="14">
        <f t="shared" si="28"/>
        <v>367.41715289769462</v>
      </c>
      <c r="AG44" s="9">
        <f t="shared" si="29"/>
        <v>367.41715289769462</v>
      </c>
      <c r="AH44" s="10">
        <f t="shared" si="30"/>
        <v>742.2482611538444</v>
      </c>
      <c r="AI44" s="11">
        <f t="shared" si="6"/>
        <v>2033.9899999999998</v>
      </c>
      <c r="AJ44" s="6">
        <f t="shared" si="7"/>
        <v>0.36492227648800851</v>
      </c>
      <c r="AK44" t="s">
        <v>46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3076-5B69-5941-A799-87920E8A22AB}">
  <dimension ref="A1:E25"/>
  <sheetViews>
    <sheetView workbookViewId="0">
      <selection activeCell="D32" sqref="D32"/>
    </sheetView>
  </sheetViews>
  <sheetFormatPr baseColWidth="10" defaultRowHeight="14"/>
  <sheetData>
    <row r="1" spans="1:5">
      <c r="A1" t="s">
        <v>47</v>
      </c>
    </row>
    <row r="3" spans="1:5">
      <c r="A3" t="s">
        <v>5</v>
      </c>
      <c r="B3" t="s">
        <v>48</v>
      </c>
      <c r="C3" t="s">
        <v>49</v>
      </c>
      <c r="D3" t="s">
        <v>50</v>
      </c>
      <c r="E3" t="s">
        <v>51</v>
      </c>
    </row>
    <row r="4" spans="1:5">
      <c r="A4" t="s">
        <v>52</v>
      </c>
      <c r="B4">
        <v>1</v>
      </c>
      <c r="C4">
        <v>1</v>
      </c>
      <c r="D4">
        <v>1</v>
      </c>
      <c r="E4" t="s">
        <v>53</v>
      </c>
    </row>
    <row r="5" spans="1:5">
      <c r="A5" t="s">
        <v>52</v>
      </c>
      <c r="B5">
        <v>2</v>
      </c>
      <c r="C5">
        <v>12</v>
      </c>
      <c r="D5">
        <v>4</v>
      </c>
    </row>
    <row r="6" spans="1:5">
      <c r="A6" t="s">
        <v>52</v>
      </c>
      <c r="B6">
        <v>2</v>
      </c>
      <c r="C6">
        <v>23</v>
      </c>
      <c r="D6">
        <v>2</v>
      </c>
    </row>
    <row r="7" spans="1:5">
      <c r="A7" t="s">
        <v>52</v>
      </c>
      <c r="B7">
        <v>2</v>
      </c>
      <c r="C7">
        <v>25</v>
      </c>
      <c r="D7">
        <v>1</v>
      </c>
    </row>
    <row r="8" spans="1:5">
      <c r="A8" t="s">
        <v>54</v>
      </c>
      <c r="B8">
        <v>1</v>
      </c>
      <c r="C8">
        <v>5</v>
      </c>
      <c r="D8">
        <v>1</v>
      </c>
    </row>
    <row r="9" spans="1:5">
      <c r="A9" t="s">
        <v>54</v>
      </c>
      <c r="B9">
        <v>1</v>
      </c>
      <c r="C9">
        <v>20</v>
      </c>
      <c r="D9">
        <v>1</v>
      </c>
    </row>
    <row r="10" spans="1:5">
      <c r="A10" t="s">
        <v>55</v>
      </c>
      <c r="B10">
        <v>2</v>
      </c>
      <c r="C10">
        <v>8</v>
      </c>
      <c r="D10">
        <v>1</v>
      </c>
    </row>
    <row r="11" spans="1:5">
      <c r="A11" t="s">
        <v>55</v>
      </c>
      <c r="B11">
        <v>2</v>
      </c>
      <c r="C11">
        <v>5</v>
      </c>
      <c r="D11">
        <v>4</v>
      </c>
    </row>
    <row r="12" spans="1:5">
      <c r="A12" t="s">
        <v>55</v>
      </c>
      <c r="B12">
        <v>2</v>
      </c>
      <c r="C12">
        <v>10</v>
      </c>
      <c r="D12">
        <v>4</v>
      </c>
    </row>
    <row r="13" spans="1:5">
      <c r="A13" t="s">
        <v>55</v>
      </c>
      <c r="B13">
        <v>2</v>
      </c>
      <c r="C13">
        <v>25</v>
      </c>
      <c r="D13">
        <v>7</v>
      </c>
    </row>
    <row r="14" spans="1:5">
      <c r="A14" t="s">
        <v>55</v>
      </c>
      <c r="B14">
        <v>2</v>
      </c>
      <c r="C14">
        <v>20</v>
      </c>
      <c r="D14">
        <v>4</v>
      </c>
    </row>
    <row r="15" spans="1:5">
      <c r="A15" t="s">
        <v>55</v>
      </c>
      <c r="B15">
        <v>1</v>
      </c>
      <c r="C15">
        <v>2</v>
      </c>
      <c r="D15">
        <v>2</v>
      </c>
    </row>
    <row r="16" spans="1:5">
      <c r="A16" t="s">
        <v>55</v>
      </c>
      <c r="B16">
        <v>1</v>
      </c>
      <c r="C16">
        <v>20</v>
      </c>
      <c r="D16">
        <v>1</v>
      </c>
    </row>
    <row r="17" spans="1:4">
      <c r="A17" t="s">
        <v>56</v>
      </c>
      <c r="B17">
        <v>2</v>
      </c>
      <c r="C17">
        <v>26</v>
      </c>
      <c r="D17">
        <v>1</v>
      </c>
    </row>
    <row r="18" spans="1:4">
      <c r="A18" t="s">
        <v>57</v>
      </c>
      <c r="B18">
        <v>1</v>
      </c>
      <c r="C18">
        <v>5</v>
      </c>
      <c r="D18">
        <v>1</v>
      </c>
    </row>
    <row r="19" spans="1:4">
      <c r="A19" t="s">
        <v>57</v>
      </c>
      <c r="B19">
        <v>1</v>
      </c>
      <c r="C19">
        <v>19</v>
      </c>
      <c r="D19">
        <v>1</v>
      </c>
    </row>
    <row r="20" spans="1:4">
      <c r="A20" t="s">
        <v>57</v>
      </c>
      <c r="B20">
        <v>1</v>
      </c>
      <c r="C20">
        <v>21</v>
      </c>
      <c r="D20">
        <v>1</v>
      </c>
    </row>
    <row r="21" spans="1:4">
      <c r="A21" t="s">
        <v>57</v>
      </c>
      <c r="B21">
        <v>2</v>
      </c>
      <c r="C21">
        <v>22</v>
      </c>
      <c r="D21">
        <v>2</v>
      </c>
    </row>
    <row r="22" spans="1:4">
      <c r="A22" t="s">
        <v>58</v>
      </c>
      <c r="B22">
        <v>1</v>
      </c>
      <c r="C22">
        <v>18</v>
      </c>
      <c r="D22">
        <v>1</v>
      </c>
    </row>
    <row r="23" spans="1:4">
      <c r="A23" t="s">
        <v>58</v>
      </c>
      <c r="B23">
        <v>1</v>
      </c>
      <c r="C23">
        <v>0</v>
      </c>
      <c r="D23">
        <v>1</v>
      </c>
    </row>
    <row r="24" spans="1:4">
      <c r="A24" t="s">
        <v>58</v>
      </c>
      <c r="B24">
        <v>1</v>
      </c>
      <c r="C24">
        <v>21</v>
      </c>
      <c r="D24">
        <v>1</v>
      </c>
    </row>
    <row r="25" spans="1:4">
      <c r="A25" t="s">
        <v>58</v>
      </c>
      <c r="B25">
        <v>2</v>
      </c>
      <c r="C25">
        <v>8</v>
      </c>
      <c r="D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4B2D-9F74-4644-9C27-AEEA24082BD3}">
  <dimension ref="A1:C30"/>
  <sheetViews>
    <sheetView workbookViewId="0">
      <selection activeCell="A30" sqref="A30"/>
    </sheetView>
  </sheetViews>
  <sheetFormatPr baseColWidth="10" defaultRowHeight="14"/>
  <cols>
    <col min="1" max="16384" width="10.83203125" style="28"/>
  </cols>
  <sheetData>
    <row r="1" spans="1:2">
      <c r="A1" s="28" t="s">
        <v>59</v>
      </c>
    </row>
    <row r="3" spans="1:2">
      <c r="A3" s="29" t="s">
        <v>60</v>
      </c>
    </row>
    <row r="4" spans="1:2">
      <c r="A4" s="28" t="s">
        <v>61</v>
      </c>
    </row>
    <row r="5" spans="1:2">
      <c r="B5" s="28" t="s">
        <v>62</v>
      </c>
    </row>
    <row r="6" spans="1:2">
      <c r="B6" s="28" t="s">
        <v>63</v>
      </c>
    </row>
    <row r="7" spans="1:2">
      <c r="B7" s="28" t="s">
        <v>64</v>
      </c>
    </row>
    <row r="8" spans="1:2">
      <c r="A8" s="28" t="s">
        <v>65</v>
      </c>
    </row>
    <row r="9" spans="1:2">
      <c r="B9" s="28" t="s">
        <v>66</v>
      </c>
    </row>
    <row r="10" spans="1:2">
      <c r="B10" s="28" t="s">
        <v>67</v>
      </c>
    </row>
    <row r="11" spans="1:2">
      <c r="B11" s="28" t="s">
        <v>68</v>
      </c>
    </row>
    <row r="12" spans="1:2">
      <c r="B12" s="28" t="s">
        <v>100</v>
      </c>
    </row>
    <row r="13" spans="1:2">
      <c r="B13" s="28" t="s">
        <v>101</v>
      </c>
    </row>
    <row r="14" spans="1:2">
      <c r="A14" s="28" t="s">
        <v>69</v>
      </c>
    </row>
    <row r="15" spans="1:2">
      <c r="B15" s="28" t="s">
        <v>70</v>
      </c>
    </row>
    <row r="16" spans="1:2">
      <c r="B16" s="28" t="s">
        <v>71</v>
      </c>
    </row>
    <row r="17" spans="1:3">
      <c r="B17" s="28" t="s">
        <v>72</v>
      </c>
    </row>
    <row r="18" spans="1:3">
      <c r="B18" s="28" t="s">
        <v>73</v>
      </c>
    </row>
    <row r="19" spans="1:3">
      <c r="B19" s="28" t="s">
        <v>74</v>
      </c>
    </row>
    <row r="21" spans="1:3">
      <c r="A21" s="28" t="s">
        <v>97</v>
      </c>
    </row>
    <row r="22" spans="1:3">
      <c r="B22" s="28" t="s">
        <v>90</v>
      </c>
    </row>
    <row r="23" spans="1:3">
      <c r="B23" s="28">
        <v>0</v>
      </c>
      <c r="C23" s="28" t="s">
        <v>91</v>
      </c>
    </row>
    <row r="24" spans="1:3">
      <c r="B24" s="28">
        <v>1</v>
      </c>
      <c r="C24" s="28" t="s">
        <v>92</v>
      </c>
    </row>
    <row r="25" spans="1:3">
      <c r="B25" s="28">
        <v>2</v>
      </c>
      <c r="C25" s="28" t="s">
        <v>93</v>
      </c>
    </row>
    <row r="26" spans="1:3">
      <c r="B26" s="28">
        <v>3</v>
      </c>
      <c r="C26" s="28" t="s">
        <v>94</v>
      </c>
    </row>
    <row r="27" spans="1:3">
      <c r="B27" s="28">
        <v>4</v>
      </c>
      <c r="C27" s="28" t="s">
        <v>95</v>
      </c>
    </row>
    <row r="28" spans="1:3">
      <c r="B28" s="30" t="s">
        <v>83</v>
      </c>
      <c r="C28" s="28" t="s">
        <v>96</v>
      </c>
    </row>
    <row r="29" spans="1:3">
      <c r="A29" s="28" t="s">
        <v>115</v>
      </c>
    </row>
    <row r="30" spans="1:3">
      <c r="A30" s="28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LP_field</vt:lpstr>
      <vt:lpstr>LP_biomass</vt:lpstr>
      <vt:lpstr>LP_escapees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Johnstone</dc:creator>
  <cp:lastModifiedBy>Jill Johnstone</cp:lastModifiedBy>
  <dcterms:created xsi:type="dcterms:W3CDTF">2022-04-15T18:57:32Z</dcterms:created>
  <dcterms:modified xsi:type="dcterms:W3CDTF">2022-04-20T23:29:43Z</dcterms:modified>
</cp:coreProperties>
</file>