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dmamet/Desktop/Alix/Exclosure paper/"/>
    </mc:Choice>
  </mc:AlternateContent>
  <xr:revisionPtr revIDLastSave="0" documentId="13_ncr:1_{C2D66207-EF14-8B4D-89BA-E55FF428DFC3}" xr6:coauthVersionLast="47" xr6:coauthVersionMax="47" xr10:uidLastSave="{00000000-0000-0000-0000-000000000000}"/>
  <bookViews>
    <workbookView xWindow="-9600" yWindow="-19800" windowWidth="29140" windowHeight="17540" tabRatio="500" xr2:uid="{00000000-000D-0000-FFFF-FFFF00000000}"/>
  </bookViews>
  <sheets>
    <sheet name="Exclosure_Rv1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671" i="1" l="1"/>
  <c r="BW671" i="1" s="1"/>
  <c r="BV671" i="1"/>
  <c r="BU671" i="1"/>
  <c r="BT99" i="1"/>
  <c r="BT310" i="1"/>
  <c r="BT227" i="1"/>
  <c r="BT107" i="1"/>
  <c r="BT102" i="1"/>
  <c r="BT309" i="1"/>
  <c r="BT716" i="1"/>
  <c r="BT308" i="1"/>
  <c r="BT715" i="1"/>
  <c r="BT714" i="1"/>
  <c r="BT307" i="1"/>
  <c r="BT713" i="1"/>
  <c r="BT712" i="1"/>
  <c r="BT682" i="1"/>
  <c r="BT720" i="1"/>
  <c r="BT306" i="1"/>
  <c r="BT305" i="1"/>
  <c r="BT304" i="1"/>
  <c r="BT711" i="1"/>
  <c r="BT100" i="1"/>
  <c r="BT681" i="1"/>
  <c r="BT669" i="1"/>
  <c r="BT668" i="1"/>
  <c r="BT667" i="1"/>
  <c r="BT666" i="1"/>
  <c r="BT665" i="1"/>
  <c r="BT664" i="1"/>
  <c r="BT663" i="1"/>
  <c r="BT662" i="1"/>
  <c r="BT661" i="1"/>
  <c r="BT660" i="1"/>
  <c r="BT659" i="1"/>
  <c r="BT658" i="1"/>
  <c r="BT657" i="1"/>
  <c r="BT656" i="1"/>
  <c r="BT655" i="1"/>
  <c r="BT654" i="1"/>
  <c r="BT653" i="1"/>
  <c r="BT652" i="1"/>
  <c r="BT651" i="1"/>
  <c r="BT649" i="1"/>
  <c r="BT648" i="1"/>
  <c r="BT647" i="1"/>
  <c r="BT646" i="1"/>
  <c r="BT645" i="1"/>
  <c r="BT644" i="1"/>
  <c r="BT643" i="1"/>
  <c r="BT642" i="1"/>
  <c r="BT641" i="1"/>
  <c r="BT640" i="1"/>
  <c r="BT639" i="1"/>
  <c r="BT638" i="1"/>
  <c r="BT637" i="1"/>
  <c r="BT636" i="1"/>
  <c r="BT635" i="1"/>
  <c r="BT634" i="1"/>
  <c r="BT633" i="1"/>
  <c r="BT632" i="1"/>
  <c r="BT631" i="1"/>
  <c r="BT630" i="1"/>
  <c r="BT629" i="1"/>
  <c r="BT628" i="1"/>
  <c r="BT627" i="1"/>
  <c r="BT626" i="1"/>
  <c r="BT625" i="1"/>
  <c r="BT624" i="1"/>
  <c r="BT623" i="1"/>
  <c r="BT622" i="1"/>
  <c r="BT621" i="1"/>
  <c r="BT620" i="1"/>
  <c r="BT619" i="1"/>
  <c r="BT618" i="1"/>
  <c r="BT617" i="1"/>
  <c r="BT616" i="1"/>
  <c r="BT615" i="1"/>
  <c r="BT614" i="1"/>
  <c r="BT613" i="1"/>
  <c r="BT612" i="1"/>
  <c r="BT611" i="1"/>
  <c r="BT609" i="1"/>
  <c r="BT608" i="1"/>
  <c r="BT607" i="1"/>
  <c r="BT606" i="1"/>
  <c r="BT605" i="1"/>
  <c r="BT604" i="1"/>
  <c r="BT603" i="1"/>
  <c r="BT602" i="1"/>
  <c r="BT601" i="1"/>
  <c r="BT600" i="1"/>
  <c r="BT599" i="1"/>
  <c r="BT598" i="1"/>
  <c r="BT597" i="1"/>
  <c r="BT596" i="1"/>
  <c r="BT595" i="1"/>
  <c r="BT594" i="1"/>
  <c r="BT593" i="1"/>
  <c r="BT592" i="1"/>
  <c r="BT591" i="1"/>
  <c r="BT590" i="1"/>
  <c r="BT589" i="1"/>
  <c r="BT588" i="1"/>
  <c r="BT587" i="1"/>
  <c r="BT586" i="1"/>
  <c r="BT585" i="1"/>
  <c r="BT584" i="1"/>
  <c r="BT583" i="1"/>
  <c r="BT582" i="1"/>
  <c r="BT581" i="1"/>
  <c r="BT580" i="1"/>
  <c r="BT579" i="1"/>
  <c r="BT578" i="1"/>
  <c r="BT577" i="1"/>
  <c r="BT576" i="1"/>
  <c r="BT575" i="1"/>
  <c r="BT574" i="1"/>
  <c r="BT573" i="1"/>
  <c r="BT572" i="1"/>
  <c r="BT571" i="1"/>
  <c r="BT570" i="1"/>
  <c r="BT569" i="1"/>
  <c r="BT568" i="1"/>
  <c r="BT567" i="1"/>
  <c r="BT566" i="1"/>
  <c r="BT565" i="1"/>
  <c r="BT564" i="1"/>
  <c r="BT563" i="1"/>
  <c r="BT562" i="1"/>
  <c r="BT561" i="1"/>
  <c r="BT560" i="1"/>
  <c r="BT559" i="1"/>
  <c r="BT558" i="1"/>
  <c r="BT557" i="1"/>
  <c r="BT556" i="1"/>
  <c r="BT555" i="1"/>
  <c r="BT554" i="1"/>
  <c r="BT553" i="1"/>
  <c r="BT552" i="1"/>
  <c r="BT551" i="1"/>
  <c r="BT550" i="1"/>
  <c r="BT549" i="1"/>
  <c r="BT548" i="1"/>
  <c r="BT547" i="1"/>
  <c r="BT546" i="1"/>
  <c r="BT545" i="1"/>
  <c r="BT544" i="1"/>
  <c r="BT543" i="1"/>
  <c r="BT542" i="1"/>
  <c r="BT541" i="1"/>
  <c r="BT540" i="1"/>
  <c r="BT539" i="1"/>
  <c r="BT538" i="1"/>
  <c r="BT537" i="1"/>
  <c r="BT536" i="1"/>
  <c r="BT535" i="1"/>
  <c r="BT534" i="1"/>
  <c r="BT533" i="1"/>
  <c r="BT532" i="1"/>
  <c r="BT531" i="1"/>
  <c r="BT530" i="1"/>
  <c r="BT529" i="1"/>
  <c r="BT528" i="1"/>
  <c r="BT527" i="1"/>
  <c r="BT526" i="1"/>
  <c r="BT525" i="1"/>
  <c r="BT524" i="1"/>
  <c r="BT523" i="1"/>
  <c r="BT522" i="1"/>
  <c r="BT521" i="1"/>
  <c r="BT520" i="1"/>
  <c r="BT519" i="1"/>
  <c r="BT518" i="1"/>
  <c r="BT517" i="1"/>
  <c r="BT516" i="1"/>
  <c r="BT515" i="1"/>
  <c r="BT514" i="1"/>
  <c r="BT513" i="1"/>
  <c r="BT512" i="1"/>
  <c r="BT511" i="1"/>
  <c r="BT510" i="1"/>
  <c r="BT509" i="1"/>
  <c r="BT508" i="1"/>
  <c r="BT507" i="1"/>
  <c r="BT506" i="1"/>
  <c r="BT505" i="1"/>
  <c r="BT504" i="1"/>
  <c r="BT503" i="1"/>
  <c r="BT502" i="1"/>
  <c r="BT501" i="1"/>
  <c r="BT500" i="1"/>
  <c r="BT499" i="1"/>
  <c r="BT498" i="1"/>
  <c r="BT497" i="1"/>
  <c r="BT496" i="1"/>
  <c r="BT495" i="1"/>
  <c r="BT494" i="1"/>
  <c r="BT719" i="1"/>
  <c r="BT718" i="1"/>
  <c r="BT493" i="1"/>
  <c r="BT492" i="1"/>
  <c r="BT491" i="1"/>
  <c r="BT490" i="1"/>
  <c r="BT489" i="1"/>
  <c r="BT488" i="1"/>
  <c r="BT487" i="1"/>
  <c r="BT486" i="1"/>
  <c r="BT485" i="1"/>
  <c r="BT484" i="1"/>
  <c r="BT483" i="1"/>
  <c r="BT482" i="1"/>
  <c r="BT481" i="1"/>
  <c r="BT480" i="1"/>
  <c r="BT479" i="1"/>
  <c r="BT478" i="1"/>
  <c r="BT477" i="1"/>
  <c r="BT476" i="1"/>
  <c r="BT475" i="1"/>
  <c r="BT717" i="1"/>
  <c r="BT474" i="1"/>
  <c r="BT473" i="1"/>
  <c r="BT472" i="1"/>
  <c r="BT471" i="1"/>
  <c r="BT470" i="1"/>
  <c r="BT469" i="1"/>
  <c r="BT468" i="1"/>
  <c r="BT467" i="1"/>
  <c r="BT466" i="1"/>
  <c r="BT465" i="1"/>
  <c r="BT464" i="1"/>
  <c r="BT463" i="1"/>
  <c r="BT462" i="1"/>
  <c r="BT461" i="1"/>
  <c r="BT460" i="1"/>
  <c r="BT459" i="1"/>
  <c r="BT458" i="1"/>
  <c r="BT457" i="1"/>
  <c r="BT456" i="1"/>
  <c r="BT455" i="1"/>
  <c r="BT454" i="1"/>
  <c r="BT453" i="1"/>
  <c r="BT452" i="1"/>
  <c r="BT451" i="1"/>
  <c r="BT450" i="1"/>
  <c r="BT449" i="1"/>
  <c r="BT448" i="1"/>
  <c r="BT447" i="1"/>
  <c r="BT446" i="1"/>
  <c r="BT445" i="1"/>
  <c r="BT444" i="1"/>
  <c r="BT443" i="1"/>
  <c r="BT442" i="1"/>
  <c r="BT441" i="1"/>
  <c r="BT440" i="1"/>
  <c r="BT439" i="1"/>
  <c r="BT438" i="1"/>
  <c r="BT437" i="1"/>
  <c r="BT436" i="1"/>
  <c r="BT435" i="1"/>
  <c r="BT434" i="1"/>
  <c r="BT433" i="1"/>
  <c r="BT432" i="1"/>
  <c r="BT431" i="1"/>
  <c r="BT430" i="1"/>
  <c r="BT429" i="1"/>
  <c r="BT428" i="1"/>
  <c r="BT427" i="1"/>
  <c r="BT426" i="1"/>
  <c r="BT425" i="1"/>
  <c r="BT424" i="1"/>
  <c r="BT423" i="1"/>
  <c r="BT422" i="1"/>
  <c r="BT421" i="1"/>
  <c r="BT420" i="1"/>
  <c r="BT419" i="1"/>
  <c r="BT418" i="1"/>
  <c r="BT417" i="1"/>
  <c r="BT416" i="1"/>
  <c r="BT414" i="1"/>
  <c r="BT413" i="1"/>
  <c r="BT412" i="1"/>
  <c r="BT411" i="1"/>
  <c r="BT410" i="1"/>
  <c r="BT409" i="1"/>
  <c r="BT408" i="1"/>
  <c r="BT407" i="1"/>
  <c r="BT406" i="1"/>
  <c r="BT405" i="1"/>
  <c r="BT404" i="1"/>
  <c r="BT403" i="1"/>
  <c r="BT402" i="1"/>
  <c r="BT401" i="1"/>
  <c r="BT400" i="1"/>
  <c r="BT399" i="1"/>
  <c r="BT398" i="1"/>
  <c r="BT397" i="1"/>
  <c r="BT396" i="1"/>
  <c r="BT395" i="1"/>
  <c r="BT394" i="1"/>
  <c r="BT393" i="1"/>
  <c r="BT392" i="1"/>
  <c r="BT391" i="1"/>
  <c r="BT390" i="1"/>
  <c r="BT389" i="1"/>
  <c r="BT388" i="1"/>
  <c r="BT387" i="1"/>
  <c r="BT385" i="1"/>
  <c r="BT384" i="1"/>
  <c r="BT383" i="1"/>
  <c r="BT382" i="1"/>
  <c r="BT381" i="1"/>
  <c r="BT380" i="1"/>
  <c r="BT379" i="1"/>
  <c r="BT377" i="1"/>
  <c r="BT374" i="1"/>
  <c r="BT373" i="1"/>
  <c r="BT372" i="1"/>
  <c r="BT371" i="1"/>
  <c r="BT370" i="1"/>
  <c r="BT369" i="1"/>
  <c r="BT368" i="1"/>
  <c r="BT367" i="1"/>
  <c r="BT366" i="1"/>
  <c r="BT365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1" i="1"/>
  <c r="BT350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03" i="1"/>
  <c r="BT302" i="1"/>
  <c r="BT301" i="1"/>
  <c r="BT300" i="1"/>
  <c r="BT299" i="1"/>
  <c r="BT298" i="1"/>
  <c r="BT297" i="1"/>
  <c r="BT710" i="1"/>
  <c r="BT709" i="1"/>
  <c r="BT708" i="1"/>
  <c r="BT296" i="1"/>
  <c r="BT295" i="1"/>
  <c r="BT294" i="1"/>
  <c r="BT293" i="1"/>
  <c r="BT707" i="1"/>
  <c r="BT706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2" i="1"/>
  <c r="BT271" i="1"/>
  <c r="BT270" i="1"/>
  <c r="BT269" i="1"/>
  <c r="BT268" i="1"/>
  <c r="BT267" i="1"/>
  <c r="BT266" i="1"/>
  <c r="BT265" i="1"/>
  <c r="BT264" i="1"/>
  <c r="BT263" i="1"/>
  <c r="BT704" i="1"/>
  <c r="BT703" i="1"/>
  <c r="BT702" i="1"/>
  <c r="BT701" i="1"/>
  <c r="BT700" i="1"/>
  <c r="BT262" i="1"/>
  <c r="BT261" i="1"/>
  <c r="BT260" i="1"/>
  <c r="BT259" i="1"/>
  <c r="BT258" i="1"/>
  <c r="BT257" i="1"/>
  <c r="BT699" i="1"/>
  <c r="BT698" i="1"/>
  <c r="BT697" i="1"/>
  <c r="BT696" i="1"/>
  <c r="BT695" i="1"/>
  <c r="BT256" i="1"/>
  <c r="BT255" i="1"/>
  <c r="BT254" i="1"/>
  <c r="BT253" i="1"/>
  <c r="BT694" i="1"/>
  <c r="BT693" i="1"/>
  <c r="BT692" i="1"/>
  <c r="BT252" i="1"/>
  <c r="BT251" i="1"/>
  <c r="BT691" i="1"/>
  <c r="BT249" i="1"/>
  <c r="BT248" i="1"/>
  <c r="BT247" i="1"/>
  <c r="BT246" i="1"/>
  <c r="BT245" i="1"/>
  <c r="BT244" i="1"/>
  <c r="BT243" i="1"/>
  <c r="BT242" i="1"/>
  <c r="BT241" i="1"/>
  <c r="BT240" i="1"/>
  <c r="BT239" i="1"/>
  <c r="BT689" i="1"/>
  <c r="BT238" i="1"/>
  <c r="BT237" i="1"/>
  <c r="BT236" i="1"/>
  <c r="BT235" i="1"/>
  <c r="BT234" i="1"/>
  <c r="BT233" i="1"/>
  <c r="BT231" i="1"/>
  <c r="BT230" i="1"/>
  <c r="BT229" i="1"/>
  <c r="BT688" i="1"/>
  <c r="BT687" i="1"/>
  <c r="BT686" i="1"/>
  <c r="BT685" i="1"/>
  <c r="BT684" i="1"/>
  <c r="BT683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680" i="1"/>
  <c r="BT45" i="1"/>
  <c r="BT44" i="1"/>
  <c r="BT43" i="1"/>
  <c r="BT42" i="1"/>
  <c r="BT41" i="1"/>
  <c r="BT40" i="1"/>
  <c r="BT39" i="1"/>
  <c r="BT38" i="1"/>
  <c r="BT37" i="1"/>
  <c r="BT679" i="1"/>
  <c r="BT678" i="1"/>
  <c r="BT721" i="1"/>
  <c r="BT36" i="1"/>
  <c r="BT35" i="1"/>
  <c r="BT34" i="1"/>
  <c r="BT33" i="1"/>
  <c r="BT32" i="1"/>
  <c r="BT31" i="1"/>
  <c r="BT677" i="1"/>
  <c r="BT30" i="1"/>
  <c r="BT29" i="1"/>
  <c r="BT28" i="1"/>
  <c r="BT27" i="1"/>
  <c r="BT25" i="1"/>
  <c r="BT24" i="1"/>
  <c r="BT23" i="1"/>
  <c r="BT22" i="1"/>
  <c r="BT21" i="1"/>
  <c r="BT20" i="1"/>
  <c r="BT19" i="1"/>
  <c r="BT18" i="1"/>
  <c r="BT676" i="1"/>
  <c r="BT675" i="1"/>
  <c r="BT674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673" i="1"/>
  <c r="BT672" i="1"/>
  <c r="BT671" i="1"/>
  <c r="BO669" i="1"/>
  <c r="BW669" i="1"/>
  <c r="BV669" i="1"/>
  <c r="BU669" i="1"/>
  <c r="BO668" i="1"/>
  <c r="BW668" i="1"/>
  <c r="BV668" i="1"/>
  <c r="BU668" i="1"/>
  <c r="BO667" i="1"/>
  <c r="BW667" i="1"/>
  <c r="BV667" i="1"/>
  <c r="BU667" i="1"/>
  <c r="BO666" i="1"/>
  <c r="BW666" i="1"/>
  <c r="BV666" i="1"/>
  <c r="BU666" i="1"/>
  <c r="BO665" i="1"/>
  <c r="BW665" i="1"/>
  <c r="BV665" i="1"/>
  <c r="BU665" i="1"/>
  <c r="BO664" i="1"/>
  <c r="BW664" i="1"/>
  <c r="BU664" i="1"/>
  <c r="BO663" i="1"/>
  <c r="BW663" i="1"/>
  <c r="BV663" i="1"/>
  <c r="BU663" i="1"/>
  <c r="BO662" i="1"/>
  <c r="BW662" i="1"/>
  <c r="BV662" i="1"/>
  <c r="BU662" i="1"/>
  <c r="BO661" i="1"/>
  <c r="BW661" i="1"/>
  <c r="BV661" i="1"/>
  <c r="BU661" i="1"/>
  <c r="BO660" i="1"/>
  <c r="BW660" i="1"/>
  <c r="BV660" i="1"/>
  <c r="BU660" i="1"/>
  <c r="BO659" i="1"/>
  <c r="BW659" i="1"/>
  <c r="BV659" i="1"/>
  <c r="BU659" i="1"/>
  <c r="BO658" i="1"/>
  <c r="BW658" i="1"/>
  <c r="BV658" i="1"/>
  <c r="BU658" i="1"/>
  <c r="BO657" i="1"/>
  <c r="BW657" i="1"/>
  <c r="BV657" i="1"/>
  <c r="BU657" i="1"/>
  <c r="BO656" i="1"/>
  <c r="BW656" i="1"/>
  <c r="BV656" i="1"/>
  <c r="BU656" i="1"/>
  <c r="BO655" i="1"/>
  <c r="BW655" i="1"/>
  <c r="BV655" i="1"/>
  <c r="BU655" i="1"/>
  <c r="BO654" i="1"/>
  <c r="BW654" i="1"/>
  <c r="BV654" i="1"/>
  <c r="BU654" i="1"/>
  <c r="BO653" i="1"/>
  <c r="BW653" i="1"/>
  <c r="BV653" i="1"/>
  <c r="BU653" i="1"/>
  <c r="BO652" i="1"/>
  <c r="BW652" i="1"/>
  <c r="BV652" i="1"/>
  <c r="BU652" i="1"/>
  <c r="BO651" i="1"/>
  <c r="BW651" i="1"/>
  <c r="BV651" i="1"/>
  <c r="BU651" i="1"/>
  <c r="BO434" i="1"/>
  <c r="BW434" i="1"/>
  <c r="BU434" i="1"/>
  <c r="BO433" i="1"/>
  <c r="BW433" i="1"/>
  <c r="BV433" i="1"/>
  <c r="BU433" i="1"/>
  <c r="BO432" i="1"/>
  <c r="BW432" i="1"/>
  <c r="BU432" i="1"/>
  <c r="BO431" i="1"/>
  <c r="BW431" i="1"/>
  <c r="BU431" i="1"/>
  <c r="BO424" i="1"/>
  <c r="BW424" i="1"/>
  <c r="BU424" i="1"/>
  <c r="BO423" i="1"/>
  <c r="BW423" i="1"/>
  <c r="BU423" i="1"/>
  <c r="BO422" i="1"/>
  <c r="BW422" i="1"/>
  <c r="BU422" i="1"/>
  <c r="BO421" i="1"/>
  <c r="BW421" i="1"/>
  <c r="BU421" i="1"/>
  <c r="BO430" i="1"/>
  <c r="BW430" i="1"/>
  <c r="BU430" i="1"/>
  <c r="BO429" i="1"/>
  <c r="BW429" i="1"/>
  <c r="BU429" i="1"/>
  <c r="BO420" i="1"/>
  <c r="BW420" i="1"/>
  <c r="BU420" i="1"/>
  <c r="BO419" i="1"/>
  <c r="BW419" i="1"/>
  <c r="BU419" i="1"/>
  <c r="BO428" i="1"/>
  <c r="BW428" i="1"/>
  <c r="BU428" i="1"/>
  <c r="BO418" i="1"/>
  <c r="BW418" i="1"/>
  <c r="BU418" i="1"/>
  <c r="BO417" i="1"/>
  <c r="BW417" i="1"/>
  <c r="BU417" i="1"/>
  <c r="BO427" i="1"/>
  <c r="BW427" i="1"/>
  <c r="BU427" i="1"/>
  <c r="BO426" i="1"/>
  <c r="BW426" i="1"/>
  <c r="BU426" i="1"/>
  <c r="BO425" i="1"/>
  <c r="BW425" i="1"/>
  <c r="BU425" i="1"/>
  <c r="BO416" i="1"/>
  <c r="BW416" i="1"/>
  <c r="BU416" i="1"/>
  <c r="BO224" i="1"/>
  <c r="BW224" i="1"/>
  <c r="BU224" i="1"/>
  <c r="BO223" i="1"/>
  <c r="BW223" i="1"/>
  <c r="BV223" i="1"/>
  <c r="BU223" i="1"/>
  <c r="BO222" i="1"/>
  <c r="BW222" i="1"/>
  <c r="BV222" i="1"/>
  <c r="BU222" i="1"/>
  <c r="BO221" i="1"/>
  <c r="BW221" i="1"/>
  <c r="BV221" i="1"/>
  <c r="BU221" i="1"/>
  <c r="BO220" i="1"/>
  <c r="BW220" i="1"/>
  <c r="BV220" i="1"/>
  <c r="BU220" i="1"/>
  <c r="BO219" i="1"/>
  <c r="BW219" i="1"/>
  <c r="BV219" i="1"/>
  <c r="BU219" i="1"/>
  <c r="BO218" i="1"/>
  <c r="BW218" i="1"/>
  <c r="BV218" i="1"/>
  <c r="BU218" i="1"/>
  <c r="BO217" i="1"/>
  <c r="BW217" i="1"/>
  <c r="BV217" i="1"/>
  <c r="BU217" i="1"/>
  <c r="BO216" i="1"/>
  <c r="BW216" i="1"/>
  <c r="BV216" i="1"/>
  <c r="BU216" i="1"/>
  <c r="BO215" i="1"/>
  <c r="BW215" i="1"/>
  <c r="BU215" i="1"/>
  <c r="BO214" i="1"/>
  <c r="BW214" i="1"/>
  <c r="BV214" i="1"/>
  <c r="BU214" i="1"/>
  <c r="BO213" i="1"/>
  <c r="BW213" i="1"/>
  <c r="BV213" i="1"/>
  <c r="BU213" i="1"/>
  <c r="BO212" i="1"/>
  <c r="BW212" i="1"/>
  <c r="BV212" i="1"/>
  <c r="BU212" i="1"/>
  <c r="BO211" i="1"/>
  <c r="BW211" i="1"/>
  <c r="BU211" i="1"/>
  <c r="BO210" i="1"/>
  <c r="BW210" i="1"/>
  <c r="BU210" i="1"/>
  <c r="BO209" i="1"/>
  <c r="BW209" i="1"/>
  <c r="BV209" i="1"/>
  <c r="BU209" i="1"/>
  <c r="BO208" i="1"/>
  <c r="BW208" i="1"/>
  <c r="BV208" i="1"/>
  <c r="BU208" i="1"/>
  <c r="BO207" i="1"/>
  <c r="BW207" i="1"/>
  <c r="BV207" i="1"/>
  <c r="BU207" i="1"/>
  <c r="BO206" i="1"/>
  <c r="BW206" i="1"/>
  <c r="BU206" i="1"/>
  <c r="BO205" i="1"/>
  <c r="BW205" i="1"/>
  <c r="BV205" i="1"/>
  <c r="BU205" i="1"/>
  <c r="BO550" i="1"/>
  <c r="BW550" i="1"/>
  <c r="BV550" i="1"/>
  <c r="BU550" i="1"/>
  <c r="BO549" i="1"/>
  <c r="BW549" i="1"/>
  <c r="BV549" i="1"/>
  <c r="BU549" i="1"/>
  <c r="BO548" i="1"/>
  <c r="BW548" i="1"/>
  <c r="BV548" i="1"/>
  <c r="BU548" i="1"/>
  <c r="BO547" i="1"/>
  <c r="BW547" i="1"/>
  <c r="BV547" i="1"/>
  <c r="BU547" i="1"/>
  <c r="BO546" i="1"/>
  <c r="BW546" i="1"/>
  <c r="BV546" i="1"/>
  <c r="BU546" i="1"/>
  <c r="BO545" i="1"/>
  <c r="BW545" i="1"/>
  <c r="BV545" i="1"/>
  <c r="BU545" i="1"/>
  <c r="BO544" i="1"/>
  <c r="BW544" i="1"/>
  <c r="BV544" i="1"/>
  <c r="BU544" i="1"/>
  <c r="BO543" i="1"/>
  <c r="BW543" i="1"/>
  <c r="BV543" i="1"/>
  <c r="BU543" i="1"/>
  <c r="BO542" i="1"/>
  <c r="BW542" i="1"/>
  <c r="BV542" i="1"/>
  <c r="BU542" i="1"/>
  <c r="BO541" i="1"/>
  <c r="BW541" i="1"/>
  <c r="BV541" i="1"/>
  <c r="BU541" i="1"/>
  <c r="BO540" i="1"/>
  <c r="BW540" i="1"/>
  <c r="BV540" i="1"/>
  <c r="BU540" i="1"/>
  <c r="BO539" i="1"/>
  <c r="BW539" i="1"/>
  <c r="BV539" i="1"/>
  <c r="BU539" i="1"/>
  <c r="BO538" i="1"/>
  <c r="BW538" i="1"/>
  <c r="BV538" i="1"/>
  <c r="BU538" i="1"/>
  <c r="BO537" i="1"/>
  <c r="BW537" i="1"/>
  <c r="BV537" i="1"/>
  <c r="BU537" i="1"/>
  <c r="BO536" i="1"/>
  <c r="BW536" i="1"/>
  <c r="BV536" i="1"/>
  <c r="BU536" i="1"/>
  <c r="BO535" i="1"/>
  <c r="BW535" i="1"/>
  <c r="BV535" i="1"/>
  <c r="BU535" i="1"/>
  <c r="BO534" i="1"/>
  <c r="BW534" i="1"/>
  <c r="BV534" i="1"/>
  <c r="BU534" i="1"/>
  <c r="BO533" i="1"/>
  <c r="BW533" i="1"/>
  <c r="BV533" i="1"/>
  <c r="BU533" i="1"/>
  <c r="BO532" i="1"/>
  <c r="BW532" i="1"/>
  <c r="BV532" i="1"/>
  <c r="BU532" i="1"/>
  <c r="BO531" i="1"/>
  <c r="BW531" i="1"/>
  <c r="BV531" i="1"/>
  <c r="BU531" i="1"/>
  <c r="BO306" i="1"/>
  <c r="BW306" i="1"/>
  <c r="BU306" i="1"/>
  <c r="BO296" i="1"/>
  <c r="BW296" i="1"/>
  <c r="BV296" i="1"/>
  <c r="BU296" i="1"/>
  <c r="BO308" i="1"/>
  <c r="BW308" i="1"/>
  <c r="BU308" i="1"/>
  <c r="BO295" i="1"/>
  <c r="BW295" i="1"/>
  <c r="BV295" i="1"/>
  <c r="BU295" i="1"/>
  <c r="BO303" i="1"/>
  <c r="BW303" i="1"/>
  <c r="BU303" i="1"/>
  <c r="BO302" i="1"/>
  <c r="BW302" i="1"/>
  <c r="BU302" i="1"/>
  <c r="BO710" i="1"/>
  <c r="BW710" i="1"/>
  <c r="BU710" i="1"/>
  <c r="BO707" i="1"/>
  <c r="BW707" i="1"/>
  <c r="BV707" i="1"/>
  <c r="BU707" i="1"/>
  <c r="BO709" i="1"/>
  <c r="BW709" i="1"/>
  <c r="BV709" i="1"/>
  <c r="BU709" i="1"/>
  <c r="BO301" i="1"/>
  <c r="BW301" i="1"/>
  <c r="BU301" i="1"/>
  <c r="BO294" i="1"/>
  <c r="BW294" i="1"/>
  <c r="BU294" i="1"/>
  <c r="BO300" i="1"/>
  <c r="BW300" i="1"/>
  <c r="BV300" i="1"/>
  <c r="BU300" i="1"/>
  <c r="BO706" i="1"/>
  <c r="BW706" i="1"/>
  <c r="BU706" i="1"/>
  <c r="BO293" i="1"/>
  <c r="BW293" i="1"/>
  <c r="BU293" i="1"/>
  <c r="BO708" i="1"/>
  <c r="BW708" i="1"/>
  <c r="BV708" i="1"/>
  <c r="BU708" i="1"/>
  <c r="BO299" i="1"/>
  <c r="BW299" i="1"/>
  <c r="BU299" i="1"/>
  <c r="BO298" i="1"/>
  <c r="BW298" i="1"/>
  <c r="BV298" i="1"/>
  <c r="BU298" i="1"/>
  <c r="BO297" i="1"/>
  <c r="BW297" i="1"/>
  <c r="BU297" i="1"/>
  <c r="BO97" i="1"/>
  <c r="BW97" i="1"/>
  <c r="BV97" i="1"/>
  <c r="BU97" i="1"/>
  <c r="BO96" i="1"/>
  <c r="BW96" i="1"/>
  <c r="BV96" i="1"/>
  <c r="BU96" i="1"/>
  <c r="BO95" i="1"/>
  <c r="BW95" i="1"/>
  <c r="BV95" i="1"/>
  <c r="BU95" i="1"/>
  <c r="BO100" i="1"/>
  <c r="BW100" i="1"/>
  <c r="BU100" i="1"/>
  <c r="BO94" i="1"/>
  <c r="BW94" i="1"/>
  <c r="BV94" i="1"/>
  <c r="BU94" i="1"/>
  <c r="BO93" i="1"/>
  <c r="BW93" i="1"/>
  <c r="BV93" i="1"/>
  <c r="BU93" i="1"/>
  <c r="BO92" i="1"/>
  <c r="BW92" i="1"/>
  <c r="BV92" i="1"/>
  <c r="BU92" i="1"/>
  <c r="BO91" i="1"/>
  <c r="BW91" i="1"/>
  <c r="BV91" i="1"/>
  <c r="BU91" i="1"/>
  <c r="BO90" i="1"/>
  <c r="BW90" i="1"/>
  <c r="BV90" i="1"/>
  <c r="BU90" i="1"/>
  <c r="BO89" i="1"/>
  <c r="BW89" i="1"/>
  <c r="BV89" i="1"/>
  <c r="BU89" i="1"/>
  <c r="BO88" i="1"/>
  <c r="BW88" i="1"/>
  <c r="BV88" i="1"/>
  <c r="BU88" i="1"/>
  <c r="BO87" i="1"/>
  <c r="BW87" i="1"/>
  <c r="BV87" i="1"/>
  <c r="BU87" i="1"/>
  <c r="BO86" i="1"/>
  <c r="BW86" i="1"/>
  <c r="BV86" i="1"/>
  <c r="BU86" i="1"/>
  <c r="BO85" i="1"/>
  <c r="BW85" i="1"/>
  <c r="BV85" i="1"/>
  <c r="BU85" i="1"/>
  <c r="BO84" i="1"/>
  <c r="BW84" i="1"/>
  <c r="BU84" i="1"/>
  <c r="BO83" i="1"/>
  <c r="BW83" i="1" s="1"/>
  <c r="BU83" i="1"/>
  <c r="BO82" i="1"/>
  <c r="BW82" i="1"/>
  <c r="BV82" i="1"/>
  <c r="BU82" i="1"/>
  <c r="BO81" i="1"/>
  <c r="BW81" i="1"/>
  <c r="BU81" i="1"/>
  <c r="BO98" i="1"/>
  <c r="BW98" i="1"/>
  <c r="BU98" i="1"/>
  <c r="BO649" i="1"/>
  <c r="BW649" i="1"/>
  <c r="BV649" i="1"/>
  <c r="BU649" i="1"/>
  <c r="BO648" i="1"/>
  <c r="BW648" i="1"/>
  <c r="BV648" i="1"/>
  <c r="BU648" i="1"/>
  <c r="BO647" i="1"/>
  <c r="BW647" i="1"/>
  <c r="BV647" i="1"/>
  <c r="BU647" i="1"/>
  <c r="BO646" i="1"/>
  <c r="BW646" i="1"/>
  <c r="BV646" i="1"/>
  <c r="BU646" i="1"/>
  <c r="BO645" i="1"/>
  <c r="BW645" i="1"/>
  <c r="BV645" i="1"/>
  <c r="BU645" i="1"/>
  <c r="BO644" i="1"/>
  <c r="BW644" i="1"/>
  <c r="BV644" i="1"/>
  <c r="BU644" i="1"/>
  <c r="BO643" i="1"/>
  <c r="BW643" i="1"/>
  <c r="BV643" i="1"/>
  <c r="BU643" i="1"/>
  <c r="BO642" i="1"/>
  <c r="BW642" i="1"/>
  <c r="BV642" i="1"/>
  <c r="BU642" i="1"/>
  <c r="BO641" i="1"/>
  <c r="BW641" i="1"/>
  <c r="BV641" i="1"/>
  <c r="BU641" i="1"/>
  <c r="BO640" i="1"/>
  <c r="BW640" i="1"/>
  <c r="BV640" i="1"/>
  <c r="BU640" i="1"/>
  <c r="BO639" i="1"/>
  <c r="BW639" i="1"/>
  <c r="BV639" i="1"/>
  <c r="BU639" i="1"/>
  <c r="BO638" i="1"/>
  <c r="BW638" i="1"/>
  <c r="BU638" i="1"/>
  <c r="BO637" i="1"/>
  <c r="BW637" i="1"/>
  <c r="BU637" i="1"/>
  <c r="BO636" i="1"/>
  <c r="BW636" i="1"/>
  <c r="BV636" i="1"/>
  <c r="BU636" i="1"/>
  <c r="BO635" i="1"/>
  <c r="BW635" i="1"/>
  <c r="BU635" i="1"/>
  <c r="BO634" i="1"/>
  <c r="BW634" i="1"/>
  <c r="BV634" i="1"/>
  <c r="BU634" i="1"/>
  <c r="BO633" i="1"/>
  <c r="BW633" i="1"/>
  <c r="BV633" i="1"/>
  <c r="BU633" i="1"/>
  <c r="BO632" i="1"/>
  <c r="BW632" i="1"/>
  <c r="BV632" i="1"/>
  <c r="BU632" i="1"/>
  <c r="BO631" i="1"/>
  <c r="BW631" i="1"/>
  <c r="BV631" i="1"/>
  <c r="BU631" i="1"/>
  <c r="BO630" i="1"/>
  <c r="BW630" i="1"/>
  <c r="BV630" i="1"/>
  <c r="BU630" i="1"/>
  <c r="BO411" i="1"/>
  <c r="BW411" i="1"/>
  <c r="BU411" i="1"/>
  <c r="BO410" i="1"/>
  <c r="BW410" i="1"/>
  <c r="BU410" i="1"/>
  <c r="BO409" i="1"/>
  <c r="BW409" i="1"/>
  <c r="BU409" i="1"/>
  <c r="BO408" i="1"/>
  <c r="BW408" i="1"/>
  <c r="BU408" i="1"/>
  <c r="BO407" i="1"/>
  <c r="BW407" i="1"/>
  <c r="BV407" i="1"/>
  <c r="BU407" i="1"/>
  <c r="BO406" i="1"/>
  <c r="BW406" i="1"/>
  <c r="BV406" i="1"/>
  <c r="BU406" i="1"/>
  <c r="BO405" i="1"/>
  <c r="BW405" i="1"/>
  <c r="BU405" i="1"/>
  <c r="BO404" i="1"/>
  <c r="BW404" i="1"/>
  <c r="BU404" i="1"/>
  <c r="BO403" i="1"/>
  <c r="BW403" i="1"/>
  <c r="BV403" i="1"/>
  <c r="BU403" i="1"/>
  <c r="BO402" i="1"/>
  <c r="BW402" i="1"/>
  <c r="BU402" i="1"/>
  <c r="BO401" i="1"/>
  <c r="BW401" i="1"/>
  <c r="BV401" i="1"/>
  <c r="BU401" i="1"/>
  <c r="BO400" i="1"/>
  <c r="BW400" i="1"/>
  <c r="BU400" i="1"/>
  <c r="BO414" i="1"/>
  <c r="BW414" i="1"/>
  <c r="BU414" i="1"/>
  <c r="BO399" i="1"/>
  <c r="BW399" i="1"/>
  <c r="BU399" i="1"/>
  <c r="BO398" i="1"/>
  <c r="BW398" i="1"/>
  <c r="BU398" i="1"/>
  <c r="BO397" i="1"/>
  <c r="BW397" i="1"/>
  <c r="BU397" i="1"/>
  <c r="BO413" i="1"/>
  <c r="BW413" i="1"/>
  <c r="BU413" i="1"/>
  <c r="BO412" i="1"/>
  <c r="BW412" i="1"/>
  <c r="BU412" i="1"/>
  <c r="BO396" i="1"/>
  <c r="BW396" i="1"/>
  <c r="BU396" i="1"/>
  <c r="BO395" i="1"/>
  <c r="BW395" i="1"/>
  <c r="BU395" i="1"/>
  <c r="BO203" i="1"/>
  <c r="BW203" i="1"/>
  <c r="BU203" i="1"/>
  <c r="BO204" i="1"/>
  <c r="BW204" i="1"/>
  <c r="BU204" i="1"/>
  <c r="BO202" i="1"/>
  <c r="BW202" i="1"/>
  <c r="BU202" i="1"/>
  <c r="BO201" i="1"/>
  <c r="BW201" i="1"/>
  <c r="BU201" i="1"/>
  <c r="BO200" i="1"/>
  <c r="BW200" i="1"/>
  <c r="BU200" i="1"/>
  <c r="BO199" i="1"/>
  <c r="BW199" i="1"/>
  <c r="BU199" i="1"/>
  <c r="BO198" i="1"/>
  <c r="BW198" i="1"/>
  <c r="BU198" i="1"/>
  <c r="BO197" i="1"/>
  <c r="BW197" i="1"/>
  <c r="BU197" i="1"/>
  <c r="BO196" i="1"/>
  <c r="BW196" i="1"/>
  <c r="BU196" i="1"/>
  <c r="BO195" i="1"/>
  <c r="BW195" i="1"/>
  <c r="BU195" i="1"/>
  <c r="BO194" i="1"/>
  <c r="BW194" i="1"/>
  <c r="BU194" i="1"/>
  <c r="BO193" i="1"/>
  <c r="BW193" i="1"/>
  <c r="BU193" i="1"/>
  <c r="BO192" i="1"/>
  <c r="BW192" i="1"/>
  <c r="BU192" i="1"/>
  <c r="BO191" i="1"/>
  <c r="BW191" i="1"/>
  <c r="BU191" i="1"/>
  <c r="BO190" i="1"/>
  <c r="BW190" i="1"/>
  <c r="BU190" i="1"/>
  <c r="BO189" i="1"/>
  <c r="BW189" i="1"/>
  <c r="BU189" i="1"/>
  <c r="BO188" i="1"/>
  <c r="BW188" i="1"/>
  <c r="BU188" i="1"/>
  <c r="BO187" i="1"/>
  <c r="BW187" i="1"/>
  <c r="BU187" i="1"/>
  <c r="BO530" i="1"/>
  <c r="BW530" i="1"/>
  <c r="BV530" i="1"/>
  <c r="BU530" i="1"/>
  <c r="BO529" i="1"/>
  <c r="BW529" i="1"/>
  <c r="BV529" i="1"/>
  <c r="BU529" i="1"/>
  <c r="BO528" i="1"/>
  <c r="BW528" i="1"/>
  <c r="BV528" i="1"/>
  <c r="BU528" i="1"/>
  <c r="BO527" i="1"/>
  <c r="BW527" i="1"/>
  <c r="BV527" i="1"/>
  <c r="BU527" i="1"/>
  <c r="BO526" i="1"/>
  <c r="BW526" i="1"/>
  <c r="BV526" i="1"/>
  <c r="BU526" i="1"/>
  <c r="BO525" i="1"/>
  <c r="BW525" i="1"/>
  <c r="BV525" i="1"/>
  <c r="BU525" i="1"/>
  <c r="BO524" i="1"/>
  <c r="BW524" i="1"/>
  <c r="BV524" i="1"/>
  <c r="BU524" i="1"/>
  <c r="BO523" i="1"/>
  <c r="BW523" i="1"/>
  <c r="BU523" i="1"/>
  <c r="BO522" i="1"/>
  <c r="BW522" i="1"/>
  <c r="BV522" i="1"/>
  <c r="BU522" i="1"/>
  <c r="BO521" i="1"/>
  <c r="BW521" i="1"/>
  <c r="BV521" i="1"/>
  <c r="BU521" i="1"/>
  <c r="BO520" i="1"/>
  <c r="BW520" i="1"/>
  <c r="BV520" i="1"/>
  <c r="BU520" i="1"/>
  <c r="BO519" i="1"/>
  <c r="BW519" i="1"/>
  <c r="BV519" i="1"/>
  <c r="BU519" i="1"/>
  <c r="BO518" i="1"/>
  <c r="BW518" i="1"/>
  <c r="BV518" i="1"/>
  <c r="BU518" i="1"/>
  <c r="BO517" i="1"/>
  <c r="BW517" i="1"/>
  <c r="BV517" i="1"/>
  <c r="BU517" i="1"/>
  <c r="BO516" i="1"/>
  <c r="BW516" i="1"/>
  <c r="BU516" i="1"/>
  <c r="BO515" i="1"/>
  <c r="BW515" i="1"/>
  <c r="BV515" i="1"/>
  <c r="BU515" i="1"/>
  <c r="BO514" i="1"/>
  <c r="BW514" i="1"/>
  <c r="BV514" i="1"/>
  <c r="BU514" i="1"/>
  <c r="BO513" i="1"/>
  <c r="BW513" i="1"/>
  <c r="BV513" i="1"/>
  <c r="BU513" i="1"/>
  <c r="BO512" i="1"/>
  <c r="BW512" i="1"/>
  <c r="BV512" i="1"/>
  <c r="BU512" i="1"/>
  <c r="BO511" i="1"/>
  <c r="BW511" i="1"/>
  <c r="BV511" i="1"/>
  <c r="BU511" i="1"/>
  <c r="BO289" i="1"/>
  <c r="BW289" i="1"/>
  <c r="BU289" i="1"/>
  <c r="BO288" i="1"/>
  <c r="BW288" i="1"/>
  <c r="BU288" i="1"/>
  <c r="BO287" i="1"/>
  <c r="BW287" i="1"/>
  <c r="BU287" i="1"/>
  <c r="BO286" i="1"/>
  <c r="BW286" i="1"/>
  <c r="BV286" i="1"/>
  <c r="BU286" i="1"/>
  <c r="BO285" i="1"/>
  <c r="BW285" i="1"/>
  <c r="BV285" i="1"/>
  <c r="BU285" i="1"/>
  <c r="BO284" i="1"/>
  <c r="BW284" i="1"/>
  <c r="BU284" i="1"/>
  <c r="BO283" i="1"/>
  <c r="BW283" i="1"/>
  <c r="BU283" i="1"/>
  <c r="BO292" i="1"/>
  <c r="BW292" i="1"/>
  <c r="BU292" i="1"/>
  <c r="BO282" i="1"/>
  <c r="BW282" i="1"/>
  <c r="BU282" i="1"/>
  <c r="BO281" i="1"/>
  <c r="BW281" i="1"/>
  <c r="BU281" i="1"/>
  <c r="BO291" i="1"/>
  <c r="BW291" i="1"/>
  <c r="BU291" i="1"/>
  <c r="BO280" i="1"/>
  <c r="BW280" i="1"/>
  <c r="BU280" i="1"/>
  <c r="BO279" i="1"/>
  <c r="BW279" i="1"/>
  <c r="BU279" i="1"/>
  <c r="BO278" i="1"/>
  <c r="BW278" i="1"/>
  <c r="BU278" i="1"/>
  <c r="BO277" i="1"/>
  <c r="BW277" i="1"/>
  <c r="BU277" i="1"/>
  <c r="BO276" i="1"/>
  <c r="BW276" i="1"/>
  <c r="BU276" i="1"/>
  <c r="BO290" i="1"/>
  <c r="BW290" i="1"/>
  <c r="BU290" i="1"/>
  <c r="BO275" i="1"/>
  <c r="BW275" i="1"/>
  <c r="BU275" i="1"/>
  <c r="BO274" i="1"/>
  <c r="BW274" i="1"/>
  <c r="BV274" i="1"/>
  <c r="BU274" i="1"/>
  <c r="BO79" i="1"/>
  <c r="BW79" i="1"/>
  <c r="BV79" i="1"/>
  <c r="BU79" i="1"/>
  <c r="BO78" i="1"/>
  <c r="BW78" i="1"/>
  <c r="BV78" i="1"/>
  <c r="BU78" i="1"/>
  <c r="BO77" i="1"/>
  <c r="BW77" i="1"/>
  <c r="BV77" i="1"/>
  <c r="BU77" i="1"/>
  <c r="BO76" i="1"/>
  <c r="BW76" i="1"/>
  <c r="BV76" i="1"/>
  <c r="BU76" i="1"/>
  <c r="BU61" i="1"/>
  <c r="BO75" i="1"/>
  <c r="BW75" i="1" s="1"/>
  <c r="BV75" i="1"/>
  <c r="BU75" i="1"/>
  <c r="BO74" i="1"/>
  <c r="BW74" i="1" s="1"/>
  <c r="BV74" i="1"/>
  <c r="BU74" i="1"/>
  <c r="BO73" i="1"/>
  <c r="BW73" i="1" s="1"/>
  <c r="BV73" i="1"/>
  <c r="BU73" i="1"/>
  <c r="BO72" i="1"/>
  <c r="BW72" i="1" s="1"/>
  <c r="BV72" i="1"/>
  <c r="BU72" i="1"/>
  <c r="BO71" i="1"/>
  <c r="BW71" i="1" s="1"/>
  <c r="BV71" i="1"/>
  <c r="BU71" i="1"/>
  <c r="BO70" i="1"/>
  <c r="BW70" i="1" s="1"/>
  <c r="BV70" i="1"/>
  <c r="BU70" i="1"/>
  <c r="BO69" i="1"/>
  <c r="BW69" i="1" s="1"/>
  <c r="BV69" i="1"/>
  <c r="BU69" i="1"/>
  <c r="BO68" i="1"/>
  <c r="BW68" i="1" s="1"/>
  <c r="BV68" i="1"/>
  <c r="BU68" i="1"/>
  <c r="BO67" i="1"/>
  <c r="BW67" i="1" s="1"/>
  <c r="BV67" i="1"/>
  <c r="BU67" i="1"/>
  <c r="BO66" i="1"/>
  <c r="BW66" i="1" s="1"/>
  <c r="BV66" i="1"/>
  <c r="BU66" i="1"/>
  <c r="BO65" i="1"/>
  <c r="BW65" i="1" s="1"/>
  <c r="BV65" i="1"/>
  <c r="BU65" i="1"/>
  <c r="BO64" i="1"/>
  <c r="BW64" i="1" s="1"/>
  <c r="BV64" i="1"/>
  <c r="BU64" i="1"/>
  <c r="BO63" i="1"/>
  <c r="BW63" i="1" s="1"/>
  <c r="BV63" i="1"/>
  <c r="BU63" i="1"/>
  <c r="BO62" i="1"/>
  <c r="BW62" i="1" s="1"/>
  <c r="BU62" i="1"/>
  <c r="BO627" i="1"/>
  <c r="BW627" i="1" s="1"/>
  <c r="BV627" i="1"/>
  <c r="BU627" i="1"/>
  <c r="BO629" i="1"/>
  <c r="BW629" i="1" s="1"/>
  <c r="BV629" i="1"/>
  <c r="BU629" i="1"/>
  <c r="BO626" i="1"/>
  <c r="BW626" i="1" s="1"/>
  <c r="BV626" i="1"/>
  <c r="BU626" i="1"/>
  <c r="BO625" i="1"/>
  <c r="BW625" i="1" s="1"/>
  <c r="BV625" i="1"/>
  <c r="BU625" i="1"/>
  <c r="BO624" i="1"/>
  <c r="BW624" i="1" s="1"/>
  <c r="BV624" i="1"/>
  <c r="BU624" i="1"/>
  <c r="BO623" i="1"/>
  <c r="BW623" i="1" s="1"/>
  <c r="BU623" i="1"/>
  <c r="BO622" i="1"/>
  <c r="BW622" i="1" s="1"/>
  <c r="BV622" i="1"/>
  <c r="BU622" i="1"/>
  <c r="BO621" i="1"/>
  <c r="BW621" i="1" s="1"/>
  <c r="BV621" i="1"/>
  <c r="BU621" i="1"/>
  <c r="BO620" i="1"/>
  <c r="BW620" i="1" s="1"/>
  <c r="BV620" i="1"/>
  <c r="BU620" i="1"/>
  <c r="BO619" i="1"/>
  <c r="BW619" i="1" s="1"/>
  <c r="BV619" i="1"/>
  <c r="BU619" i="1"/>
  <c r="BO618" i="1"/>
  <c r="BW618" i="1" s="1"/>
  <c r="BV618" i="1"/>
  <c r="BU618" i="1"/>
  <c r="BO617" i="1"/>
  <c r="BW617" i="1"/>
  <c r="BV617" i="1"/>
  <c r="BU617" i="1"/>
  <c r="BO616" i="1"/>
  <c r="BW616" i="1"/>
  <c r="BV616" i="1"/>
  <c r="BU616" i="1"/>
  <c r="BO615" i="1"/>
  <c r="BW615" i="1"/>
  <c r="BV615" i="1"/>
  <c r="BU615" i="1"/>
  <c r="BO628" i="1"/>
  <c r="BW628" i="1"/>
  <c r="BV628" i="1"/>
  <c r="BU628" i="1"/>
  <c r="BO614" i="1"/>
  <c r="BW614" i="1"/>
  <c r="BV614" i="1"/>
  <c r="BU614" i="1"/>
  <c r="BO613" i="1"/>
  <c r="BW613" i="1"/>
  <c r="BV613" i="1"/>
  <c r="BU613" i="1"/>
  <c r="BO612" i="1"/>
  <c r="BW612" i="1"/>
  <c r="BV612" i="1"/>
  <c r="BU612" i="1"/>
  <c r="BO611" i="1"/>
  <c r="BW611" i="1"/>
  <c r="BV611" i="1"/>
  <c r="BU611" i="1"/>
  <c r="BO394" i="1"/>
  <c r="BW394" i="1"/>
  <c r="BU394" i="1"/>
  <c r="BO387" i="1"/>
  <c r="BW387" i="1"/>
  <c r="BV387" i="1"/>
  <c r="BU387" i="1"/>
  <c r="BO386" i="1"/>
  <c r="BW386" i="1"/>
  <c r="BU386" i="1"/>
  <c r="BO385" i="1"/>
  <c r="BW385" i="1"/>
  <c r="BU385" i="1"/>
  <c r="BO384" i="1"/>
  <c r="BW384" i="1"/>
  <c r="BU384" i="1"/>
  <c r="BO383" i="1"/>
  <c r="BW383" i="1"/>
  <c r="BV383" i="1"/>
  <c r="BU383" i="1"/>
  <c r="BO382" i="1"/>
  <c r="BW382" i="1"/>
  <c r="BU382" i="1"/>
  <c r="BO381" i="1"/>
  <c r="BW381" i="1"/>
  <c r="BV381" i="1"/>
  <c r="BU381" i="1"/>
  <c r="BO380" i="1"/>
  <c r="BW380" i="1"/>
  <c r="BV380" i="1"/>
  <c r="BU380" i="1"/>
  <c r="BO379" i="1"/>
  <c r="BW379" i="1"/>
  <c r="BV379" i="1"/>
  <c r="BU379" i="1"/>
  <c r="BO393" i="1"/>
  <c r="BW393" i="1"/>
  <c r="BV393" i="1"/>
  <c r="BU393" i="1"/>
  <c r="BO392" i="1"/>
  <c r="BW392" i="1"/>
  <c r="BU392" i="1"/>
  <c r="BO391" i="1"/>
  <c r="BW391" i="1"/>
  <c r="BU391" i="1"/>
  <c r="BO378" i="1"/>
  <c r="BW378" i="1"/>
  <c r="BU378" i="1"/>
  <c r="BO390" i="1"/>
  <c r="BW390" i="1"/>
  <c r="BU390" i="1"/>
  <c r="BO389" i="1"/>
  <c r="BW389" i="1"/>
  <c r="BV389" i="1"/>
  <c r="BU389" i="1"/>
  <c r="BO377" i="1"/>
  <c r="BW377" i="1"/>
  <c r="BV377" i="1"/>
  <c r="BU377" i="1"/>
  <c r="BO388" i="1"/>
  <c r="BW388" i="1"/>
  <c r="BU388" i="1"/>
  <c r="BO184" i="1"/>
  <c r="BW184" i="1"/>
  <c r="BU184" i="1"/>
  <c r="BO183" i="1"/>
  <c r="BW183" i="1"/>
  <c r="BV183" i="1"/>
  <c r="BU183" i="1"/>
  <c r="BO182" i="1"/>
  <c r="BW182" i="1"/>
  <c r="BV182" i="1"/>
  <c r="BU182" i="1"/>
  <c r="BO185" i="1"/>
  <c r="BW185" i="1"/>
  <c r="BU185" i="1"/>
  <c r="BO181" i="1"/>
  <c r="BW181" i="1"/>
  <c r="BU181" i="1"/>
  <c r="BO180" i="1"/>
  <c r="BW180" i="1"/>
  <c r="BU180" i="1"/>
  <c r="BO179" i="1"/>
  <c r="BW179" i="1"/>
  <c r="BV179" i="1"/>
  <c r="BU179" i="1"/>
  <c r="BO178" i="1"/>
  <c r="BW178" i="1"/>
  <c r="BV178" i="1"/>
  <c r="BU178" i="1"/>
  <c r="BO177" i="1"/>
  <c r="BW177" i="1"/>
  <c r="BU177" i="1"/>
  <c r="BO227" i="1"/>
  <c r="BW227" i="1"/>
  <c r="BV227" i="1"/>
  <c r="BU227" i="1"/>
  <c r="BO176" i="1"/>
  <c r="BW176" i="1"/>
  <c r="BV176" i="1"/>
  <c r="BU176" i="1"/>
  <c r="BO175" i="1"/>
  <c r="BW175" i="1"/>
  <c r="BV175" i="1"/>
  <c r="BU175" i="1"/>
  <c r="BO174" i="1"/>
  <c r="BW174" i="1"/>
  <c r="BU174" i="1"/>
  <c r="BO173" i="1"/>
  <c r="BW173" i="1"/>
  <c r="BV173" i="1"/>
  <c r="BU173" i="1"/>
  <c r="BO172" i="1"/>
  <c r="BW172" i="1"/>
  <c r="BV172" i="1"/>
  <c r="BU172" i="1"/>
  <c r="BO171" i="1"/>
  <c r="BW171" i="1"/>
  <c r="BU171" i="1"/>
  <c r="BO510" i="1"/>
  <c r="BW510" i="1"/>
  <c r="BV510" i="1"/>
  <c r="BU510" i="1"/>
  <c r="BO509" i="1"/>
  <c r="BW509" i="1"/>
  <c r="BV509" i="1"/>
  <c r="BU509" i="1"/>
  <c r="BO508" i="1"/>
  <c r="BW508" i="1"/>
  <c r="BV508" i="1"/>
  <c r="BU508" i="1"/>
  <c r="BO720" i="1"/>
  <c r="BW720" i="1"/>
  <c r="BV720" i="1"/>
  <c r="BU720" i="1"/>
  <c r="BO507" i="1"/>
  <c r="BW507" i="1"/>
  <c r="BV507" i="1"/>
  <c r="BU507" i="1"/>
  <c r="BO506" i="1"/>
  <c r="BW506" i="1"/>
  <c r="BV506" i="1"/>
  <c r="BU506" i="1"/>
  <c r="BO719" i="1"/>
  <c r="BW719" i="1"/>
  <c r="BV719" i="1"/>
  <c r="BU719" i="1"/>
  <c r="BO505" i="1"/>
  <c r="BW505" i="1"/>
  <c r="BV505" i="1"/>
  <c r="BU505" i="1"/>
  <c r="BO504" i="1"/>
  <c r="BW504" i="1"/>
  <c r="BV504" i="1"/>
  <c r="BU504" i="1"/>
  <c r="BO503" i="1"/>
  <c r="BW503" i="1"/>
  <c r="BV503" i="1"/>
  <c r="BU503" i="1"/>
  <c r="BO502" i="1"/>
  <c r="BW502" i="1"/>
  <c r="BV502" i="1"/>
  <c r="BU502" i="1"/>
  <c r="BO501" i="1"/>
  <c r="BW501" i="1"/>
  <c r="BV501" i="1"/>
  <c r="BU501" i="1"/>
  <c r="BO500" i="1"/>
  <c r="BW500" i="1"/>
  <c r="BV500" i="1"/>
  <c r="BU500" i="1"/>
  <c r="BO499" i="1"/>
  <c r="BW499" i="1"/>
  <c r="BV499" i="1"/>
  <c r="BU499" i="1"/>
  <c r="BO498" i="1"/>
  <c r="BW498" i="1"/>
  <c r="BV498" i="1"/>
  <c r="BU498" i="1"/>
  <c r="BO497" i="1"/>
  <c r="BW497" i="1"/>
  <c r="BV497" i="1"/>
  <c r="BU497" i="1"/>
  <c r="BO496" i="1"/>
  <c r="BW496" i="1"/>
  <c r="BV496" i="1"/>
  <c r="BU496" i="1"/>
  <c r="BO495" i="1"/>
  <c r="BW495" i="1"/>
  <c r="BV495" i="1"/>
  <c r="BU495" i="1"/>
  <c r="BO494" i="1"/>
  <c r="BW494" i="1"/>
  <c r="BV494" i="1"/>
  <c r="BU494" i="1"/>
  <c r="BO718" i="1"/>
  <c r="BW718" i="1"/>
  <c r="BV718" i="1"/>
  <c r="BU718" i="1"/>
  <c r="BO270" i="1"/>
  <c r="BW270" i="1"/>
  <c r="BV270" i="1"/>
  <c r="BU270" i="1"/>
  <c r="BO704" i="1"/>
  <c r="BW704" i="1"/>
  <c r="BV704" i="1"/>
  <c r="BU704" i="1"/>
  <c r="BO269" i="1"/>
  <c r="BW269" i="1"/>
  <c r="BV269" i="1"/>
  <c r="BU269" i="1"/>
  <c r="BO703" i="1"/>
  <c r="BW703" i="1"/>
  <c r="BV703" i="1"/>
  <c r="BU703" i="1"/>
  <c r="BO268" i="1"/>
  <c r="BW268" i="1"/>
  <c r="BU268" i="1"/>
  <c r="BO305" i="1"/>
  <c r="BW305" i="1"/>
  <c r="BU305" i="1"/>
  <c r="BO702" i="1"/>
  <c r="BW702" i="1"/>
  <c r="BV702" i="1"/>
  <c r="BU702" i="1"/>
  <c r="BO701" i="1"/>
  <c r="BW701" i="1"/>
  <c r="BU701" i="1"/>
  <c r="BU267" i="1"/>
  <c r="BO272" i="1"/>
  <c r="BW272" i="1"/>
  <c r="BU272" i="1"/>
  <c r="BO700" i="1"/>
  <c r="BW700" i="1"/>
  <c r="BU700" i="1"/>
  <c r="BO271" i="1"/>
  <c r="BW271" i="1"/>
  <c r="BU271" i="1"/>
  <c r="BO266" i="1"/>
  <c r="BW266" i="1"/>
  <c r="BU266" i="1"/>
  <c r="BO265" i="1"/>
  <c r="BW265" i="1"/>
  <c r="BU265" i="1"/>
  <c r="BO264" i="1"/>
  <c r="BW264" i="1"/>
  <c r="BU264" i="1"/>
  <c r="BO304" i="1"/>
  <c r="BW304" i="1"/>
  <c r="BU304" i="1"/>
  <c r="BO263" i="1"/>
  <c r="BW263" i="1"/>
  <c r="BV263" i="1"/>
  <c r="BU263" i="1"/>
  <c r="BO59" i="1"/>
  <c r="BW59" i="1"/>
  <c r="BU59" i="1"/>
  <c r="BO58" i="1"/>
  <c r="BW58" i="1"/>
  <c r="BV58" i="1"/>
  <c r="BU58" i="1"/>
  <c r="BO57" i="1"/>
  <c r="BW57" i="1"/>
  <c r="BV57" i="1"/>
  <c r="BU57" i="1"/>
  <c r="BO56" i="1"/>
  <c r="BW56" i="1"/>
  <c r="BV56" i="1"/>
  <c r="BU56" i="1"/>
  <c r="BO60" i="1"/>
  <c r="BW60" i="1"/>
  <c r="BU60" i="1"/>
  <c r="BO55" i="1"/>
  <c r="BW55" i="1"/>
  <c r="BU55" i="1"/>
  <c r="BO54" i="1"/>
  <c r="BW54" i="1"/>
  <c r="BU54" i="1"/>
  <c r="BO53" i="1"/>
  <c r="BW53" i="1"/>
  <c r="BU53" i="1"/>
  <c r="BO107" i="1"/>
  <c r="BW107" i="1"/>
  <c r="BV107" i="1"/>
  <c r="BU107" i="1"/>
  <c r="BO52" i="1"/>
  <c r="BW52" i="1"/>
  <c r="BV52" i="1"/>
  <c r="BU52" i="1"/>
  <c r="BO51" i="1"/>
  <c r="BW51" i="1"/>
  <c r="BU51" i="1"/>
  <c r="BO50" i="1"/>
  <c r="BW50" i="1"/>
  <c r="BV50" i="1"/>
  <c r="BU50" i="1"/>
  <c r="BO49" i="1"/>
  <c r="BW49" i="1"/>
  <c r="BV49" i="1"/>
  <c r="BU49" i="1"/>
  <c r="BO48" i="1"/>
  <c r="BW48" i="1"/>
  <c r="BU48" i="1"/>
  <c r="BO680" i="1"/>
  <c r="BW680" i="1"/>
  <c r="BV680" i="1"/>
  <c r="BU680" i="1"/>
  <c r="BO609" i="1"/>
  <c r="BW609" i="1"/>
  <c r="BV609" i="1"/>
  <c r="BU609" i="1"/>
  <c r="BO608" i="1"/>
  <c r="BW608" i="1"/>
  <c r="BV608" i="1"/>
  <c r="BU608" i="1"/>
  <c r="BO607" i="1"/>
  <c r="BW607" i="1"/>
  <c r="BV607" i="1"/>
  <c r="BU607" i="1"/>
  <c r="BO606" i="1"/>
  <c r="BW606" i="1"/>
  <c r="BV606" i="1"/>
  <c r="BU606" i="1"/>
  <c r="BO605" i="1"/>
  <c r="BW605" i="1"/>
  <c r="BV605" i="1"/>
  <c r="BU605" i="1"/>
  <c r="BO604" i="1"/>
  <c r="BW604" i="1"/>
  <c r="BV604" i="1"/>
  <c r="BU604" i="1"/>
  <c r="BO603" i="1"/>
  <c r="BW603" i="1"/>
  <c r="BV603" i="1"/>
  <c r="BU603" i="1"/>
  <c r="BO602" i="1"/>
  <c r="BW602" i="1"/>
  <c r="BV602" i="1"/>
  <c r="BU602" i="1"/>
  <c r="BO601" i="1"/>
  <c r="BW601" i="1"/>
  <c r="BV601" i="1"/>
  <c r="BU601" i="1"/>
  <c r="BO600" i="1"/>
  <c r="BW600" i="1"/>
  <c r="BV600" i="1"/>
  <c r="BU600" i="1"/>
  <c r="BO599" i="1"/>
  <c r="BW599" i="1"/>
  <c r="BV599" i="1"/>
  <c r="BU599" i="1"/>
  <c r="BO598" i="1"/>
  <c r="BW598" i="1"/>
  <c r="BV598" i="1"/>
  <c r="BU598" i="1"/>
  <c r="BO597" i="1"/>
  <c r="BW597" i="1"/>
  <c r="BV597" i="1"/>
  <c r="BU597" i="1"/>
  <c r="BO596" i="1"/>
  <c r="BW596" i="1"/>
  <c r="BV596" i="1"/>
  <c r="BU596" i="1"/>
  <c r="BO595" i="1"/>
  <c r="BW595" i="1"/>
  <c r="BV595" i="1"/>
  <c r="BU595" i="1"/>
  <c r="BO594" i="1"/>
  <c r="BW594" i="1"/>
  <c r="BV594" i="1"/>
  <c r="BU594" i="1"/>
  <c r="BO593" i="1"/>
  <c r="BW593" i="1"/>
  <c r="BV593" i="1"/>
  <c r="BU593" i="1"/>
  <c r="BO592" i="1"/>
  <c r="BW592" i="1"/>
  <c r="BV592" i="1"/>
  <c r="BU592" i="1"/>
  <c r="BO591" i="1"/>
  <c r="BW591" i="1"/>
  <c r="BV591" i="1"/>
  <c r="BU591" i="1"/>
  <c r="BO590" i="1"/>
  <c r="BW590" i="1"/>
  <c r="BV590" i="1"/>
  <c r="BU590" i="1"/>
  <c r="BO362" i="1"/>
  <c r="BW362" i="1"/>
  <c r="BU362" i="1"/>
  <c r="BO374" i="1"/>
  <c r="BW374" i="1"/>
  <c r="BU374" i="1"/>
  <c r="BO361" i="1"/>
  <c r="BW361" i="1"/>
  <c r="BU361" i="1"/>
  <c r="BO373" i="1"/>
  <c r="BW373" i="1"/>
  <c r="BU373" i="1"/>
  <c r="BO360" i="1"/>
  <c r="BW360" i="1"/>
  <c r="BU360" i="1"/>
  <c r="BO372" i="1"/>
  <c r="BW372" i="1"/>
  <c r="BU372" i="1"/>
  <c r="BO359" i="1"/>
  <c r="BW359" i="1"/>
  <c r="BU359" i="1"/>
  <c r="BO358" i="1"/>
  <c r="BW358" i="1"/>
  <c r="BV358" i="1"/>
  <c r="BU358" i="1"/>
  <c r="BO371" i="1"/>
  <c r="BW371" i="1"/>
  <c r="BU371" i="1"/>
  <c r="BO370" i="1"/>
  <c r="BW370" i="1"/>
  <c r="BU370" i="1"/>
  <c r="BO357" i="1"/>
  <c r="BW357" i="1"/>
  <c r="BU357" i="1"/>
  <c r="BO369" i="1"/>
  <c r="BW369" i="1"/>
  <c r="BU369" i="1"/>
  <c r="BO368" i="1"/>
  <c r="BW368" i="1"/>
  <c r="BU368" i="1"/>
  <c r="BO356" i="1"/>
  <c r="BW356" i="1"/>
  <c r="BU356" i="1"/>
  <c r="BO367" i="1"/>
  <c r="BW367" i="1"/>
  <c r="BU367" i="1"/>
  <c r="BO366" i="1"/>
  <c r="BW366" i="1"/>
  <c r="BU366" i="1"/>
  <c r="BO365" i="1"/>
  <c r="BW365" i="1"/>
  <c r="BU365" i="1"/>
  <c r="BO364" i="1"/>
  <c r="BW364" i="1"/>
  <c r="BU364" i="1"/>
  <c r="BO363" i="1"/>
  <c r="BW363" i="1"/>
  <c r="BU363" i="1"/>
  <c r="BO355" i="1"/>
  <c r="BW355" i="1"/>
  <c r="BU355" i="1"/>
  <c r="BO161" i="1"/>
  <c r="BW161" i="1"/>
  <c r="BV161" i="1"/>
  <c r="BU161" i="1"/>
  <c r="BO166" i="1"/>
  <c r="BW166" i="1"/>
  <c r="BV166" i="1"/>
  <c r="BU166" i="1"/>
  <c r="BO160" i="1"/>
  <c r="BW160" i="1"/>
  <c r="BV160" i="1"/>
  <c r="BU160" i="1"/>
  <c r="BO165" i="1"/>
  <c r="BW165" i="1"/>
  <c r="BU165" i="1"/>
  <c r="BO159" i="1"/>
  <c r="BW159" i="1"/>
  <c r="BU159" i="1"/>
  <c r="BO158" i="1"/>
  <c r="BW158" i="1"/>
  <c r="BV158" i="1"/>
  <c r="BU158" i="1"/>
  <c r="BO157" i="1"/>
  <c r="BW157" i="1"/>
  <c r="BU157" i="1"/>
  <c r="BO156" i="1"/>
  <c r="BW156" i="1"/>
  <c r="BU156" i="1"/>
  <c r="BO155" i="1"/>
  <c r="BW155" i="1"/>
  <c r="BU155" i="1"/>
  <c r="BO154" i="1"/>
  <c r="BW154" i="1"/>
  <c r="BV154" i="1"/>
  <c r="BU154" i="1"/>
  <c r="BO153" i="1"/>
  <c r="BW153" i="1"/>
  <c r="BV153" i="1"/>
  <c r="BU153" i="1"/>
  <c r="BO152" i="1"/>
  <c r="BW152" i="1"/>
  <c r="BU152" i="1"/>
  <c r="BO151" i="1"/>
  <c r="BW151" i="1"/>
  <c r="BV151" i="1"/>
  <c r="BU151" i="1"/>
  <c r="BO164" i="1"/>
  <c r="BW164" i="1"/>
  <c r="BU164" i="1"/>
  <c r="BO150" i="1"/>
  <c r="BW150" i="1"/>
  <c r="BU150" i="1"/>
  <c r="BO163" i="1"/>
  <c r="BW163" i="1"/>
  <c r="BU163" i="1"/>
  <c r="BO162" i="1"/>
  <c r="BW162" i="1"/>
  <c r="BV162" i="1"/>
  <c r="BU162" i="1"/>
  <c r="BO149" i="1"/>
  <c r="BW149" i="1"/>
  <c r="BU149" i="1"/>
  <c r="BO493" i="1"/>
  <c r="BW493" i="1"/>
  <c r="BV493" i="1"/>
  <c r="BU493" i="1"/>
  <c r="BO492" i="1"/>
  <c r="BW492" i="1"/>
  <c r="BV492" i="1"/>
  <c r="BU492" i="1"/>
  <c r="BO491" i="1"/>
  <c r="BW491" i="1"/>
  <c r="BV491" i="1"/>
  <c r="BU491" i="1"/>
  <c r="BO490" i="1"/>
  <c r="BW490" i="1"/>
  <c r="BV490" i="1"/>
  <c r="BU490" i="1"/>
  <c r="BO489" i="1"/>
  <c r="BW489" i="1"/>
  <c r="BV489" i="1"/>
  <c r="BU489" i="1"/>
  <c r="BO488" i="1"/>
  <c r="BW488" i="1"/>
  <c r="BV488" i="1"/>
  <c r="BU488" i="1"/>
  <c r="BO487" i="1"/>
  <c r="BW487" i="1"/>
  <c r="BV487" i="1"/>
  <c r="BU487" i="1"/>
  <c r="BO486" i="1"/>
  <c r="BW486" i="1"/>
  <c r="BV486" i="1"/>
  <c r="BU486" i="1"/>
  <c r="BO485" i="1"/>
  <c r="BW485" i="1"/>
  <c r="BV485" i="1"/>
  <c r="BU485" i="1"/>
  <c r="BO484" i="1"/>
  <c r="BW484" i="1"/>
  <c r="BV484" i="1"/>
  <c r="BU484" i="1"/>
  <c r="BO483" i="1"/>
  <c r="BW483" i="1"/>
  <c r="BV483" i="1"/>
  <c r="BU483" i="1"/>
  <c r="BO482" i="1"/>
  <c r="BW482" i="1"/>
  <c r="BV482" i="1"/>
  <c r="BU482" i="1"/>
  <c r="BO481" i="1"/>
  <c r="BW481" i="1"/>
  <c r="BV481" i="1"/>
  <c r="BU481" i="1"/>
  <c r="BO480" i="1"/>
  <c r="BW480" i="1"/>
  <c r="BV480" i="1"/>
  <c r="BU480" i="1"/>
  <c r="BO479" i="1"/>
  <c r="BW479" i="1"/>
  <c r="BV479" i="1"/>
  <c r="BU479" i="1"/>
  <c r="BO717" i="1"/>
  <c r="BW717" i="1"/>
  <c r="BV717" i="1"/>
  <c r="BU717" i="1"/>
  <c r="BO478" i="1"/>
  <c r="BW478" i="1"/>
  <c r="BV478" i="1"/>
  <c r="BU478" i="1"/>
  <c r="BO477" i="1"/>
  <c r="BW477" i="1"/>
  <c r="BV477" i="1"/>
  <c r="BU477" i="1"/>
  <c r="BO476" i="1"/>
  <c r="BW476" i="1"/>
  <c r="BV476" i="1"/>
  <c r="BU476" i="1"/>
  <c r="BO475" i="1"/>
  <c r="BW475" i="1"/>
  <c r="BV475" i="1"/>
  <c r="BU475" i="1"/>
  <c r="BO262" i="1"/>
  <c r="BW262" i="1"/>
  <c r="BU262" i="1"/>
  <c r="BO256" i="1"/>
  <c r="BW256" i="1"/>
  <c r="BU256" i="1"/>
  <c r="BO255" i="1"/>
  <c r="BW255" i="1"/>
  <c r="BU255" i="1"/>
  <c r="BO261" i="1"/>
  <c r="BW261" i="1"/>
  <c r="BU261" i="1"/>
  <c r="BO699" i="1"/>
  <c r="BW699" i="1"/>
  <c r="BV699" i="1"/>
  <c r="BU699" i="1"/>
  <c r="BO260" i="1"/>
  <c r="BW260" i="1"/>
  <c r="BV260" i="1"/>
  <c r="BU260" i="1"/>
  <c r="BO310" i="1"/>
  <c r="BW310" i="1"/>
  <c r="BV310" i="1"/>
  <c r="BU310" i="1"/>
  <c r="BO694" i="1"/>
  <c r="BW694" i="1"/>
  <c r="BU694" i="1"/>
  <c r="BO254" i="1"/>
  <c r="BW254" i="1"/>
  <c r="BU254" i="1"/>
  <c r="BO698" i="1"/>
  <c r="BW698" i="1"/>
  <c r="BU698" i="1"/>
  <c r="BO715" i="1"/>
  <c r="BW715" i="1"/>
  <c r="BV715" i="1"/>
  <c r="BU715" i="1"/>
  <c r="BO693" i="1"/>
  <c r="BW693" i="1"/>
  <c r="BU693" i="1"/>
  <c r="BO697" i="1"/>
  <c r="BW697" i="1"/>
  <c r="BV697" i="1"/>
  <c r="BU697" i="1"/>
  <c r="BO259" i="1"/>
  <c r="BW259" i="1"/>
  <c r="BU259" i="1"/>
  <c r="BO692" i="1"/>
  <c r="BW692" i="1"/>
  <c r="BU692" i="1"/>
  <c r="BO696" i="1"/>
  <c r="BW696" i="1"/>
  <c r="BU696" i="1"/>
  <c r="BO258" i="1"/>
  <c r="BW258" i="1"/>
  <c r="BU258" i="1"/>
  <c r="BO257" i="1"/>
  <c r="BW257" i="1"/>
  <c r="BU257" i="1"/>
  <c r="BO695" i="1"/>
  <c r="BW695" i="1"/>
  <c r="BU695" i="1"/>
  <c r="BO253" i="1"/>
  <c r="BW253" i="1"/>
  <c r="BU253" i="1"/>
  <c r="BO677" i="1"/>
  <c r="BW677" i="1"/>
  <c r="BV677" i="1"/>
  <c r="BU677" i="1"/>
  <c r="BO36" i="1"/>
  <c r="BW36" i="1"/>
  <c r="BU36" i="1"/>
  <c r="BO35" i="1"/>
  <c r="BW35" i="1"/>
  <c r="BU35" i="1"/>
  <c r="BO34" i="1"/>
  <c r="BW34" i="1"/>
  <c r="BV34" i="1"/>
  <c r="BU34" i="1"/>
  <c r="BO45" i="1"/>
  <c r="BW45" i="1"/>
  <c r="BV45" i="1"/>
  <c r="BU45" i="1"/>
  <c r="BO44" i="1"/>
  <c r="BW44" i="1"/>
  <c r="BU44" i="1"/>
  <c r="BO43" i="1"/>
  <c r="BW43" i="1"/>
  <c r="BU43" i="1"/>
  <c r="BO42" i="1"/>
  <c r="BW42" i="1"/>
  <c r="BU42" i="1"/>
  <c r="BO679" i="1"/>
  <c r="BW679" i="1"/>
  <c r="BV679" i="1"/>
  <c r="BU679" i="1"/>
  <c r="BO41" i="1"/>
  <c r="BW41" i="1"/>
  <c r="BV41" i="1"/>
  <c r="BU41" i="1"/>
  <c r="BO40" i="1"/>
  <c r="BW40" i="1"/>
  <c r="BU40" i="1"/>
  <c r="BO33" i="1"/>
  <c r="BW33" i="1"/>
  <c r="BV33" i="1"/>
  <c r="BU33" i="1"/>
  <c r="BO39" i="1"/>
  <c r="BW39" i="1"/>
  <c r="BU39" i="1"/>
  <c r="BO678" i="1"/>
  <c r="BW678" i="1"/>
  <c r="BU678" i="1"/>
  <c r="BO32" i="1"/>
  <c r="BW32" i="1"/>
  <c r="BU32" i="1"/>
  <c r="BO31" i="1"/>
  <c r="BW31" i="1"/>
  <c r="BU31" i="1"/>
  <c r="BO38" i="1"/>
  <c r="BW38" i="1"/>
  <c r="BU38" i="1"/>
  <c r="BO37" i="1"/>
  <c r="BW37" i="1" s="1"/>
  <c r="BU37" i="1"/>
  <c r="BO721" i="1"/>
  <c r="BW721" i="1" s="1"/>
  <c r="BU721" i="1"/>
  <c r="BO589" i="1"/>
  <c r="BW589" i="1"/>
  <c r="BU589" i="1"/>
  <c r="BO588" i="1"/>
  <c r="BW588" i="1"/>
  <c r="BV588" i="1"/>
  <c r="BU588" i="1"/>
  <c r="BO587" i="1"/>
  <c r="BW587" i="1"/>
  <c r="BV587" i="1"/>
  <c r="BU587" i="1"/>
  <c r="BO586" i="1"/>
  <c r="BW586" i="1"/>
  <c r="BV586" i="1"/>
  <c r="BU586" i="1"/>
  <c r="BO585" i="1"/>
  <c r="BW585" i="1"/>
  <c r="BV585" i="1"/>
  <c r="BU585" i="1"/>
  <c r="BO584" i="1"/>
  <c r="BW584" i="1"/>
  <c r="BV584" i="1"/>
  <c r="BU584" i="1"/>
  <c r="BO583" i="1"/>
  <c r="BW583" i="1"/>
  <c r="BV583" i="1"/>
  <c r="BU583" i="1"/>
  <c r="BO582" i="1"/>
  <c r="BW582" i="1"/>
  <c r="BV582" i="1"/>
  <c r="BU582" i="1"/>
  <c r="BO581" i="1"/>
  <c r="BW581" i="1"/>
  <c r="BV581" i="1"/>
  <c r="BU581" i="1"/>
  <c r="BO580" i="1"/>
  <c r="BW580" i="1"/>
  <c r="BV580" i="1"/>
  <c r="BU580" i="1"/>
  <c r="BO579" i="1"/>
  <c r="BW579" i="1"/>
  <c r="BV579" i="1"/>
  <c r="BU579" i="1"/>
  <c r="BO578" i="1"/>
  <c r="BW578" i="1"/>
  <c r="BV578" i="1"/>
  <c r="BU578" i="1"/>
  <c r="BO577" i="1"/>
  <c r="BW577" i="1" s="1"/>
  <c r="BV577" i="1"/>
  <c r="BU577" i="1"/>
  <c r="BO576" i="1"/>
  <c r="BW576" i="1" s="1"/>
  <c r="BU576" i="1"/>
  <c r="BO575" i="1"/>
  <c r="BW575" i="1"/>
  <c r="BV575" i="1"/>
  <c r="BU575" i="1"/>
  <c r="BO574" i="1"/>
  <c r="BW574" i="1"/>
  <c r="BU574" i="1"/>
  <c r="BO573" i="1"/>
  <c r="BW573" i="1" s="1"/>
  <c r="BV573" i="1"/>
  <c r="BU573" i="1"/>
  <c r="BO572" i="1"/>
  <c r="BW572" i="1" s="1"/>
  <c r="BV572" i="1"/>
  <c r="BU572" i="1"/>
  <c r="BO571" i="1"/>
  <c r="BW571" i="1" s="1"/>
  <c r="BV571" i="1"/>
  <c r="BU571" i="1"/>
  <c r="BO342" i="1"/>
  <c r="BW342" i="1" s="1"/>
  <c r="BV342" i="1"/>
  <c r="BU342" i="1"/>
  <c r="BO341" i="1"/>
  <c r="BW341" i="1" s="1"/>
  <c r="BU341" i="1"/>
  <c r="BO340" i="1"/>
  <c r="BW340" i="1"/>
  <c r="BV340" i="1"/>
  <c r="BU340" i="1"/>
  <c r="BO354" i="1"/>
  <c r="BW354" i="1"/>
  <c r="BU354" i="1"/>
  <c r="BO353" i="1"/>
  <c r="BW353" i="1"/>
  <c r="BU353" i="1"/>
  <c r="BO352" i="1"/>
  <c r="BW352" i="1" s="1"/>
  <c r="BU352" i="1"/>
  <c r="BO351" i="1"/>
  <c r="BW351" i="1" s="1"/>
  <c r="BU351" i="1"/>
  <c r="BO350" i="1"/>
  <c r="BW350" i="1"/>
  <c r="BU350" i="1"/>
  <c r="BO349" i="1"/>
  <c r="BW349" i="1"/>
  <c r="BU349" i="1"/>
  <c r="BO348" i="1"/>
  <c r="BW348" i="1" s="1"/>
  <c r="BU348" i="1"/>
  <c r="BO339" i="1"/>
  <c r="BW339" i="1" s="1"/>
  <c r="BU339" i="1"/>
  <c r="BO338" i="1"/>
  <c r="BW338" i="1"/>
  <c r="BU338" i="1"/>
  <c r="BO337" i="1"/>
  <c r="BW337" i="1"/>
  <c r="BU337" i="1"/>
  <c r="BO336" i="1"/>
  <c r="BW336" i="1"/>
  <c r="BU336" i="1"/>
  <c r="BO347" i="1"/>
  <c r="BW347" i="1"/>
  <c r="BU347" i="1"/>
  <c r="BO335" i="1"/>
  <c r="BW335" i="1"/>
  <c r="BU335" i="1"/>
  <c r="BO346" i="1"/>
  <c r="BW346" i="1"/>
  <c r="BU346" i="1"/>
  <c r="BO345" i="1"/>
  <c r="BW345" i="1"/>
  <c r="BU345" i="1"/>
  <c r="BO344" i="1"/>
  <c r="BW344" i="1"/>
  <c r="BU344" i="1"/>
  <c r="BO343" i="1"/>
  <c r="BW343" i="1"/>
  <c r="BU343" i="1"/>
  <c r="BO147" i="1"/>
  <c r="BW147" i="1"/>
  <c r="BU147" i="1"/>
  <c r="BO146" i="1"/>
  <c r="BW146" i="1"/>
  <c r="BU146" i="1"/>
  <c r="BO140" i="1"/>
  <c r="BW140" i="1"/>
  <c r="BV140" i="1"/>
  <c r="BU140" i="1"/>
  <c r="BO145" i="1"/>
  <c r="BW145" i="1"/>
  <c r="BU145" i="1"/>
  <c r="BO139" i="1"/>
  <c r="BW139" i="1"/>
  <c r="BU139" i="1"/>
  <c r="BO144" i="1"/>
  <c r="BW144" i="1"/>
  <c r="BV144" i="1"/>
  <c r="BU144" i="1"/>
  <c r="BO138" i="1"/>
  <c r="BW138" i="1"/>
  <c r="BU138" i="1"/>
  <c r="BO137" i="1"/>
  <c r="BW137" i="1"/>
  <c r="BU137" i="1"/>
  <c r="BO136" i="1"/>
  <c r="BW136" i="1"/>
  <c r="BV136" i="1"/>
  <c r="BU136" i="1"/>
  <c r="BO135" i="1"/>
  <c r="BW135" i="1"/>
  <c r="BU135" i="1"/>
  <c r="BO134" i="1"/>
  <c r="BW134" i="1"/>
  <c r="BV134" i="1"/>
  <c r="BU134" i="1"/>
  <c r="BO133" i="1"/>
  <c r="BW133" i="1"/>
  <c r="BU133" i="1"/>
  <c r="BO132" i="1"/>
  <c r="BW132" i="1"/>
  <c r="BU132" i="1"/>
  <c r="BO143" i="1"/>
  <c r="BW143" i="1"/>
  <c r="BU143" i="1"/>
  <c r="BO131" i="1"/>
  <c r="BW131" i="1"/>
  <c r="BU131" i="1"/>
  <c r="BO142" i="1"/>
  <c r="BW142" i="1"/>
  <c r="BU142" i="1"/>
  <c r="BO130" i="1"/>
  <c r="BW130" i="1"/>
  <c r="BV130" i="1"/>
  <c r="BU130" i="1"/>
  <c r="BO141" i="1"/>
  <c r="BW141" i="1"/>
  <c r="BU141" i="1"/>
  <c r="BO129" i="1"/>
  <c r="BW129" i="1"/>
  <c r="BU129" i="1"/>
  <c r="BO474" i="1"/>
  <c r="BW474" i="1"/>
  <c r="BV474" i="1"/>
  <c r="BU474" i="1"/>
  <c r="BO473" i="1"/>
  <c r="BW473" i="1"/>
  <c r="BV473" i="1"/>
  <c r="BU473" i="1"/>
  <c r="BO472" i="1"/>
  <c r="BW472" i="1"/>
  <c r="BV472" i="1"/>
  <c r="BU472" i="1"/>
  <c r="BO471" i="1"/>
  <c r="BW471" i="1" s="1"/>
  <c r="BV471" i="1"/>
  <c r="BU471" i="1"/>
  <c r="BO470" i="1"/>
  <c r="BW470" i="1" s="1"/>
  <c r="BV470" i="1"/>
  <c r="BU470" i="1"/>
  <c r="BO469" i="1"/>
  <c r="BW469" i="1" s="1"/>
  <c r="BU469" i="1"/>
  <c r="BO468" i="1"/>
  <c r="BW468" i="1" s="1"/>
  <c r="BV468" i="1"/>
  <c r="BU468" i="1"/>
  <c r="BO467" i="1"/>
  <c r="BW467" i="1" s="1"/>
  <c r="BV467" i="1"/>
  <c r="BU467" i="1"/>
  <c r="BO466" i="1"/>
  <c r="BW466" i="1" s="1"/>
  <c r="BV466" i="1"/>
  <c r="BU466" i="1"/>
  <c r="BO465" i="1"/>
  <c r="BW465" i="1" s="1"/>
  <c r="BV465" i="1"/>
  <c r="BU465" i="1"/>
  <c r="BO464" i="1"/>
  <c r="BW464" i="1" s="1"/>
  <c r="BV464" i="1"/>
  <c r="BU464" i="1"/>
  <c r="BO463" i="1"/>
  <c r="BW463" i="1" s="1"/>
  <c r="BV463" i="1"/>
  <c r="BU463" i="1"/>
  <c r="BO462" i="1"/>
  <c r="BW462" i="1" s="1"/>
  <c r="BV462" i="1"/>
  <c r="BU462" i="1"/>
  <c r="BO461" i="1"/>
  <c r="BW461" i="1" s="1"/>
  <c r="BV461" i="1"/>
  <c r="BU461" i="1"/>
  <c r="BO460" i="1"/>
  <c r="BW460" i="1" s="1"/>
  <c r="BV460" i="1"/>
  <c r="BU460" i="1"/>
  <c r="BO459" i="1"/>
  <c r="BW459" i="1" s="1"/>
  <c r="BV459" i="1"/>
  <c r="BU459" i="1"/>
  <c r="BO458" i="1"/>
  <c r="BW458" i="1" s="1"/>
  <c r="BU458" i="1"/>
  <c r="BO457" i="1"/>
  <c r="BW457" i="1" s="1"/>
  <c r="BV457" i="1"/>
  <c r="BU457" i="1"/>
  <c r="BO456" i="1"/>
  <c r="BW456" i="1" s="1"/>
  <c r="BV456" i="1"/>
  <c r="BU456" i="1"/>
  <c r="BO455" i="1"/>
  <c r="BW455" i="1" s="1"/>
  <c r="BV455" i="1"/>
  <c r="BU455" i="1"/>
  <c r="BO249" i="1"/>
  <c r="BW249" i="1" s="1"/>
  <c r="BU249" i="1"/>
  <c r="BO716" i="1"/>
  <c r="BW716" i="1" s="1"/>
  <c r="BU716" i="1"/>
  <c r="BO248" i="1"/>
  <c r="BW248" i="1" s="1"/>
  <c r="BU248" i="1"/>
  <c r="BO247" i="1"/>
  <c r="BW247" i="1" s="1"/>
  <c r="BV247" i="1"/>
  <c r="BU247" i="1"/>
  <c r="BO246" i="1"/>
  <c r="BW246" i="1" s="1"/>
  <c r="BU246" i="1"/>
  <c r="BO245" i="1"/>
  <c r="BW245" i="1" s="1"/>
  <c r="BU245" i="1"/>
  <c r="BO244" i="1"/>
  <c r="BW244" i="1" s="1"/>
  <c r="BU244" i="1"/>
  <c r="BO689" i="1"/>
  <c r="BW689" i="1" s="1"/>
  <c r="BV689" i="1"/>
  <c r="BU689" i="1"/>
  <c r="BO309" i="1"/>
  <c r="BW309" i="1" s="1"/>
  <c r="BV309" i="1"/>
  <c r="BU309" i="1"/>
  <c r="BO243" i="1"/>
  <c r="BW243" i="1" s="1"/>
  <c r="BU243" i="1"/>
  <c r="BO242" i="1"/>
  <c r="BW242" i="1" s="1"/>
  <c r="BU242" i="1"/>
  <c r="BO252" i="1"/>
  <c r="BW252" i="1" s="1"/>
  <c r="BU252" i="1"/>
  <c r="BO691" i="1"/>
  <c r="BW691" i="1" s="1"/>
  <c r="BU691" i="1"/>
  <c r="BO714" i="1"/>
  <c r="BW714" i="1" s="1"/>
  <c r="BU714" i="1"/>
  <c r="BO241" i="1"/>
  <c r="BW241" i="1" s="1"/>
  <c r="BV241" i="1"/>
  <c r="BU241" i="1"/>
  <c r="BO251" i="1"/>
  <c r="BW251" i="1" s="1"/>
  <c r="BV251" i="1"/>
  <c r="BU251" i="1"/>
  <c r="BO250" i="1"/>
  <c r="BW250" i="1" s="1"/>
  <c r="BU250" i="1"/>
  <c r="BO690" i="1"/>
  <c r="BW690" i="1" s="1"/>
  <c r="BU690" i="1"/>
  <c r="BO240" i="1"/>
  <c r="BW240" i="1" s="1"/>
  <c r="BV240" i="1"/>
  <c r="BU240" i="1"/>
  <c r="BO239" i="1"/>
  <c r="BW239" i="1" s="1"/>
  <c r="BU239" i="1"/>
  <c r="BO30" i="1"/>
  <c r="BW30" i="1" s="1"/>
  <c r="BU30" i="1"/>
  <c r="BO99" i="1"/>
  <c r="BW99" i="1" s="1"/>
  <c r="BU99" i="1"/>
  <c r="BO29" i="1"/>
  <c r="BW29" i="1" s="1"/>
  <c r="BU29" i="1"/>
  <c r="BO681" i="1"/>
  <c r="BW681" i="1" s="1"/>
  <c r="BV681" i="1"/>
  <c r="BU681" i="1"/>
  <c r="BO102" i="1"/>
  <c r="BW102" i="1" s="1"/>
  <c r="BU102" i="1"/>
  <c r="BO25" i="1"/>
  <c r="BW25" i="1" s="1"/>
  <c r="BU25" i="1"/>
  <c r="BO28" i="1"/>
  <c r="BW28" i="1" s="1"/>
  <c r="BU28" i="1"/>
  <c r="BO24" i="1"/>
  <c r="BW24" i="1" s="1"/>
  <c r="BU24" i="1"/>
  <c r="BO27" i="1"/>
  <c r="BW27" i="1" s="1"/>
  <c r="BU27" i="1"/>
  <c r="BO26" i="1"/>
  <c r="BW26" i="1" s="1"/>
  <c r="BU26" i="1"/>
  <c r="BO682" i="1"/>
  <c r="BW682" i="1" s="1"/>
  <c r="BU682" i="1"/>
  <c r="BO676" i="1"/>
  <c r="BW676" i="1" s="1"/>
  <c r="BU676" i="1"/>
  <c r="BO23" i="1"/>
  <c r="BW23" i="1" s="1"/>
  <c r="BU23" i="1"/>
  <c r="BO22" i="1"/>
  <c r="BW22" i="1" s="1"/>
  <c r="BU22" i="1"/>
  <c r="BO21" i="1"/>
  <c r="BW21" i="1" s="1"/>
  <c r="BU21" i="1"/>
  <c r="BO20" i="1"/>
  <c r="BW20" i="1" s="1"/>
  <c r="BU20" i="1"/>
  <c r="BO19" i="1"/>
  <c r="BW19" i="1" s="1"/>
  <c r="BU19" i="1"/>
  <c r="BO675" i="1"/>
  <c r="BW675" i="1" s="1"/>
  <c r="BU675" i="1"/>
  <c r="BO18" i="1"/>
  <c r="BW18" i="1" s="1"/>
  <c r="BU18" i="1"/>
  <c r="BO674" i="1"/>
  <c r="BW674" i="1" s="1"/>
  <c r="BU674" i="1"/>
  <c r="BO570" i="1"/>
  <c r="BW570" i="1" s="1"/>
  <c r="BV570" i="1"/>
  <c r="BU570" i="1"/>
  <c r="BO569" i="1"/>
  <c r="BW569" i="1" s="1"/>
  <c r="BV569" i="1"/>
  <c r="BU569" i="1"/>
  <c r="BO568" i="1"/>
  <c r="BW568" i="1" s="1"/>
  <c r="BV568" i="1"/>
  <c r="BU568" i="1"/>
  <c r="BO567" i="1"/>
  <c r="BW567" i="1" s="1"/>
  <c r="BV567" i="1"/>
  <c r="BU567" i="1"/>
  <c r="BO566" i="1"/>
  <c r="BW566" i="1" s="1"/>
  <c r="BV566" i="1"/>
  <c r="BU566" i="1"/>
  <c r="BO565" i="1"/>
  <c r="BW565" i="1" s="1"/>
  <c r="BV565" i="1"/>
  <c r="BU565" i="1"/>
  <c r="BO564" i="1"/>
  <c r="BW564" i="1" s="1"/>
  <c r="BV564" i="1"/>
  <c r="BU564" i="1"/>
  <c r="BO563" i="1"/>
  <c r="BW563" i="1" s="1"/>
  <c r="BV563" i="1"/>
  <c r="BU563" i="1"/>
  <c r="BO562" i="1"/>
  <c r="BW562" i="1" s="1"/>
  <c r="BV562" i="1"/>
  <c r="BU562" i="1"/>
  <c r="BO561" i="1"/>
  <c r="BW561" i="1" s="1"/>
  <c r="BV561" i="1"/>
  <c r="BU561" i="1"/>
  <c r="BO560" i="1"/>
  <c r="BW560" i="1" s="1"/>
  <c r="BV560" i="1"/>
  <c r="BU560" i="1"/>
  <c r="BO559" i="1"/>
  <c r="BW559" i="1" s="1"/>
  <c r="BV559" i="1"/>
  <c r="BU559" i="1"/>
  <c r="BO558" i="1"/>
  <c r="BW558" i="1" s="1"/>
  <c r="BV558" i="1"/>
  <c r="BU558" i="1"/>
  <c r="BO557" i="1"/>
  <c r="BW557" i="1" s="1"/>
  <c r="BV557" i="1"/>
  <c r="BU557" i="1"/>
  <c r="BO556" i="1"/>
  <c r="BW556" i="1" s="1"/>
  <c r="BV556" i="1"/>
  <c r="BU556" i="1"/>
  <c r="BO555" i="1"/>
  <c r="BW555" i="1" s="1"/>
  <c r="BV555" i="1"/>
  <c r="BU555" i="1"/>
  <c r="BO554" i="1"/>
  <c r="BW554" i="1" s="1"/>
  <c r="BV554" i="1"/>
  <c r="BU554" i="1"/>
  <c r="BO553" i="1"/>
  <c r="BW553" i="1" s="1"/>
  <c r="BV553" i="1"/>
  <c r="BU553" i="1"/>
  <c r="BO552" i="1"/>
  <c r="BW552" i="1" s="1"/>
  <c r="BV552" i="1"/>
  <c r="BU552" i="1"/>
  <c r="BO551" i="1"/>
  <c r="BW551" i="1" s="1"/>
  <c r="BV551" i="1"/>
  <c r="BU551" i="1"/>
  <c r="BO328" i="1"/>
  <c r="BW328" i="1" s="1"/>
  <c r="BU328" i="1"/>
  <c r="BO327" i="1"/>
  <c r="BW327" i="1" s="1"/>
  <c r="BU327" i="1"/>
  <c r="BO326" i="1"/>
  <c r="BW326" i="1" s="1"/>
  <c r="BV326" i="1"/>
  <c r="BU326" i="1"/>
  <c r="BO334" i="1"/>
  <c r="BW334" i="1" s="1"/>
  <c r="BU334" i="1"/>
  <c r="BO325" i="1"/>
  <c r="BW325" i="1" s="1"/>
  <c r="BU325" i="1"/>
  <c r="BO333" i="1"/>
  <c r="BW333" i="1" s="1"/>
  <c r="BU333" i="1"/>
  <c r="BO324" i="1"/>
  <c r="BW324" i="1" s="1"/>
  <c r="BV324" i="1"/>
  <c r="BU324" i="1"/>
  <c r="BO323" i="1"/>
  <c r="BW323" i="1" s="1"/>
  <c r="BV323" i="1"/>
  <c r="BU323" i="1"/>
  <c r="BO322" i="1"/>
  <c r="BW322" i="1" s="1"/>
  <c r="BV322" i="1"/>
  <c r="BU322" i="1"/>
  <c r="BO332" i="1"/>
  <c r="BW332" i="1" s="1"/>
  <c r="BU332" i="1"/>
  <c r="BO321" i="1"/>
  <c r="BW321" i="1" s="1"/>
  <c r="BU321" i="1"/>
  <c r="BO331" i="1"/>
  <c r="BW331" i="1" s="1"/>
  <c r="BU331" i="1"/>
  <c r="BO320" i="1"/>
  <c r="BW320" i="1" s="1"/>
  <c r="BU320" i="1"/>
  <c r="BO330" i="1"/>
  <c r="BW330" i="1" s="1"/>
  <c r="BU330" i="1"/>
  <c r="BO319" i="1"/>
  <c r="BW319" i="1" s="1"/>
  <c r="BU319" i="1"/>
  <c r="BO318" i="1"/>
  <c r="BW318" i="1" s="1"/>
  <c r="BU318" i="1"/>
  <c r="BO317" i="1"/>
  <c r="BW317" i="1" s="1"/>
  <c r="BU317" i="1"/>
  <c r="BO316" i="1"/>
  <c r="BW316" i="1" s="1"/>
  <c r="BV316" i="1"/>
  <c r="BU316" i="1"/>
  <c r="BO329" i="1"/>
  <c r="BW329" i="1" s="1"/>
  <c r="BU329" i="1"/>
  <c r="BO315" i="1"/>
  <c r="BW315" i="1" s="1"/>
  <c r="BV315" i="1"/>
  <c r="BU315" i="1"/>
  <c r="BO125" i="1"/>
  <c r="BW125" i="1" s="1"/>
  <c r="BV125" i="1"/>
  <c r="BU125" i="1"/>
  <c r="BO124" i="1"/>
  <c r="BW124" i="1" s="1"/>
  <c r="BU124" i="1"/>
  <c r="BO123" i="1"/>
  <c r="BW123" i="1" s="1"/>
  <c r="BU123" i="1"/>
  <c r="BO122" i="1"/>
  <c r="BW122" i="1" s="1"/>
  <c r="BV122" i="1"/>
  <c r="BU122" i="1"/>
  <c r="BO121" i="1"/>
  <c r="BW121" i="1" s="1"/>
  <c r="BV121" i="1"/>
  <c r="BU121" i="1"/>
  <c r="BO120" i="1"/>
  <c r="BW120" i="1" s="1"/>
  <c r="BU120" i="1"/>
  <c r="BO119" i="1"/>
  <c r="BW119" i="1" s="1"/>
  <c r="BV119" i="1"/>
  <c r="BU119" i="1"/>
  <c r="BO118" i="1"/>
  <c r="BW118" i="1" s="1"/>
  <c r="BV118" i="1"/>
  <c r="BU118" i="1"/>
  <c r="BO117" i="1"/>
  <c r="BW117" i="1" s="1"/>
  <c r="BV117" i="1"/>
  <c r="BU117" i="1"/>
  <c r="BO127" i="1"/>
  <c r="BW127" i="1" s="1"/>
  <c r="BV127" i="1"/>
  <c r="BU127" i="1"/>
  <c r="BO116" i="1"/>
  <c r="BW116" i="1" s="1"/>
  <c r="BU116" i="1"/>
  <c r="BO115" i="1"/>
  <c r="BW115" i="1" s="1"/>
  <c r="BV115" i="1"/>
  <c r="BU115" i="1"/>
  <c r="BO126" i="1"/>
  <c r="BW126" i="1" s="1"/>
  <c r="BU126" i="1"/>
  <c r="BO114" i="1"/>
  <c r="BW114" i="1" s="1"/>
  <c r="BV114" i="1"/>
  <c r="BU114" i="1"/>
  <c r="BO113" i="1"/>
  <c r="BW113" i="1" s="1"/>
  <c r="BU113" i="1"/>
  <c r="BO112" i="1"/>
  <c r="BW112" i="1" s="1"/>
  <c r="BU112" i="1"/>
  <c r="BO111" i="1"/>
  <c r="BW111" i="1" s="1"/>
  <c r="BV111" i="1"/>
  <c r="BU111" i="1"/>
  <c r="BO110" i="1"/>
  <c r="BW110" i="1" s="1"/>
  <c r="BU110" i="1"/>
  <c r="BO109" i="1"/>
  <c r="BW109" i="1" s="1"/>
  <c r="BV109" i="1"/>
  <c r="BU109" i="1"/>
  <c r="BO454" i="1"/>
  <c r="BW454" i="1" s="1"/>
  <c r="BV454" i="1"/>
  <c r="BU454" i="1"/>
  <c r="BO453" i="1"/>
  <c r="BW453" i="1" s="1"/>
  <c r="BV453" i="1"/>
  <c r="BU453" i="1"/>
  <c r="BO452" i="1"/>
  <c r="BW452" i="1" s="1"/>
  <c r="BV452" i="1"/>
  <c r="BU452" i="1"/>
  <c r="BO451" i="1"/>
  <c r="BW451" i="1" s="1"/>
  <c r="BV451" i="1"/>
  <c r="BU451" i="1"/>
  <c r="BO450" i="1"/>
  <c r="BW450" i="1" s="1"/>
  <c r="BV450" i="1"/>
  <c r="BU450" i="1"/>
  <c r="BO449" i="1"/>
  <c r="BW449" i="1" s="1"/>
  <c r="BV449" i="1"/>
  <c r="BU449" i="1"/>
  <c r="BO448" i="1"/>
  <c r="BW448" i="1" s="1"/>
  <c r="BV448" i="1"/>
  <c r="BU448" i="1"/>
  <c r="BO447" i="1"/>
  <c r="BW447" i="1" s="1"/>
  <c r="BV447" i="1"/>
  <c r="BU447" i="1"/>
  <c r="BO446" i="1"/>
  <c r="BW446" i="1" s="1"/>
  <c r="BV446" i="1"/>
  <c r="BU446" i="1"/>
  <c r="BO445" i="1"/>
  <c r="BW445" i="1" s="1"/>
  <c r="BV445" i="1"/>
  <c r="BU445" i="1"/>
  <c r="BO444" i="1"/>
  <c r="BW444" i="1" s="1"/>
  <c r="BV444" i="1"/>
  <c r="BU444" i="1"/>
  <c r="BO443" i="1"/>
  <c r="BW443" i="1" s="1"/>
  <c r="BV443" i="1"/>
  <c r="BU443" i="1"/>
  <c r="BO442" i="1"/>
  <c r="BW442" i="1" s="1"/>
  <c r="BV442" i="1"/>
  <c r="BU442" i="1"/>
  <c r="BO441" i="1"/>
  <c r="BW441" i="1" s="1"/>
  <c r="BV441" i="1"/>
  <c r="BU441" i="1"/>
  <c r="BO440" i="1"/>
  <c r="BW440" i="1" s="1"/>
  <c r="BV440" i="1"/>
  <c r="BU440" i="1"/>
  <c r="BO439" i="1"/>
  <c r="BW439" i="1" s="1"/>
  <c r="BV439" i="1"/>
  <c r="BU439" i="1"/>
  <c r="BO438" i="1"/>
  <c r="BW438" i="1" s="1"/>
  <c r="BV438" i="1"/>
  <c r="BU438" i="1"/>
  <c r="BO437" i="1"/>
  <c r="BW437" i="1" s="1"/>
  <c r="BV437" i="1"/>
  <c r="BU437" i="1"/>
  <c r="BO436" i="1"/>
  <c r="BW436" i="1" s="1"/>
  <c r="BV436" i="1"/>
  <c r="BU436" i="1"/>
  <c r="BO435" i="1"/>
  <c r="BW435" i="1" s="1"/>
  <c r="BV435" i="1"/>
  <c r="BU435" i="1"/>
  <c r="BO307" i="1"/>
  <c r="BW307" i="1" s="1"/>
  <c r="BV307" i="1"/>
  <c r="BU307" i="1"/>
  <c r="BO688" i="1"/>
  <c r="BW688" i="1" s="1"/>
  <c r="BU688" i="1"/>
  <c r="BO687" i="1"/>
  <c r="BW687" i="1" s="1"/>
  <c r="BU687" i="1"/>
  <c r="BO686" i="1"/>
  <c r="BW686" i="1" s="1"/>
  <c r="BU686" i="1"/>
  <c r="BO236" i="1"/>
  <c r="BW236" i="1" s="1"/>
  <c r="BV236" i="1"/>
  <c r="BU236" i="1"/>
  <c r="BO685" i="1"/>
  <c r="BW685" i="1" s="1"/>
  <c r="BU685" i="1"/>
  <c r="BO684" i="1"/>
  <c r="BW684" i="1" s="1"/>
  <c r="BU684" i="1"/>
  <c r="BO235" i="1"/>
  <c r="BW235" i="1" s="1"/>
  <c r="BV235" i="1"/>
  <c r="BU235" i="1"/>
  <c r="BO683" i="1"/>
  <c r="BW683" i="1" s="1"/>
  <c r="BV683" i="1"/>
  <c r="BU683" i="1"/>
  <c r="BO234" i="1"/>
  <c r="BW234" i="1" s="1"/>
  <c r="BV234" i="1"/>
  <c r="BU234" i="1"/>
  <c r="BO711" i="1"/>
  <c r="BW711" i="1" s="1"/>
  <c r="BU711" i="1"/>
  <c r="BO233" i="1"/>
  <c r="BW233" i="1" s="1"/>
  <c r="BU233" i="1"/>
  <c r="BO232" i="1"/>
  <c r="BW232" i="1" s="1"/>
  <c r="BV232" i="1"/>
  <c r="BU232" i="1"/>
  <c r="BO238" i="1"/>
  <c r="BW238" i="1" s="1"/>
  <c r="BU238" i="1"/>
  <c r="BO231" i="1"/>
  <c r="BW231" i="1" s="1"/>
  <c r="BU231" i="1"/>
  <c r="BO237" i="1"/>
  <c r="BW237" i="1" s="1"/>
  <c r="BU237" i="1"/>
  <c r="BO230" i="1"/>
  <c r="BW230" i="1" s="1"/>
  <c r="BV230" i="1"/>
  <c r="BU230" i="1"/>
  <c r="BO229" i="1"/>
  <c r="BW229" i="1" s="1"/>
  <c r="BV229" i="1"/>
  <c r="BU229" i="1"/>
  <c r="BO713" i="1"/>
  <c r="BW713" i="1" s="1"/>
  <c r="BU713" i="1"/>
  <c r="BO712" i="1"/>
  <c r="BW712" i="1" s="1"/>
  <c r="BU712" i="1"/>
  <c r="BO673" i="1"/>
  <c r="BW673" i="1" s="1"/>
  <c r="BV673" i="1"/>
  <c r="BU673" i="1"/>
  <c r="BO15" i="1"/>
  <c r="BW15" i="1" s="1"/>
  <c r="BU15" i="1"/>
  <c r="BO14" i="1"/>
  <c r="BW14" i="1" s="1"/>
  <c r="BU14" i="1"/>
  <c r="BO672" i="1"/>
  <c r="BW672" i="1" s="1"/>
  <c r="BV672" i="1"/>
  <c r="BU672" i="1"/>
  <c r="BO13" i="1"/>
  <c r="BW13" i="1" s="1"/>
  <c r="BV13" i="1"/>
  <c r="BU13" i="1"/>
  <c r="BO12" i="1"/>
  <c r="BW12" i="1" s="1"/>
  <c r="BV12" i="1"/>
  <c r="BU12" i="1"/>
  <c r="BO11" i="1"/>
  <c r="BW11" i="1" s="1"/>
  <c r="BU11" i="1"/>
  <c r="BO10" i="1"/>
  <c r="BW10" i="1" s="1"/>
  <c r="BV10" i="1"/>
  <c r="BU10" i="1"/>
  <c r="BO9" i="1"/>
  <c r="BW9" i="1" s="1"/>
  <c r="BU9" i="1"/>
  <c r="BO8" i="1"/>
  <c r="BW8" i="1" s="1"/>
  <c r="BU8" i="1"/>
  <c r="BO17" i="1"/>
  <c r="BW17" i="1" s="1"/>
  <c r="BU17" i="1"/>
  <c r="BO7" i="1"/>
  <c r="BW7" i="1" s="1"/>
  <c r="BV7" i="1"/>
  <c r="BU7" i="1"/>
  <c r="BO6" i="1"/>
  <c r="BW6" i="1"/>
  <c r="BU6" i="1"/>
  <c r="BO5" i="1"/>
  <c r="BW5" i="1"/>
  <c r="BU5" i="1"/>
  <c r="BO4" i="1"/>
  <c r="BW4" i="1"/>
  <c r="BV4" i="1"/>
  <c r="BU4" i="1"/>
  <c r="BO16" i="1"/>
  <c r="BW16" i="1"/>
  <c r="BU16" i="1"/>
  <c r="BO3" i="1"/>
  <c r="BW3" i="1"/>
  <c r="BU3" i="1"/>
  <c r="BO2" i="1"/>
  <c r="BW2" i="1"/>
  <c r="BU2" i="1"/>
  <c r="BO61" i="1"/>
  <c r="BL301" i="1"/>
  <c r="BV301" i="1" s="1"/>
  <c r="BL294" i="1"/>
  <c r="BV294" i="1" s="1"/>
  <c r="BL706" i="1"/>
  <c r="BV706" i="1" s="1"/>
  <c r="BL293" i="1"/>
  <c r="BV293" i="1" s="1"/>
  <c r="BL299" i="1"/>
  <c r="BV299" i="1" s="1"/>
  <c r="BL306" i="1"/>
  <c r="BV306" i="1" s="1"/>
  <c r="BL308" i="1"/>
  <c r="BV308" i="1" s="1"/>
  <c r="BL303" i="1"/>
  <c r="BV303" i="1" s="1"/>
  <c r="BL302" i="1"/>
  <c r="BV302" i="1" s="1"/>
  <c r="BL710" i="1"/>
  <c r="BV710" i="1" s="1"/>
  <c r="BL297" i="1"/>
  <c r="BV297" i="1" s="1"/>
  <c r="BL100" i="1"/>
  <c r="BV100" i="1" s="1"/>
  <c r="BL81" i="1"/>
  <c r="BV81" i="1" s="1"/>
  <c r="BL98" i="1"/>
  <c r="BV98" i="1" s="1"/>
  <c r="BL59" i="1"/>
  <c r="BV59" i="1" s="1"/>
  <c r="BL60" i="1"/>
  <c r="BV60" i="1" s="1"/>
  <c r="BL55" i="1"/>
  <c r="BV55" i="1" s="1"/>
  <c r="BL53" i="1"/>
  <c r="BV53" i="1" s="1"/>
  <c r="BL48" i="1"/>
  <c r="BV48" i="1" s="1"/>
  <c r="BL378" i="1"/>
  <c r="BV378" i="1" s="1"/>
  <c r="BL268" i="1"/>
  <c r="BV268" i="1" s="1"/>
  <c r="BL304" i="1"/>
  <c r="BV304" i="1" s="1"/>
  <c r="BL305" i="1"/>
  <c r="BV305" i="1" s="1"/>
  <c r="BL701" i="1"/>
  <c r="BV701" i="1" s="1"/>
  <c r="BL267" i="1"/>
  <c r="BV267" i="1" s="1"/>
  <c r="BL272" i="1"/>
  <c r="BV272" i="1" s="1"/>
  <c r="BL700" i="1"/>
  <c r="BV700" i="1" s="1"/>
  <c r="BL271" i="1"/>
  <c r="BV271" i="1" s="1"/>
  <c r="BL266" i="1"/>
  <c r="BV266" i="1" s="1"/>
  <c r="BL265" i="1"/>
  <c r="BV265" i="1" s="1"/>
  <c r="BL264" i="1"/>
  <c r="BV264" i="1" s="1"/>
  <c r="BL54" i="1"/>
  <c r="BV54" i="1" s="1"/>
  <c r="BL51" i="1"/>
  <c r="BV51" i="1" s="1"/>
  <c r="BL62" i="1"/>
  <c r="BV62" i="1" s="1"/>
  <c r="BL283" i="1"/>
  <c r="BV283" i="1" s="1"/>
  <c r="BL282" i="1"/>
  <c r="BV282" i="1" s="1"/>
  <c r="BL281" i="1"/>
  <c r="BV281" i="1" s="1"/>
  <c r="BL291" i="1"/>
  <c r="BV291" i="1" s="1"/>
  <c r="BL280" i="1"/>
  <c r="BV280" i="1" s="1"/>
  <c r="BL279" i="1"/>
  <c r="BV279" i="1" s="1"/>
  <c r="BL278" i="1"/>
  <c r="BV278" i="1" s="1"/>
  <c r="BL277" i="1"/>
  <c r="BV277" i="1" s="1"/>
  <c r="BL276" i="1"/>
  <c r="BV276" i="1" s="1"/>
  <c r="BL290" i="1"/>
  <c r="BV290" i="1" s="1"/>
  <c r="BL275" i="1"/>
  <c r="BV275" i="1" s="1"/>
  <c r="BL289" i="1"/>
  <c r="BV289" i="1" s="1"/>
  <c r="BL288" i="1"/>
  <c r="BV288" i="1" s="1"/>
  <c r="BL287" i="1"/>
  <c r="BV287" i="1" s="1"/>
  <c r="BL284" i="1"/>
  <c r="BV284" i="1" s="1"/>
  <c r="BL292" i="1"/>
  <c r="BV292" i="1" s="1"/>
  <c r="BL523" i="1"/>
  <c r="BV523" i="1" s="1"/>
  <c r="BL516" i="1"/>
  <c r="BV516" i="1" s="1"/>
  <c r="BL638" i="1"/>
  <c r="BV638" i="1" s="1"/>
  <c r="BL637" i="1"/>
  <c r="BV637" i="1" s="1"/>
  <c r="BL635" i="1"/>
  <c r="BV635" i="1" s="1"/>
  <c r="BL404" i="1"/>
  <c r="BV404" i="1" s="1"/>
  <c r="BL402" i="1"/>
  <c r="BV402" i="1" s="1"/>
  <c r="BL400" i="1"/>
  <c r="BV400" i="1" s="1"/>
  <c r="BL414" i="1"/>
  <c r="BV414" i="1" s="1"/>
  <c r="BL399" i="1"/>
  <c r="BV399" i="1" s="1"/>
  <c r="BL398" i="1"/>
  <c r="BV398" i="1" s="1"/>
  <c r="BL397" i="1"/>
  <c r="BV397" i="1" s="1"/>
  <c r="BL413" i="1"/>
  <c r="BV413" i="1" s="1"/>
  <c r="BL412" i="1"/>
  <c r="BV412" i="1" s="1"/>
  <c r="BL411" i="1"/>
  <c r="BV411" i="1" s="1"/>
  <c r="BL410" i="1"/>
  <c r="BV410" i="1" s="1"/>
  <c r="BL409" i="1"/>
  <c r="BV409" i="1" s="1"/>
  <c r="BL408" i="1"/>
  <c r="BV408" i="1" s="1"/>
  <c r="BL405" i="1"/>
  <c r="BV405" i="1" s="1"/>
  <c r="BL396" i="1"/>
  <c r="BV396" i="1" s="1"/>
  <c r="BL395" i="1"/>
  <c r="BV395" i="1" s="1"/>
  <c r="BL203" i="1"/>
  <c r="BV203" i="1" s="1"/>
  <c r="BL204" i="1"/>
  <c r="BV204" i="1" s="1"/>
  <c r="BL202" i="1"/>
  <c r="BV202" i="1" s="1"/>
  <c r="BL201" i="1"/>
  <c r="BV201" i="1" s="1"/>
  <c r="BL200" i="1"/>
  <c r="BV200" i="1" s="1"/>
  <c r="BL199" i="1"/>
  <c r="BV199" i="1" s="1"/>
  <c r="BL197" i="1"/>
  <c r="BV197" i="1" s="1"/>
  <c r="BL187" i="1"/>
  <c r="BV187" i="1" s="1"/>
  <c r="BL198" i="1"/>
  <c r="BV198" i="1" s="1"/>
  <c r="BL196" i="1"/>
  <c r="BV196" i="1" s="1"/>
  <c r="BL195" i="1"/>
  <c r="BV195" i="1" s="1"/>
  <c r="BL194" i="1"/>
  <c r="BV194" i="1" s="1"/>
  <c r="BL193" i="1"/>
  <c r="BV193" i="1" s="1"/>
  <c r="BL192" i="1"/>
  <c r="BV192" i="1" s="1"/>
  <c r="BL191" i="1"/>
  <c r="BV191" i="1" s="1"/>
  <c r="BL190" i="1"/>
  <c r="BV190" i="1" s="1"/>
  <c r="BL189" i="1"/>
  <c r="BV189" i="1" s="1"/>
  <c r="BL188" i="1"/>
  <c r="BV188" i="1" s="1"/>
  <c r="BL147" i="1"/>
  <c r="BV147" i="1" s="1"/>
  <c r="BL146" i="1"/>
  <c r="BV146" i="1" s="1"/>
  <c r="BL145" i="1"/>
  <c r="BV145" i="1" s="1"/>
  <c r="BL139" i="1"/>
  <c r="BV139" i="1" s="1"/>
  <c r="BL138" i="1"/>
  <c r="BV138" i="1" s="1"/>
  <c r="BL141" i="1"/>
  <c r="BV141" i="1" s="1"/>
  <c r="BL129" i="1"/>
  <c r="BV129" i="1" s="1"/>
  <c r="BL137" i="1"/>
  <c r="BV137" i="1" s="1"/>
  <c r="BL135" i="1"/>
  <c r="BV135" i="1" s="1"/>
  <c r="BL133" i="1"/>
  <c r="BV133" i="1" s="1"/>
  <c r="BL132" i="1"/>
  <c r="BV132" i="1" s="1"/>
  <c r="BL143" i="1"/>
  <c r="BV143" i="1" s="1"/>
  <c r="BL131" i="1"/>
  <c r="BV131" i="1" s="1"/>
  <c r="BL142" i="1"/>
  <c r="BV142" i="1" s="1"/>
  <c r="BL350" i="1"/>
  <c r="BV350" i="1" s="1"/>
  <c r="BL348" i="1"/>
  <c r="BV348" i="1" s="1"/>
  <c r="BL339" i="1"/>
  <c r="BV339" i="1" s="1"/>
  <c r="BL338" i="1"/>
  <c r="BV338" i="1" s="1"/>
  <c r="BL337" i="1"/>
  <c r="BV337" i="1" s="1"/>
  <c r="BL336" i="1"/>
  <c r="BV336" i="1" s="1"/>
  <c r="BL347" i="1"/>
  <c r="BV347" i="1" s="1"/>
  <c r="BL335" i="1"/>
  <c r="BV335" i="1" s="1"/>
  <c r="BL346" i="1"/>
  <c r="BV346" i="1" s="1"/>
  <c r="BL345" i="1"/>
  <c r="BV345" i="1" s="1"/>
  <c r="BL341" i="1"/>
  <c r="BV341" i="1" s="1"/>
  <c r="BL354" i="1"/>
  <c r="BV354" i="1" s="1"/>
  <c r="BL353" i="1"/>
  <c r="BV353" i="1" s="1"/>
  <c r="BL352" i="1"/>
  <c r="BV352" i="1" s="1"/>
  <c r="BI352" i="1"/>
  <c r="BT352" i="1" s="1"/>
  <c r="BL351" i="1"/>
  <c r="BV351" i="1" s="1"/>
  <c r="BL349" i="1"/>
  <c r="BV349" i="1" s="1"/>
  <c r="BI349" i="1"/>
  <c r="BT349" i="1" s="1"/>
  <c r="BL344" i="1"/>
  <c r="BV344" i="1" s="1"/>
  <c r="BL343" i="1"/>
  <c r="BV343" i="1" s="1"/>
  <c r="BL589" i="1"/>
  <c r="BV589" i="1" s="1"/>
  <c r="BL576" i="1"/>
  <c r="BV576" i="1" s="1"/>
  <c r="BL574" i="1"/>
  <c r="BV574" i="1" s="1"/>
  <c r="BL307" i="1"/>
  <c r="BL688" i="1"/>
  <c r="BV688" i="1" s="1"/>
  <c r="BL687" i="1"/>
  <c r="BV687" i="1" s="1"/>
  <c r="BL686" i="1"/>
  <c r="BV686" i="1" s="1"/>
  <c r="BL236" i="1"/>
  <c r="BL685" i="1"/>
  <c r="BV685" i="1" s="1"/>
  <c r="BL684" i="1"/>
  <c r="BV684" i="1" s="1"/>
  <c r="BL713" i="1"/>
  <c r="BV713" i="1" s="1"/>
  <c r="BL712" i="1"/>
  <c r="BV712" i="1" s="1"/>
  <c r="BL711" i="1"/>
  <c r="BV711" i="1" s="1"/>
  <c r="BL233" i="1"/>
  <c r="BV233" i="1" s="1"/>
  <c r="BL232" i="1"/>
  <c r="BI232" i="1"/>
  <c r="BT232" i="1" s="1"/>
  <c r="BL238" i="1"/>
  <c r="BV238" i="1" s="1"/>
  <c r="BL231" i="1"/>
  <c r="BV231" i="1" s="1"/>
  <c r="BL237" i="1"/>
  <c r="BV237" i="1" s="1"/>
  <c r="BL230" i="1"/>
  <c r="BL11" i="1"/>
  <c r="BV11" i="1" s="1"/>
  <c r="BL9" i="1"/>
  <c r="BV9" i="1" s="1"/>
  <c r="BL8" i="1"/>
  <c r="BV8" i="1" s="1"/>
  <c r="BL17" i="1"/>
  <c r="BV17" i="1" s="1"/>
  <c r="BL6" i="1"/>
  <c r="BV6" i="1" s="1"/>
  <c r="BL5" i="1"/>
  <c r="BV5" i="1" s="1"/>
  <c r="BL16" i="1"/>
  <c r="BV16" i="1" s="1"/>
  <c r="BL673" i="1"/>
  <c r="BL15" i="1"/>
  <c r="BV15" i="1" s="1"/>
  <c r="BL14" i="1"/>
  <c r="BV14" i="1" s="1"/>
  <c r="BL13" i="1"/>
  <c r="BL3" i="1"/>
  <c r="BV3" i="1" s="1"/>
  <c r="BL2" i="1"/>
  <c r="BV2" i="1" s="1"/>
  <c r="BL124" i="1"/>
  <c r="BV124" i="1" s="1"/>
  <c r="BL123" i="1"/>
  <c r="BV123" i="1" s="1"/>
  <c r="BL120" i="1"/>
  <c r="BV120" i="1" s="1"/>
  <c r="BL110" i="1"/>
  <c r="BV110" i="1" s="1"/>
  <c r="BL116" i="1"/>
  <c r="BV116" i="1" s="1"/>
  <c r="BL115" i="1"/>
  <c r="BL126" i="1"/>
  <c r="BV126" i="1" s="1"/>
  <c r="BL113" i="1"/>
  <c r="BV113" i="1" s="1"/>
  <c r="BL112" i="1"/>
  <c r="BV112" i="1" s="1"/>
  <c r="BL323" i="1"/>
  <c r="BL332" i="1"/>
  <c r="BV332" i="1" s="1"/>
  <c r="BL321" i="1"/>
  <c r="BV321" i="1" s="1"/>
  <c r="BL331" i="1"/>
  <c r="BV331" i="1" s="1"/>
  <c r="BL320" i="1"/>
  <c r="BV320" i="1" s="1"/>
  <c r="BL330" i="1"/>
  <c r="BV330" i="1" s="1"/>
  <c r="BL319" i="1"/>
  <c r="BV319" i="1" s="1"/>
  <c r="BL318" i="1"/>
  <c r="BV318" i="1" s="1"/>
  <c r="BL317" i="1"/>
  <c r="BV317" i="1" s="1"/>
  <c r="BL328" i="1"/>
  <c r="BV328" i="1" s="1"/>
  <c r="BL327" i="1"/>
  <c r="BV327" i="1" s="1"/>
  <c r="BL334" i="1"/>
  <c r="BV334" i="1" s="1"/>
  <c r="BL325" i="1"/>
  <c r="BV325" i="1" s="1"/>
  <c r="BL333" i="1"/>
  <c r="BV333" i="1" s="1"/>
  <c r="BL329" i="1"/>
  <c r="BV329" i="1" s="1"/>
  <c r="BL458" i="1"/>
  <c r="BV458" i="1" s="1"/>
  <c r="BL469" i="1"/>
  <c r="BV469" i="1" s="1"/>
  <c r="BL249" i="1"/>
  <c r="BV249" i="1" s="1"/>
  <c r="BL716" i="1"/>
  <c r="BV716" i="1" s="1"/>
  <c r="BL248" i="1"/>
  <c r="BV248" i="1" s="1"/>
  <c r="BL246" i="1"/>
  <c r="BV246" i="1" s="1"/>
  <c r="BL245" i="1"/>
  <c r="BV245" i="1" s="1"/>
  <c r="BL244" i="1"/>
  <c r="BV244" i="1" s="1"/>
  <c r="BL239" i="1"/>
  <c r="BV239" i="1" s="1"/>
  <c r="BL689" i="1"/>
  <c r="BL243" i="1"/>
  <c r="BV243" i="1" s="1"/>
  <c r="BL242" i="1"/>
  <c r="BV242" i="1" s="1"/>
  <c r="BL252" i="1"/>
  <c r="BV252" i="1" s="1"/>
  <c r="BL691" i="1"/>
  <c r="BV691" i="1" s="1"/>
  <c r="BL714" i="1"/>
  <c r="BV714" i="1" s="1"/>
  <c r="BL251" i="1"/>
  <c r="BL250" i="1"/>
  <c r="BV250" i="1" s="1"/>
  <c r="BI250" i="1"/>
  <c r="BT250" i="1" s="1"/>
  <c r="BL690" i="1"/>
  <c r="BV690" i="1" s="1"/>
  <c r="BI690" i="1"/>
  <c r="BT690" i="1" s="1"/>
  <c r="BL24" i="1"/>
  <c r="BV24" i="1" s="1"/>
  <c r="BL26" i="1"/>
  <c r="BV26" i="1" s="1"/>
  <c r="BI26" i="1"/>
  <c r="BT26" i="1" s="1"/>
  <c r="BL682" i="1"/>
  <c r="BV682" i="1" s="1"/>
  <c r="BL676" i="1"/>
  <c r="BV676" i="1" s="1"/>
  <c r="BL23" i="1"/>
  <c r="BV23" i="1" s="1"/>
  <c r="BL22" i="1"/>
  <c r="BV22" i="1" s="1"/>
  <c r="BL21" i="1"/>
  <c r="BV21" i="1" s="1"/>
  <c r="BL20" i="1"/>
  <c r="BV20" i="1" s="1"/>
  <c r="BL19" i="1"/>
  <c r="BV19" i="1" s="1"/>
  <c r="BL675" i="1"/>
  <c r="BV675" i="1" s="1"/>
  <c r="BL30" i="1"/>
  <c r="BV30" i="1" s="1"/>
  <c r="BL99" i="1"/>
  <c r="BV99" i="1" s="1"/>
  <c r="BL29" i="1"/>
  <c r="BV29" i="1" s="1"/>
  <c r="BL681" i="1"/>
  <c r="BL102" i="1"/>
  <c r="BV102" i="1" s="1"/>
  <c r="BL25" i="1"/>
  <c r="BV25" i="1" s="1"/>
  <c r="BL28" i="1"/>
  <c r="BV28" i="1" s="1"/>
  <c r="BL27" i="1"/>
  <c r="BV27" i="1" s="1"/>
  <c r="BL18" i="1"/>
  <c r="BV18" i="1" s="1"/>
  <c r="BL674" i="1"/>
  <c r="BV674" i="1" s="1"/>
  <c r="BL177" i="1"/>
  <c r="BV177" i="1" s="1"/>
  <c r="BL174" i="1"/>
  <c r="BV174" i="1" s="1"/>
  <c r="BL171" i="1"/>
  <c r="BV171" i="1" s="1"/>
  <c r="BL184" i="1"/>
  <c r="BV184" i="1" s="1"/>
  <c r="BL185" i="1"/>
  <c r="BV185" i="1" s="1"/>
  <c r="BL181" i="1"/>
  <c r="BV181" i="1" s="1"/>
  <c r="BL180" i="1"/>
  <c r="BV180" i="1" s="1"/>
  <c r="BL394" i="1"/>
  <c r="BV394" i="1" s="1"/>
  <c r="BL386" i="1"/>
  <c r="BV386" i="1" s="1"/>
  <c r="BI386" i="1"/>
  <c r="BT386" i="1" s="1"/>
  <c r="BL385" i="1"/>
  <c r="BV385" i="1" s="1"/>
  <c r="BL384" i="1"/>
  <c r="BV384" i="1" s="1"/>
  <c r="BL388" i="1"/>
  <c r="BV388" i="1" s="1"/>
  <c r="BL382" i="1"/>
  <c r="BV382" i="1" s="1"/>
  <c r="BL392" i="1"/>
  <c r="BV392" i="1" s="1"/>
  <c r="BL391" i="1"/>
  <c r="BV391" i="1" s="1"/>
  <c r="BI378" i="1"/>
  <c r="BT378" i="1" s="1"/>
  <c r="BL390" i="1"/>
  <c r="BV390" i="1" s="1"/>
  <c r="BL623" i="1"/>
  <c r="BV623" i="1" s="1"/>
  <c r="BL664" i="1"/>
  <c r="BV664" i="1" s="1"/>
  <c r="BL434" i="1"/>
  <c r="BV434" i="1" s="1"/>
  <c r="BL432" i="1"/>
  <c r="BV432" i="1" s="1"/>
  <c r="BL431" i="1"/>
  <c r="BV431" i="1" s="1"/>
  <c r="BL424" i="1"/>
  <c r="BV424" i="1" s="1"/>
  <c r="BL423" i="1"/>
  <c r="BV423" i="1" s="1"/>
  <c r="BL422" i="1"/>
  <c r="BV422" i="1" s="1"/>
  <c r="BL430" i="1"/>
  <c r="BV430" i="1" s="1"/>
  <c r="BL416" i="1"/>
  <c r="BV416" i="1" s="1"/>
  <c r="BL421" i="1"/>
  <c r="BV421" i="1" s="1"/>
  <c r="BL429" i="1"/>
  <c r="BV429" i="1" s="1"/>
  <c r="BL420" i="1"/>
  <c r="BV420" i="1" s="1"/>
  <c r="BL419" i="1"/>
  <c r="BV419" i="1" s="1"/>
  <c r="BL428" i="1"/>
  <c r="BV428" i="1" s="1"/>
  <c r="BL418" i="1"/>
  <c r="BV418" i="1" s="1"/>
  <c r="BL417" i="1"/>
  <c r="BV417" i="1" s="1"/>
  <c r="BL427" i="1"/>
  <c r="BV427" i="1" s="1"/>
  <c r="BL426" i="1"/>
  <c r="BV426" i="1" s="1"/>
  <c r="BL425" i="1"/>
  <c r="BV425" i="1" s="1"/>
  <c r="BL215" i="1"/>
  <c r="BV215" i="1" s="1"/>
  <c r="BL211" i="1"/>
  <c r="BV211" i="1" s="1"/>
  <c r="BL210" i="1"/>
  <c r="BV210" i="1" s="1"/>
  <c r="BL224" i="1"/>
  <c r="BV224" i="1" s="1"/>
  <c r="BL206" i="1"/>
  <c r="BV206" i="1" s="1"/>
  <c r="BL165" i="1"/>
  <c r="BV165" i="1" s="1"/>
  <c r="BL159" i="1"/>
  <c r="BV159" i="1" s="1"/>
  <c r="BL157" i="1"/>
  <c r="BV157" i="1" s="1"/>
  <c r="BL149" i="1"/>
  <c r="BV149" i="1" s="1"/>
  <c r="BL156" i="1"/>
  <c r="BV156" i="1" s="1"/>
  <c r="BL155" i="1"/>
  <c r="BV155" i="1" s="1"/>
  <c r="BL152" i="1"/>
  <c r="BV152" i="1" s="1"/>
  <c r="BL164" i="1"/>
  <c r="BV164" i="1" s="1"/>
  <c r="BL150" i="1"/>
  <c r="BV150" i="1" s="1"/>
  <c r="BL163" i="1"/>
  <c r="BV163" i="1" s="1"/>
  <c r="BL370" i="1"/>
  <c r="BV370" i="1" s="1"/>
  <c r="BL357" i="1"/>
  <c r="BV357" i="1" s="1"/>
  <c r="BL369" i="1"/>
  <c r="BV369" i="1" s="1"/>
  <c r="BL368" i="1"/>
  <c r="BV368" i="1" s="1"/>
  <c r="BL356" i="1"/>
  <c r="BV356" i="1" s="1"/>
  <c r="BL367" i="1"/>
  <c r="BV367" i="1" s="1"/>
  <c r="BL366" i="1"/>
  <c r="BV366" i="1" s="1"/>
  <c r="BL365" i="1"/>
  <c r="BV365" i="1" s="1"/>
  <c r="BL364" i="1"/>
  <c r="BV364" i="1" s="1"/>
  <c r="BL362" i="1"/>
  <c r="BV362" i="1" s="1"/>
  <c r="BL374" i="1"/>
  <c r="BV374" i="1" s="1"/>
  <c r="BL361" i="1"/>
  <c r="BV361" i="1" s="1"/>
  <c r="BL373" i="1"/>
  <c r="BV373" i="1" s="1"/>
  <c r="BL360" i="1"/>
  <c r="BV360" i="1" s="1"/>
  <c r="BL372" i="1"/>
  <c r="BV372" i="1" s="1"/>
  <c r="BL359" i="1"/>
  <c r="BV359" i="1" s="1"/>
  <c r="BL371" i="1"/>
  <c r="BV371" i="1" s="1"/>
  <c r="BL363" i="1"/>
  <c r="BV363" i="1" s="1"/>
  <c r="BL355" i="1"/>
  <c r="BV355" i="1" s="1"/>
  <c r="BL262" i="1"/>
  <c r="BV262" i="1" s="1"/>
  <c r="BL256" i="1"/>
  <c r="BV256" i="1" s="1"/>
  <c r="BL255" i="1"/>
  <c r="BV255" i="1" s="1"/>
  <c r="BL261" i="1"/>
  <c r="BV261" i="1" s="1"/>
  <c r="BL694" i="1"/>
  <c r="BV694" i="1" s="1"/>
  <c r="BL254" i="1"/>
  <c r="BV254" i="1" s="1"/>
  <c r="BL698" i="1"/>
  <c r="BV698" i="1" s="1"/>
  <c r="BL693" i="1"/>
  <c r="BV693" i="1" s="1"/>
  <c r="BL259" i="1"/>
  <c r="BV259" i="1" s="1"/>
  <c r="BL692" i="1"/>
  <c r="BV692" i="1" s="1"/>
  <c r="BL696" i="1"/>
  <c r="BV696" i="1" s="1"/>
  <c r="BL258" i="1"/>
  <c r="BV258" i="1" s="1"/>
  <c r="BL257" i="1"/>
  <c r="BV257" i="1" s="1"/>
  <c r="BL695" i="1"/>
  <c r="BV695" i="1" s="1"/>
  <c r="BL253" i="1"/>
  <c r="BV253" i="1" s="1"/>
  <c r="BL36" i="1"/>
  <c r="BV36" i="1" s="1"/>
  <c r="BL35" i="1"/>
  <c r="BV35" i="1" s="1"/>
  <c r="BL44" i="1"/>
  <c r="BV44" i="1" s="1"/>
  <c r="BL43" i="1"/>
  <c r="BV43" i="1" s="1"/>
  <c r="BL42" i="1"/>
  <c r="BV42" i="1" s="1"/>
  <c r="BL40" i="1"/>
  <c r="BV40" i="1" s="1"/>
  <c r="BL39" i="1"/>
  <c r="BV39" i="1" s="1"/>
  <c r="BL678" i="1"/>
  <c r="BV678" i="1" s="1"/>
  <c r="BL32" i="1"/>
  <c r="BV32" i="1" s="1"/>
  <c r="BL31" i="1"/>
  <c r="BV31" i="1" s="1"/>
  <c r="BL38" i="1"/>
  <c r="BV38" i="1" s="1"/>
  <c r="BL37" i="1"/>
  <c r="BV37" i="1" s="1"/>
  <c r="BL721" i="1"/>
  <c r="BV721" i="1" s="1"/>
</calcChain>
</file>

<file path=xl/sharedStrings.xml><?xml version="1.0" encoding="utf-8"?>
<sst xmlns="http://schemas.openxmlformats.org/spreadsheetml/2006/main" count="12415" uniqueCount="887">
  <si>
    <t>Site</t>
  </si>
  <si>
    <t>SiteTreatment</t>
  </si>
  <si>
    <t>Treatment</t>
  </si>
  <si>
    <t>Species</t>
  </si>
  <si>
    <t>TAG</t>
  </si>
  <si>
    <t>IndTag</t>
  </si>
  <si>
    <t>SpruceDensity</t>
  </si>
  <si>
    <t>AspenDensity</t>
  </si>
  <si>
    <t>BirchDensity</t>
  </si>
  <si>
    <t>WillowDensity</t>
  </si>
  <si>
    <t>TotalDensity</t>
  </si>
  <si>
    <t>Decid:conif</t>
  </si>
  <si>
    <t>Height2013</t>
  </si>
  <si>
    <t>Height2014</t>
  </si>
  <si>
    <t>AnnHGr2014</t>
  </si>
  <si>
    <t>Height2015</t>
  </si>
  <si>
    <t>FinalHeightGr</t>
  </si>
  <si>
    <t>AnnHGr</t>
  </si>
  <si>
    <t>PosFinalHeightGr</t>
  </si>
  <si>
    <t>PropHGr</t>
  </si>
  <si>
    <t>PropHGr20142015</t>
  </si>
  <si>
    <t>Basal2013</t>
  </si>
  <si>
    <t>Basal2014</t>
  </si>
  <si>
    <t>Basal2015</t>
  </si>
  <si>
    <t>FinalBasalGr</t>
  </si>
  <si>
    <t>PropBasalGr</t>
  </si>
  <si>
    <t>DBH2013</t>
  </si>
  <si>
    <t>DBH2014</t>
  </si>
  <si>
    <t>DBH2015</t>
  </si>
  <si>
    <t>CrownDepth2013</t>
  </si>
  <si>
    <t>CrownDepth2014</t>
  </si>
  <si>
    <t>CrownDepth2015</t>
  </si>
  <si>
    <t>CrownWidth2013</t>
  </si>
  <si>
    <t>CrownWidth2014</t>
  </si>
  <si>
    <t>CrownWidth2015</t>
  </si>
  <si>
    <t>CrownPerp2013</t>
  </si>
  <si>
    <t>CrownPerp2014</t>
  </si>
  <si>
    <t>CrownPerp2015</t>
  </si>
  <si>
    <t>CrownWmean2014</t>
  </si>
  <si>
    <t>CrownWmean2015</t>
  </si>
  <si>
    <t>PropCrownWidthChange</t>
  </si>
  <si>
    <t>PropCrownDepthChange</t>
  </si>
  <si>
    <t>CrownRatio2014</t>
  </si>
  <si>
    <t>CrownRatio2015</t>
  </si>
  <si>
    <t>ChangeInCrownRatio</t>
  </si>
  <si>
    <t>Winter2014Herb</t>
  </si>
  <si>
    <t>Health2013</t>
  </si>
  <si>
    <t>Health2014</t>
  </si>
  <si>
    <t>Health2015</t>
  </si>
  <si>
    <t>PastHerbivory2013</t>
  </si>
  <si>
    <t>Alive2013</t>
  </si>
  <si>
    <t>Alive2014</t>
  </si>
  <si>
    <t>Alive2015</t>
  </si>
  <si>
    <t>LeafLength2013</t>
  </si>
  <si>
    <t>LeafLength2014</t>
  </si>
  <si>
    <t>LeafLength2015</t>
  </si>
  <si>
    <t>PropLeafChange</t>
  </si>
  <si>
    <t>Winter2015Herb</t>
  </si>
  <si>
    <t>LeafLengthAdjusted2015</t>
  </si>
  <si>
    <t>AdjPropLeafChange</t>
  </si>
  <si>
    <t>BF72</t>
  </si>
  <si>
    <t>BF72C</t>
  </si>
  <si>
    <t>Control</t>
  </si>
  <si>
    <t>aspen</t>
  </si>
  <si>
    <t>TA1</t>
  </si>
  <si>
    <t>BF72CTA1</t>
  </si>
  <si>
    <t>na</t>
  </si>
  <si>
    <t>TA10</t>
  </si>
  <si>
    <t>BF72CTA10</t>
  </si>
  <si>
    <t>TA11</t>
  </si>
  <si>
    <t>BF72CTA11</t>
  </si>
  <si>
    <t>TA12</t>
  </si>
  <si>
    <t>BF72CTA12</t>
  </si>
  <si>
    <t>TA13</t>
  </si>
  <si>
    <t>BF72CTA13</t>
  </si>
  <si>
    <t>TA14</t>
  </si>
  <si>
    <t>BF72CTA14</t>
  </si>
  <si>
    <t>TA15</t>
  </si>
  <si>
    <t>BF72CTA15</t>
  </si>
  <si>
    <t>TA16</t>
  </si>
  <si>
    <t>BF72CTA16</t>
  </si>
  <si>
    <t>TA17</t>
  </si>
  <si>
    <t>BF72CTA17</t>
  </si>
  <si>
    <t>TA18</t>
  </si>
  <si>
    <t>BF72CTA18</t>
  </si>
  <si>
    <t>TA19</t>
  </si>
  <si>
    <t>BF72CTA19</t>
  </si>
  <si>
    <t>TA2</t>
  </si>
  <si>
    <t>BF72CTA2</t>
  </si>
  <si>
    <t>TA20</t>
  </si>
  <si>
    <t>BF72CTA20</t>
  </si>
  <si>
    <t>TA3</t>
  </si>
  <si>
    <t>BF72CTA3</t>
  </si>
  <si>
    <t>TA4</t>
  </si>
  <si>
    <t>BF72CTA4</t>
  </si>
  <si>
    <t>TA5</t>
  </si>
  <si>
    <t>BF72CTA5</t>
  </si>
  <si>
    <t>TA6</t>
  </si>
  <si>
    <t>BF72CTA6</t>
  </si>
  <si>
    <t>TA7</t>
  </si>
  <si>
    <t>BF72CTA7</t>
  </si>
  <si>
    <t>TA8</t>
  </si>
  <si>
    <t>BF72CTA8</t>
  </si>
  <si>
    <t>TA9</t>
  </si>
  <si>
    <t>BF72CTA9</t>
  </si>
  <si>
    <t>BF72E</t>
  </si>
  <si>
    <t>Exclosure</t>
  </si>
  <si>
    <t>BF72ETA1</t>
  </si>
  <si>
    <t>BF72ETA10</t>
  </si>
  <si>
    <t>BF72ETA11</t>
  </si>
  <si>
    <t>BF72ETA12</t>
  </si>
  <si>
    <t>BF72ETA13</t>
  </si>
  <si>
    <t>BF72ETA14</t>
  </si>
  <si>
    <t>BF72ETA15</t>
  </si>
  <si>
    <t>BF72ETA16</t>
  </si>
  <si>
    <t>BF72ETA17</t>
  </si>
  <si>
    <t>BF72ETA18</t>
  </si>
  <si>
    <t>BF72ETA19</t>
  </si>
  <si>
    <t>BF72ETA2</t>
  </si>
  <si>
    <t>BF72ETA20</t>
  </si>
  <si>
    <t>BF72ETA3</t>
  </si>
  <si>
    <t>BF72ETA4</t>
  </si>
  <si>
    <t>BF72ETA5</t>
  </si>
  <si>
    <t>BF72ETA6</t>
  </si>
  <si>
    <t>BF72ETA7</t>
  </si>
  <si>
    <t>BF72ETA8</t>
  </si>
  <si>
    <t>BF72ETA9</t>
  </si>
  <si>
    <t>BF76</t>
  </si>
  <si>
    <t>BF76C</t>
  </si>
  <si>
    <t>BF76CTA1</t>
  </si>
  <si>
    <t>BF76CTA10</t>
  </si>
  <si>
    <t>BF76CTA11</t>
  </si>
  <si>
    <t>BF76CTA12</t>
  </si>
  <si>
    <t>BF76CTA13</t>
  </si>
  <si>
    <t>BF76CTA14</t>
  </si>
  <si>
    <t>BF76CTA15</t>
  </si>
  <si>
    <t>BF76CTA16</t>
  </si>
  <si>
    <t>BF76CTA17</t>
  </si>
  <si>
    <t>BF76CTA18</t>
  </si>
  <si>
    <t>BF76CTA19</t>
  </si>
  <si>
    <t>BF76CTA2</t>
  </si>
  <si>
    <t>BF76CTA20</t>
  </si>
  <si>
    <t>BF76CTA3</t>
  </si>
  <si>
    <t>BF76CTA4</t>
  </si>
  <si>
    <t>BF76CTA5</t>
  </si>
  <si>
    <t>BF76CTA6</t>
  </si>
  <si>
    <t>BF76CTA7</t>
  </si>
  <si>
    <t>BF76CTA8</t>
  </si>
  <si>
    <t>BF76CTA9</t>
  </si>
  <si>
    <t>BF76E</t>
  </si>
  <si>
    <t>BF76ETA1</t>
  </si>
  <si>
    <t>BF76ETA10</t>
  </si>
  <si>
    <t>BF76ETA11</t>
  </si>
  <si>
    <t>BF76ETA12</t>
  </si>
  <si>
    <t>BF76ETA13</t>
  </si>
  <si>
    <t>BF76ETA14</t>
  </si>
  <si>
    <t>BF76ETA15</t>
  </si>
  <si>
    <t>BF76ETA16</t>
  </si>
  <si>
    <t>BF76ETA17</t>
  </si>
  <si>
    <t>BF76ETA18</t>
  </si>
  <si>
    <t>BF76ETA19</t>
  </si>
  <si>
    <t>BF76ETA2</t>
  </si>
  <si>
    <t>BF76ETA20</t>
  </si>
  <si>
    <t>BF76ETA3</t>
  </si>
  <si>
    <t>BF76ETA4</t>
  </si>
  <si>
    <t>BF76ETA5</t>
  </si>
  <si>
    <t>BF76ETA6</t>
  </si>
  <si>
    <t>BF76ETA7</t>
  </si>
  <si>
    <t>BF76ETA8</t>
  </si>
  <si>
    <t>BF76ETA9</t>
  </si>
  <si>
    <t>BF79</t>
  </si>
  <si>
    <t>BF79C</t>
  </si>
  <si>
    <t>BF79CTA1</t>
  </si>
  <si>
    <t>BF79CTA10</t>
  </si>
  <si>
    <t>BF79CTA11</t>
  </si>
  <si>
    <t>BF79CTA12</t>
  </si>
  <si>
    <t>BF79CTA13</t>
  </si>
  <si>
    <t>BF79CTA14</t>
  </si>
  <si>
    <t>BF79CTA15</t>
  </si>
  <si>
    <t>BF79CTA16</t>
  </si>
  <si>
    <t>BF79CTA17</t>
  </si>
  <si>
    <t>BF79CTA18</t>
  </si>
  <si>
    <t>BF79CTA19</t>
  </si>
  <si>
    <t>BF79CTA2</t>
  </si>
  <si>
    <t>BF79CTA20</t>
  </si>
  <si>
    <t>BF79CTA3</t>
  </si>
  <si>
    <t>BF79CTA4</t>
  </si>
  <si>
    <t>BF79CTA5</t>
  </si>
  <si>
    <t>BF79CTA6</t>
  </si>
  <si>
    <t>BF79CTA7</t>
  </si>
  <si>
    <t>BF79CTA8</t>
  </si>
  <si>
    <t>BF79CTA9</t>
  </si>
  <si>
    <t>BF79E</t>
  </si>
  <si>
    <t>BF79ETA1</t>
  </si>
  <si>
    <t>BF79ETA10</t>
  </si>
  <si>
    <t>BF79ETA11</t>
  </si>
  <si>
    <t>BF79ETA12</t>
  </si>
  <si>
    <t>BF79ETA13</t>
  </si>
  <si>
    <t>BF79ETA14</t>
  </si>
  <si>
    <t>BF79ETA15</t>
  </si>
  <si>
    <t>BF79ETA16</t>
  </si>
  <si>
    <t>BF79ETA17</t>
  </si>
  <si>
    <t>BF79ETA18</t>
  </si>
  <si>
    <t>BF79ETA19</t>
  </si>
  <si>
    <t>BF79ETA2</t>
  </si>
  <si>
    <t>BF79ETA20</t>
  </si>
  <si>
    <t>BF79ETA3</t>
  </si>
  <si>
    <t>BF79ETA4</t>
  </si>
  <si>
    <t>BF79ETA5</t>
  </si>
  <si>
    <t>BF79ETA6</t>
  </si>
  <si>
    <t>BF79ETA7</t>
  </si>
  <si>
    <t>BF79ETA8</t>
  </si>
  <si>
    <t>BF79ETA9</t>
  </si>
  <si>
    <t>BF82</t>
  </si>
  <si>
    <t>BF82C</t>
  </si>
  <si>
    <t>BF82CTA1</t>
  </si>
  <si>
    <t>BF82CTA10</t>
  </si>
  <si>
    <t>BF82CTA11</t>
  </si>
  <si>
    <t>BF82CTA12</t>
  </si>
  <si>
    <t>BF82CTA13</t>
  </si>
  <si>
    <t>BF82CTA14</t>
  </si>
  <si>
    <t>BF82CTA15</t>
  </si>
  <si>
    <t>BF82CTA16</t>
  </si>
  <si>
    <t>BF82CTA17</t>
  </si>
  <si>
    <t>BF82CTA18</t>
  </si>
  <si>
    <t>BF82CTA19</t>
  </si>
  <si>
    <t>BF82CTA2</t>
  </si>
  <si>
    <t>BF82CTA20</t>
  </si>
  <si>
    <t>BF82CTA3</t>
  </si>
  <si>
    <t>BF82CTA4</t>
  </si>
  <si>
    <t>BF82CTA5</t>
  </si>
  <si>
    <t>BF82CTA6</t>
  </si>
  <si>
    <t>BF82CTA7</t>
  </si>
  <si>
    <t>BF82CTA8</t>
  </si>
  <si>
    <t>BF82CTA9</t>
  </si>
  <si>
    <t>BF82E</t>
  </si>
  <si>
    <t>BF82ETA1</t>
  </si>
  <si>
    <t>BF82ETA10</t>
  </si>
  <si>
    <t>BF82ETA11</t>
  </si>
  <si>
    <t>BF82ETA12</t>
  </si>
  <si>
    <t>BF82ETA13</t>
  </si>
  <si>
    <t>BF82ETA14</t>
  </si>
  <si>
    <t>BF82ETA15</t>
  </si>
  <si>
    <t>BF82ETA16</t>
  </si>
  <si>
    <t>BF82ETA17</t>
  </si>
  <si>
    <t>BF82ETA18</t>
  </si>
  <si>
    <t>BF82ETA19</t>
  </si>
  <si>
    <t>BF82ETA2</t>
  </si>
  <si>
    <t>BF82ETA20</t>
  </si>
  <si>
    <t>BF82ETA3</t>
  </si>
  <si>
    <t>BF82ETA4</t>
  </si>
  <si>
    <t>BF82ETA5</t>
  </si>
  <si>
    <t>BF82ETA6</t>
  </si>
  <si>
    <t>BF82ETA7</t>
  </si>
  <si>
    <t>BF82ETA8</t>
  </si>
  <si>
    <t>BF82ETA9</t>
  </si>
  <si>
    <t>BF84</t>
  </si>
  <si>
    <t>BF84C</t>
  </si>
  <si>
    <t>BF84CTA1</t>
  </si>
  <si>
    <t>BF84CTA10</t>
  </si>
  <si>
    <t>BF84CTA11</t>
  </si>
  <si>
    <t>BF84CTA12</t>
  </si>
  <si>
    <t>BF84CTA13</t>
  </si>
  <si>
    <t>BF84CTA14</t>
  </si>
  <si>
    <t>BF84CTA15</t>
  </si>
  <si>
    <t>BF84CTA16</t>
  </si>
  <si>
    <t>BF84CTA17</t>
  </si>
  <si>
    <t>BF84CTA18</t>
  </si>
  <si>
    <t>BF84CTA19</t>
  </si>
  <si>
    <t>BF84CTA2</t>
  </si>
  <si>
    <t>BF84CTA20</t>
  </si>
  <si>
    <t>BF84CTA3</t>
  </si>
  <si>
    <t>BF84CTA4</t>
  </si>
  <si>
    <t>BF84CTA5</t>
  </si>
  <si>
    <t>BF84CTA6</t>
  </si>
  <si>
    <t>BF84CTA7</t>
  </si>
  <si>
    <t>BF84CTA8</t>
  </si>
  <si>
    <t>BF84CTA9</t>
  </si>
  <si>
    <t>BF84E</t>
  </si>
  <si>
    <t>BF84ETA1</t>
  </si>
  <si>
    <t>BF84ETA10</t>
  </si>
  <si>
    <t>BF84ETA11</t>
  </si>
  <si>
    <t>BF84ETA12</t>
  </si>
  <si>
    <t>BF84ETA13</t>
  </si>
  <si>
    <t>BF84ETA14</t>
  </si>
  <si>
    <t>BF84ETA15</t>
  </si>
  <si>
    <t>BF84ETA16</t>
  </si>
  <si>
    <t>BF84ETA17</t>
  </si>
  <si>
    <t>BF84ETA18</t>
  </si>
  <si>
    <t>BF84ETA19</t>
  </si>
  <si>
    <t>BF84ETA2</t>
  </si>
  <si>
    <t>BF84ETA20</t>
  </si>
  <si>
    <t>BF84ETA3</t>
  </si>
  <si>
    <t>BF84ETA4</t>
  </si>
  <si>
    <t>BF84ETA5</t>
  </si>
  <si>
    <t>BF84ETA6</t>
  </si>
  <si>
    <t>BF84ETA7</t>
  </si>
  <si>
    <t>BF84ETA8</t>
  </si>
  <si>
    <t>BF84ETA9</t>
  </si>
  <si>
    <t>BF86</t>
  </si>
  <si>
    <t>BF86C</t>
  </si>
  <si>
    <t>BF86CTA1</t>
  </si>
  <si>
    <t>BF86CTA10</t>
  </si>
  <si>
    <t>BF86CTA11</t>
  </si>
  <si>
    <t>BF86CTA12</t>
  </si>
  <si>
    <t>BF86CTA13</t>
  </si>
  <si>
    <t>BF86CTA14</t>
  </si>
  <si>
    <t>BF86CTA15</t>
  </si>
  <si>
    <t>BF86CTA16</t>
  </si>
  <si>
    <t>BF86CTA17</t>
  </si>
  <si>
    <t>BF86CTA18</t>
  </si>
  <si>
    <t>BF86CTA19</t>
  </si>
  <si>
    <t>BF86CTA2</t>
  </si>
  <si>
    <t>BF86CTA20</t>
  </si>
  <si>
    <t>BF86CTA3</t>
  </si>
  <si>
    <t>BF86CTA4</t>
  </si>
  <si>
    <t>BF86CTA5</t>
  </si>
  <si>
    <t>BF86CTA6</t>
  </si>
  <si>
    <t>BF86CTA7</t>
  </si>
  <si>
    <t>BF86CTA8</t>
  </si>
  <si>
    <t>BF86CTA9</t>
  </si>
  <si>
    <t>BF86E</t>
  </si>
  <si>
    <t>BF86ETA1</t>
  </si>
  <si>
    <t>BF86ETA10</t>
  </si>
  <si>
    <t>BF86ETA11</t>
  </si>
  <si>
    <t>BF86ETA12</t>
  </si>
  <si>
    <t>BF86ETA13</t>
  </si>
  <si>
    <t>BF86ETA14</t>
  </si>
  <si>
    <t>BF86ETA15</t>
  </si>
  <si>
    <t>BF86ETA16</t>
  </si>
  <si>
    <t>BF86ETA17</t>
  </si>
  <si>
    <t>BF86ETA18</t>
  </si>
  <si>
    <t>BF86ETA19</t>
  </si>
  <si>
    <t>BF86ETA2</t>
  </si>
  <si>
    <t>BF86ETA20</t>
  </si>
  <si>
    <t>BF86ETA3</t>
  </si>
  <si>
    <t>BF86ETA4</t>
  </si>
  <si>
    <t>BF86ETA5</t>
  </si>
  <si>
    <t>BF86ETA6</t>
  </si>
  <si>
    <t>BF86ETA7</t>
  </si>
  <si>
    <t>BF86ETA8</t>
  </si>
  <si>
    <t>BF86ETA9</t>
  </si>
  <si>
    <t>birch</t>
  </si>
  <si>
    <t>PB1</t>
  </si>
  <si>
    <t>BF72CPB1</t>
  </si>
  <si>
    <t>PB10</t>
  </si>
  <si>
    <t>BF72CPB10</t>
  </si>
  <si>
    <t>PB11</t>
  </si>
  <si>
    <t>BF72CPB11</t>
  </si>
  <si>
    <t>PB12</t>
  </si>
  <si>
    <t>BF72CPB12</t>
  </si>
  <si>
    <t>PB13</t>
  </si>
  <si>
    <t>BF72CPB13</t>
  </si>
  <si>
    <t>PB14</t>
  </si>
  <si>
    <t>BF72CPB14</t>
  </si>
  <si>
    <t>PB15</t>
  </si>
  <si>
    <t>BF72CPB15</t>
  </si>
  <si>
    <t>PB16</t>
  </si>
  <si>
    <t>BF72CPB16</t>
  </si>
  <si>
    <t>PB17</t>
  </si>
  <si>
    <t>BF72CPB17</t>
  </si>
  <si>
    <t>PB18</t>
  </si>
  <si>
    <t>BF72CPB18</t>
  </si>
  <si>
    <t>PB19</t>
  </si>
  <si>
    <t>BF72CPB19</t>
  </si>
  <si>
    <t>PB2</t>
  </si>
  <si>
    <t>BF72CPB2</t>
  </si>
  <si>
    <t>PB20</t>
  </si>
  <si>
    <t>BF72CPB20</t>
  </si>
  <si>
    <t>PB3</t>
  </si>
  <si>
    <t>BF72CPB3</t>
  </si>
  <si>
    <t>PB4</t>
  </si>
  <si>
    <t>BF72CPB4</t>
  </si>
  <si>
    <t>PB5</t>
  </si>
  <si>
    <t>BF72CPB5</t>
  </si>
  <si>
    <t>PB6</t>
  </si>
  <si>
    <t>BF72CPB6</t>
  </si>
  <si>
    <t>PB7</t>
  </si>
  <si>
    <t>BF72CPB7</t>
  </si>
  <si>
    <t>PB8</t>
  </si>
  <si>
    <t>BF72CPB8</t>
  </si>
  <si>
    <t>PB9</t>
  </si>
  <si>
    <t>BF72CPB9</t>
  </si>
  <si>
    <t>BF72EPB1</t>
  </si>
  <si>
    <t>BF72EPB10</t>
  </si>
  <si>
    <t>BF72EPB11</t>
  </si>
  <si>
    <t>BF72EPB12</t>
  </si>
  <si>
    <t>BF72EPB13</t>
  </si>
  <si>
    <t>BF72EPB14</t>
  </si>
  <si>
    <t>BF72EPB15</t>
  </si>
  <si>
    <t>BF72EPB16</t>
  </si>
  <si>
    <t>BF72EPB17</t>
  </si>
  <si>
    <t>BF72EPB18</t>
  </si>
  <si>
    <t>BF72EPB19</t>
  </si>
  <si>
    <t>BF72EPB2</t>
  </si>
  <si>
    <t>BF72EPB20</t>
  </si>
  <si>
    <t>BF72EPB3</t>
  </si>
  <si>
    <t>BF72EPB4</t>
  </si>
  <si>
    <t>BF72EPB5</t>
  </si>
  <si>
    <t>BF72EPB6</t>
  </si>
  <si>
    <t>BF72EPB7</t>
  </si>
  <si>
    <t>BF72EPB8</t>
  </si>
  <si>
    <t>BF72EPB9</t>
  </si>
  <si>
    <t>BF76CPB1</t>
  </si>
  <si>
    <t>BF76CPB10</t>
  </si>
  <si>
    <t>BF76CPB11</t>
  </si>
  <si>
    <t>BF76CPB12</t>
  </si>
  <si>
    <t>BF76CPB13</t>
  </si>
  <si>
    <t>BF76CPB14</t>
  </si>
  <si>
    <t>BF76CPB15</t>
  </si>
  <si>
    <t>BF76CPB16</t>
  </si>
  <si>
    <t>BF76CPB17</t>
  </si>
  <si>
    <t>BF76CPB18</t>
  </si>
  <si>
    <t>BF76CPB19</t>
  </si>
  <si>
    <t>BF76CPB2</t>
  </si>
  <si>
    <t>BF76CPB20</t>
  </si>
  <si>
    <t>BF76CPB3</t>
  </si>
  <si>
    <t>BF76CPB4</t>
  </si>
  <si>
    <t>BF76CPB5</t>
  </si>
  <si>
    <t>BF76CPB6</t>
  </si>
  <si>
    <t>BF76CPB7</t>
  </si>
  <si>
    <t>BF76CPB8</t>
  </si>
  <si>
    <t>BF76CPB9</t>
  </si>
  <si>
    <t>BF76EPB1</t>
  </si>
  <si>
    <t>BF76EPB10</t>
  </si>
  <si>
    <t>BF76EPB11</t>
  </si>
  <si>
    <t>BF76EPB12</t>
  </si>
  <si>
    <t>BF76EPB13</t>
  </si>
  <si>
    <t>BF76EPB14</t>
  </si>
  <si>
    <t>BF76EPB15</t>
  </si>
  <si>
    <t>BF76EPB16</t>
  </si>
  <si>
    <t>BF76EPB17</t>
  </si>
  <si>
    <t>BF76EPB18</t>
  </si>
  <si>
    <t>BF76EPB19</t>
  </si>
  <si>
    <t>BF76EPB2</t>
  </si>
  <si>
    <t>BF76EPB20</t>
  </si>
  <si>
    <t>BF76EPB3</t>
  </si>
  <si>
    <t>BF76EPB4</t>
  </si>
  <si>
    <t>BF76EPB5</t>
  </si>
  <si>
    <t>BF76EPB6</t>
  </si>
  <si>
    <t>BF76EPB7</t>
  </si>
  <si>
    <t>BF76EPB8</t>
  </si>
  <si>
    <t>BF76EPB9</t>
  </si>
  <si>
    <t>BF79CPB1</t>
  </si>
  <si>
    <t>BF79CPB10</t>
  </si>
  <si>
    <t>BF79CPB11</t>
  </si>
  <si>
    <t>BF79CPB12</t>
  </si>
  <si>
    <t>BF79CPB13</t>
  </si>
  <si>
    <t>BF79CPB14</t>
  </si>
  <si>
    <t>BF79CPB15</t>
  </si>
  <si>
    <t>BF79CPB16</t>
  </si>
  <si>
    <t>BF79CPB17</t>
  </si>
  <si>
    <t>BF79CPB18</t>
  </si>
  <si>
    <t>BF79CPB19</t>
  </si>
  <si>
    <t>BF79CPB2</t>
  </si>
  <si>
    <t>BF79CPB20</t>
  </si>
  <si>
    <t>BF79CPB3</t>
  </si>
  <si>
    <t>BF79CPB4</t>
  </si>
  <si>
    <t>BF79CPB5</t>
  </si>
  <si>
    <t>BF79CPB6</t>
  </si>
  <si>
    <t>BF79CPB7</t>
  </si>
  <si>
    <t>BF79CPB8</t>
  </si>
  <si>
    <t>BF79CPB9</t>
  </si>
  <si>
    <t>BF79EPB1</t>
  </si>
  <si>
    <t>BF79EPB10</t>
  </si>
  <si>
    <t>BF79EPB11</t>
  </si>
  <si>
    <t>BF79EPB12</t>
  </si>
  <si>
    <t>BF79EPB13</t>
  </si>
  <si>
    <t>BF79EPB14</t>
  </si>
  <si>
    <t>BF79EPB15</t>
  </si>
  <si>
    <t>BF79EPB16</t>
  </si>
  <si>
    <t>BF79EPB17</t>
  </si>
  <si>
    <t>BF79EPB18</t>
  </si>
  <si>
    <t>BF79EPB19</t>
  </si>
  <si>
    <t>BF79EPB2</t>
  </si>
  <si>
    <t>BF79EPB20</t>
  </si>
  <si>
    <t>BF79EPB3</t>
  </si>
  <si>
    <t>BF79EPB4</t>
  </si>
  <si>
    <t>BF79EPB5</t>
  </si>
  <si>
    <t>BF79EPB6</t>
  </si>
  <si>
    <t>BF79EPB7</t>
  </si>
  <si>
    <t>BF79EPB8</t>
  </si>
  <si>
    <t>BF79EPB9</t>
  </si>
  <si>
    <t>BF82CPB1</t>
  </si>
  <si>
    <t>BF82CPB10</t>
  </si>
  <si>
    <t>BF82CPB11</t>
  </si>
  <si>
    <t>BF82CPB12</t>
  </si>
  <si>
    <t>BF82CPB13</t>
  </si>
  <si>
    <t>BF82CPB14</t>
  </si>
  <si>
    <t>BF82CPB15</t>
  </si>
  <si>
    <t>BF82CPB16</t>
  </si>
  <si>
    <t>BF82CPB17</t>
  </si>
  <si>
    <t>BF82CPB18</t>
  </si>
  <si>
    <t>BF82CPB19</t>
  </si>
  <si>
    <t>BF82CPB2</t>
  </si>
  <si>
    <t>BF82CPB20</t>
  </si>
  <si>
    <t>BF82CPB3</t>
  </si>
  <si>
    <t>BF82CPB4</t>
  </si>
  <si>
    <t>BF82CPB5</t>
  </si>
  <si>
    <t>BF82CPB6</t>
  </si>
  <si>
    <t>BF82CPB7</t>
  </si>
  <si>
    <t>BF82CPB8</t>
  </si>
  <si>
    <t>BF82CPB9</t>
  </si>
  <si>
    <t>BF82EPB1</t>
  </si>
  <si>
    <t>BF82EPB10</t>
  </si>
  <si>
    <t>BF82EPB11</t>
  </si>
  <si>
    <t>BF82EPB12</t>
  </si>
  <si>
    <t>BF82EPB13</t>
  </si>
  <si>
    <t>BF82EPB14</t>
  </si>
  <si>
    <t>BF82EPB15</t>
  </si>
  <si>
    <t>BF82EPB16</t>
  </si>
  <si>
    <t>BF82EPB17</t>
  </si>
  <si>
    <t>BF82EPB18</t>
  </si>
  <si>
    <t>BF82EPB19</t>
  </si>
  <si>
    <t>BF82EPB2</t>
  </si>
  <si>
    <t>BF82EPB20</t>
  </si>
  <si>
    <t>BF82EPB3</t>
  </si>
  <si>
    <t>BF82EPB4</t>
  </si>
  <si>
    <t>BF82EPB5</t>
  </si>
  <si>
    <t>BF82EPB6</t>
  </si>
  <si>
    <t>BF82EPB7</t>
  </si>
  <si>
    <t>BF82EPB8</t>
  </si>
  <si>
    <t>BF82EPB9</t>
  </si>
  <si>
    <t>BF84CPB1</t>
  </si>
  <si>
    <t>BF84CPB10</t>
  </si>
  <si>
    <t>BF84CPB11</t>
  </si>
  <si>
    <t>BF84CPB12</t>
  </si>
  <si>
    <t>BF84CPB13</t>
  </si>
  <si>
    <t>BF84CPB14</t>
  </si>
  <si>
    <t>BF84CPB15</t>
  </si>
  <si>
    <t>BF84CPB16</t>
  </si>
  <si>
    <t>BF84CPB17</t>
  </si>
  <si>
    <t>BF84CPB18</t>
  </si>
  <si>
    <t>BF84CPB19</t>
  </si>
  <si>
    <t>BF84CPB2</t>
  </si>
  <si>
    <t>BF84CPB20</t>
  </si>
  <si>
    <t>BF84CPB3</t>
  </si>
  <si>
    <t>BF84CPB4</t>
  </si>
  <si>
    <t>BF84CPB5</t>
  </si>
  <si>
    <t>BF84CPB6</t>
  </si>
  <si>
    <t>BF84CPB7</t>
  </si>
  <si>
    <t>BF84CPB8</t>
  </si>
  <si>
    <t>BF84CPB9</t>
  </si>
  <si>
    <t>BF84EPB1</t>
  </si>
  <si>
    <t>BF84EPB10</t>
  </si>
  <si>
    <t>BF84EPB11</t>
  </si>
  <si>
    <t>BF84EPB12</t>
  </si>
  <si>
    <t>BF84EPB13</t>
  </si>
  <si>
    <t>BF84EPB14</t>
  </si>
  <si>
    <t>BF84EPB15</t>
  </si>
  <si>
    <t>BF84EPB16</t>
  </si>
  <si>
    <t>BF84EPB17</t>
  </si>
  <si>
    <t>BF84EPB18</t>
  </si>
  <si>
    <t>BF84EPB19</t>
  </si>
  <si>
    <t>BF84EPB2</t>
  </si>
  <si>
    <t>BF84EPB20</t>
  </si>
  <si>
    <t>BF84EPB3</t>
  </si>
  <si>
    <t>BF84EPB4</t>
  </si>
  <si>
    <t>BF84EPB5</t>
  </si>
  <si>
    <t>BF84EPB6</t>
  </si>
  <si>
    <t>BF84EPB7</t>
  </si>
  <si>
    <t>BF84EPB8</t>
  </si>
  <si>
    <t>BF84EPB9</t>
  </si>
  <si>
    <t>BF86CPB1</t>
  </si>
  <si>
    <t>BF86CPB10</t>
  </si>
  <si>
    <t>BF86CPB11</t>
  </si>
  <si>
    <t>BF86CPB12</t>
  </si>
  <si>
    <t>BF86CPB13</t>
  </si>
  <si>
    <t>BF86CPB14</t>
  </si>
  <si>
    <t>BF86CPB15</t>
  </si>
  <si>
    <t>BF86CPB16</t>
  </si>
  <si>
    <t>BF86CPB17</t>
  </si>
  <si>
    <t>BF86CPB18</t>
  </si>
  <si>
    <t>BF86CPB19</t>
  </si>
  <si>
    <t>BF86CPB2</t>
  </si>
  <si>
    <t>BF86CPB20</t>
  </si>
  <si>
    <t>BF86CPB3</t>
  </si>
  <si>
    <t>BF86CPB4</t>
  </si>
  <si>
    <t>BF86CPB5</t>
  </si>
  <si>
    <t>BF86CPB6</t>
  </si>
  <si>
    <t>BF86CPB7</t>
  </si>
  <si>
    <t>BF86CPB8</t>
  </si>
  <si>
    <t>BF86CPB9</t>
  </si>
  <si>
    <t>BF86EPB1</t>
  </si>
  <si>
    <t>BF86EPB10</t>
  </si>
  <si>
    <t>BF86EPB11</t>
  </si>
  <si>
    <t>BF86EPB12</t>
  </si>
  <si>
    <t>BF86EPB13</t>
  </si>
  <si>
    <t>BF86EPB14</t>
  </si>
  <si>
    <t>BF86EPB15</t>
  </si>
  <si>
    <t>BF86EPB16</t>
  </si>
  <si>
    <t>BF86EPB17</t>
  </si>
  <si>
    <t>BF86EPB18</t>
  </si>
  <si>
    <t>BF86EPB19</t>
  </si>
  <si>
    <t>BF86EPB2</t>
  </si>
  <si>
    <t>BF86EPB20</t>
  </si>
  <si>
    <t>BF86EPB3</t>
  </si>
  <si>
    <t>BF86EPB4</t>
  </si>
  <si>
    <t>BF86EPB5</t>
  </si>
  <si>
    <t>BF86EPB6</t>
  </si>
  <si>
    <t>BF86EPB7</t>
  </si>
  <si>
    <t>BF86EPB8</t>
  </si>
  <si>
    <t>BF86EPB9</t>
  </si>
  <si>
    <t>spruce</t>
  </si>
  <si>
    <t>BS1</t>
  </si>
  <si>
    <t>BF72CBS1</t>
  </si>
  <si>
    <t>BS10</t>
  </si>
  <si>
    <t>BF72CBS10</t>
  </si>
  <si>
    <t>BS11</t>
  </si>
  <si>
    <t>BF72CBS11</t>
  </si>
  <si>
    <t>BS12</t>
  </si>
  <si>
    <t>BF72CBS12</t>
  </si>
  <si>
    <t>BS13</t>
  </si>
  <si>
    <t>BF72CBS13</t>
  </si>
  <si>
    <t>BS14</t>
  </si>
  <si>
    <t>BF72CBS14</t>
  </si>
  <si>
    <t>BS15</t>
  </si>
  <si>
    <t>BF72CBS15</t>
  </si>
  <si>
    <t>BS16</t>
  </si>
  <si>
    <t>BF72CBS16</t>
  </si>
  <si>
    <t>BS17</t>
  </si>
  <si>
    <t>BF72CBS17</t>
  </si>
  <si>
    <t>BS18</t>
  </si>
  <si>
    <t>BF72CBS18</t>
  </si>
  <si>
    <t>BS19</t>
  </si>
  <si>
    <t>BF72CBS19</t>
  </si>
  <si>
    <t>BS2</t>
  </si>
  <si>
    <t>BF72CBS2</t>
  </si>
  <si>
    <t>BS20</t>
  </si>
  <si>
    <t>BF72CBS20</t>
  </si>
  <si>
    <t>BS3</t>
  </si>
  <si>
    <t>BF72CBS3</t>
  </si>
  <si>
    <t>BS4</t>
  </si>
  <si>
    <t>BF72CBS4</t>
  </si>
  <si>
    <t>BS5</t>
  </si>
  <si>
    <t>BF72CBS5</t>
  </si>
  <si>
    <t>BS6</t>
  </si>
  <si>
    <t>BF72CBS6</t>
  </si>
  <si>
    <t>BS7</t>
  </si>
  <si>
    <t>BF72CBS7</t>
  </si>
  <si>
    <t>BS8</t>
  </si>
  <si>
    <t>BF72CBS8</t>
  </si>
  <si>
    <t>BS9</t>
  </si>
  <si>
    <t>BF72CBS9</t>
  </si>
  <si>
    <t>BF72EBS1</t>
  </si>
  <si>
    <t>BF72EBS10</t>
  </si>
  <si>
    <t>BF72EBS11</t>
  </si>
  <si>
    <t>BF72EBS12</t>
  </si>
  <si>
    <t>BF72EBS13</t>
  </si>
  <si>
    <t>BF72EBS14</t>
  </si>
  <si>
    <t>BF72EBS15</t>
  </si>
  <si>
    <t>BF72EBS16</t>
  </si>
  <si>
    <t>BF72EBS17</t>
  </si>
  <si>
    <t>BF72EBS18</t>
  </si>
  <si>
    <t>BF72EBS19</t>
  </si>
  <si>
    <t>BF72EBS2</t>
  </si>
  <si>
    <t>BF72EBS20</t>
  </si>
  <si>
    <t>BF72EBS3</t>
  </si>
  <si>
    <t>BF72EBS4</t>
  </si>
  <si>
    <t>BF72EBS5</t>
  </si>
  <si>
    <t>BF72EBS6</t>
  </si>
  <si>
    <t>BF72EBS7</t>
  </si>
  <si>
    <t>BF72EBS8</t>
  </si>
  <si>
    <t>BF72EBS9</t>
  </si>
  <si>
    <t>BF76CBS1</t>
  </si>
  <si>
    <t>BF76CBS10</t>
  </si>
  <si>
    <t>BF76CBS11</t>
  </si>
  <si>
    <t>BF76CBS12</t>
  </si>
  <si>
    <t>BF76CBS13</t>
  </si>
  <si>
    <t>BF76CBS14</t>
  </si>
  <si>
    <t>BF76CBS15</t>
  </si>
  <si>
    <t>BF76CBS16</t>
  </si>
  <si>
    <t>BF76CBS17</t>
  </si>
  <si>
    <t>BF76CBS18</t>
  </si>
  <si>
    <t>BF76CBS19</t>
  </si>
  <si>
    <t>BF76CBS2</t>
  </si>
  <si>
    <t>BF76CBS20</t>
  </si>
  <si>
    <t>BF76CBS3</t>
  </si>
  <si>
    <t>BF76CBS4</t>
  </si>
  <si>
    <t>BF76CBS5</t>
  </si>
  <si>
    <t>BF76CBS6</t>
  </si>
  <si>
    <t>BF76CBS7</t>
  </si>
  <si>
    <t>BF76CBS8</t>
  </si>
  <si>
    <t>BF76CBS9</t>
  </si>
  <si>
    <t>BF76EBS1</t>
  </si>
  <si>
    <t>BF76EBS10</t>
  </si>
  <si>
    <t>BF76EBS11</t>
  </si>
  <si>
    <t>BF76EBS12</t>
  </si>
  <si>
    <t>BF76EBS13</t>
  </si>
  <si>
    <t>BF76EBS14</t>
  </si>
  <si>
    <t>BF76EBS15</t>
  </si>
  <si>
    <t>BF76EBS16</t>
  </si>
  <si>
    <t>BF76EBS17</t>
  </si>
  <si>
    <t>BF76EBS18</t>
  </si>
  <si>
    <t>BF76EBS19</t>
  </si>
  <si>
    <t>BF76EBS2</t>
  </si>
  <si>
    <t>BF76EBS20</t>
  </si>
  <si>
    <t>BF76EBS3</t>
  </si>
  <si>
    <t>BF76EBS4</t>
  </si>
  <si>
    <t>BF76EBS5</t>
  </si>
  <si>
    <t>BF76EBS6</t>
  </si>
  <si>
    <t>BF76EBS7</t>
  </si>
  <si>
    <t>BF76EBS8</t>
  </si>
  <si>
    <t>BF76EBS9</t>
  </si>
  <si>
    <t>BF79CBS1</t>
  </si>
  <si>
    <t>BF79CBS10</t>
  </si>
  <si>
    <t>BF79CBS11</t>
  </si>
  <si>
    <t>BF79CBS12</t>
  </si>
  <si>
    <t>BF79CBS13</t>
  </si>
  <si>
    <t>BF79CBS14</t>
  </si>
  <si>
    <t>BF79CBS15</t>
  </si>
  <si>
    <t>BF79CBS16</t>
  </si>
  <si>
    <t>BF79CBS17</t>
  </si>
  <si>
    <t>BF79CBS18</t>
  </si>
  <si>
    <t>BF79CBS19</t>
  </si>
  <si>
    <t>BF79CBS2</t>
  </si>
  <si>
    <t>BF79CBS20</t>
  </si>
  <si>
    <t>BF79CBS3</t>
  </si>
  <si>
    <t>BF79CBS4</t>
  </si>
  <si>
    <t>BF79CBS5</t>
  </si>
  <si>
    <t>BF79CBS6</t>
  </si>
  <si>
    <t>BF79CBS7</t>
  </si>
  <si>
    <t>BF79CBS8</t>
  </si>
  <si>
    <t>BF79CBS9</t>
  </si>
  <si>
    <t>BF79EBS1</t>
  </si>
  <si>
    <t>BF79EBS10</t>
  </si>
  <si>
    <t>BF79EBS11</t>
  </si>
  <si>
    <t>BF79EBS12</t>
  </si>
  <si>
    <t>BF79EBS13</t>
  </si>
  <si>
    <t>BF79EBS14</t>
  </si>
  <si>
    <t>BF79EBS15</t>
  </si>
  <si>
    <t>BF79EBS16</t>
  </si>
  <si>
    <t>BF79EBS17</t>
  </si>
  <si>
    <t>BF79EBS18</t>
  </si>
  <si>
    <t>BF79EBS19</t>
  </si>
  <si>
    <t>BF79EBS2</t>
  </si>
  <si>
    <t>BF79EBS20</t>
  </si>
  <si>
    <t>BF79EBS3</t>
  </si>
  <si>
    <t>BF79EBS4</t>
  </si>
  <si>
    <t>BF79EBS5</t>
  </si>
  <si>
    <t>BF79EBS6</t>
  </si>
  <si>
    <t>BF79EBS7</t>
  </si>
  <si>
    <t>BF79EBS8</t>
  </si>
  <si>
    <t>BF79EBS9</t>
  </si>
  <si>
    <t>BF82CBS1</t>
  </si>
  <si>
    <t>BF82CBS10</t>
  </si>
  <si>
    <t>BF82CBS11</t>
  </si>
  <si>
    <t>BF82CBS12</t>
  </si>
  <si>
    <t>BF82CBS13</t>
  </si>
  <si>
    <t>BF82CBS14</t>
  </si>
  <si>
    <t>BF82CBS15</t>
  </si>
  <si>
    <t>BF82CBS16</t>
  </si>
  <si>
    <t>BF82CBS17</t>
  </si>
  <si>
    <t>BF82CBS18</t>
  </si>
  <si>
    <t>BF82CBS19</t>
  </si>
  <si>
    <t>BF82CBS2</t>
  </si>
  <si>
    <t>BF82CBS20</t>
  </si>
  <si>
    <t>BF82CBS3</t>
  </si>
  <si>
    <t>BF82CBS4</t>
  </si>
  <si>
    <t>BF82CBS5</t>
  </si>
  <si>
    <t>BF82CBS6</t>
  </si>
  <si>
    <t>BF82CBS7</t>
  </si>
  <si>
    <t>BF82CBS8</t>
  </si>
  <si>
    <t>BF82CBS9</t>
  </si>
  <si>
    <t>BF82EBS1</t>
  </si>
  <si>
    <t>BF82EBS10</t>
  </si>
  <si>
    <t>BF82EBS11</t>
  </si>
  <si>
    <t>BF82EBS12</t>
  </si>
  <si>
    <t>BF82EBS13</t>
  </si>
  <si>
    <t>BF82EBS14</t>
  </si>
  <si>
    <t>BF82EBS15</t>
  </si>
  <si>
    <t>BF82EBS16</t>
  </si>
  <si>
    <t>BF82EBS17</t>
  </si>
  <si>
    <t>BF82EBS18</t>
  </si>
  <si>
    <t>BF82EBS19</t>
  </si>
  <si>
    <t>BF82EBS2</t>
  </si>
  <si>
    <t>BF82EBS20</t>
  </si>
  <si>
    <t>BF82EBS3</t>
  </si>
  <si>
    <t>BF82EBS4</t>
  </si>
  <si>
    <t>BF82EBS5</t>
  </si>
  <si>
    <t>BF82EBS6</t>
  </si>
  <si>
    <t>BF82EBS7</t>
  </si>
  <si>
    <t>BF82EBS8</t>
  </si>
  <si>
    <t>BF82EBS9</t>
  </si>
  <si>
    <t>BF84CBS1</t>
  </si>
  <si>
    <t>BF84CBS10</t>
  </si>
  <si>
    <t>BF84CBS11</t>
  </si>
  <si>
    <t>BF84CBS12</t>
  </si>
  <si>
    <t>BF84CBS13</t>
  </si>
  <si>
    <t>BF84CBS14</t>
  </si>
  <si>
    <t>BF84CBS15</t>
  </si>
  <si>
    <t>BF84CBS16</t>
  </si>
  <si>
    <t>BF84CBS17</t>
  </si>
  <si>
    <t>BF84CBS18</t>
  </si>
  <si>
    <t>BF84CBS19</t>
  </si>
  <si>
    <t>BF84CBS2</t>
  </si>
  <si>
    <t>BF84CBS20</t>
  </si>
  <si>
    <t>BF84CBS3</t>
  </si>
  <si>
    <t>BF84CBS4</t>
  </si>
  <si>
    <t>BF84CBS5</t>
  </si>
  <si>
    <t>BF84CBS6</t>
  </si>
  <si>
    <t>BF84CBS7</t>
  </si>
  <si>
    <t>BF84CBS8</t>
  </si>
  <si>
    <t>BF84CBS9</t>
  </si>
  <si>
    <t>BF84EBS1</t>
  </si>
  <si>
    <t>BF84EBS10</t>
  </si>
  <si>
    <t>BF84EBS11</t>
  </si>
  <si>
    <t>BF84EBS12</t>
  </si>
  <si>
    <t>BF84EBS13</t>
  </si>
  <si>
    <t>BF84EBS14</t>
  </si>
  <si>
    <t>BF84EBS15</t>
  </si>
  <si>
    <t>BF84EBS16</t>
  </si>
  <si>
    <t>BF84EBS17</t>
  </si>
  <si>
    <t>BF84EBS18</t>
  </si>
  <si>
    <t>BF84EBS19</t>
  </si>
  <si>
    <t>BF84EBS2</t>
  </si>
  <si>
    <t>BF84EBS20</t>
  </si>
  <si>
    <t>BF84EBS3</t>
  </si>
  <si>
    <t>BF84EBS4</t>
  </si>
  <si>
    <t>BF84EBS5</t>
  </si>
  <si>
    <t>BF84EBS6</t>
  </si>
  <si>
    <t>BF84EBS7</t>
  </si>
  <si>
    <t>BF84EBS8</t>
  </si>
  <si>
    <t>BF84EBS9</t>
  </si>
  <si>
    <t>BF86CBS1</t>
  </si>
  <si>
    <t>BF86CBS10</t>
  </si>
  <si>
    <t>BF86CBS11</t>
  </si>
  <si>
    <t>BF86CBS12</t>
  </si>
  <si>
    <t>BF86CBS13</t>
  </si>
  <si>
    <t>BF86CBS14</t>
  </si>
  <si>
    <t>BF86CBS15</t>
  </si>
  <si>
    <t>BF86CBS16</t>
  </si>
  <si>
    <t>BF86CBS17</t>
  </si>
  <si>
    <t>BF86CBS18</t>
  </si>
  <si>
    <t>BF86CBS19</t>
  </si>
  <si>
    <t>BF86CBS2</t>
  </si>
  <si>
    <t>BF86CBS20</t>
  </si>
  <si>
    <t>BF86CBS3</t>
  </si>
  <si>
    <t>BF86CBS4</t>
  </si>
  <si>
    <t>BF86CBS5</t>
  </si>
  <si>
    <t>BF86CBS6</t>
  </si>
  <si>
    <t>BF86CBS7</t>
  </si>
  <si>
    <t>BF86CBS8</t>
  </si>
  <si>
    <t>BF86CBS9</t>
  </si>
  <si>
    <t>BF86EBS1</t>
  </si>
  <si>
    <t>BF86EBS10</t>
  </si>
  <si>
    <t>BF86EBS11</t>
  </si>
  <si>
    <t>BF86EBS12</t>
  </si>
  <si>
    <t>BF86EBS13</t>
  </si>
  <si>
    <t>BF86EBS14</t>
  </si>
  <si>
    <t>BF86EBS15</t>
  </si>
  <si>
    <t>BF86EBS16</t>
  </si>
  <si>
    <t>BF86EBS17</t>
  </si>
  <si>
    <t>BF86EBS18</t>
  </si>
  <si>
    <t>BF86EBS19</t>
  </si>
  <si>
    <t>BF86EBS2</t>
  </si>
  <si>
    <t>BF86EBS20</t>
  </si>
  <si>
    <t>BF86EBS3</t>
  </si>
  <si>
    <t>BF86EBS4</t>
  </si>
  <si>
    <t>BF86EBS5</t>
  </si>
  <si>
    <t>BF86EBS6</t>
  </si>
  <si>
    <t>BF86EBS7</t>
  </si>
  <si>
    <t>BF86EBS8</t>
  </si>
  <si>
    <t>BF86EBS9</t>
  </si>
  <si>
    <t>Height2017</t>
  </si>
  <si>
    <t>Basal2017</t>
  </si>
  <si>
    <t>DBH2017</t>
  </si>
  <si>
    <t>CrownDepth2017</t>
  </si>
  <si>
    <t>CrownWidth2017</t>
  </si>
  <si>
    <t>CrownPerp2017</t>
  </si>
  <si>
    <t>Health</t>
  </si>
  <si>
    <t>Notes</t>
  </si>
  <si>
    <t>1-2 mb</t>
  </si>
  <si>
    <t>&lt;5 mb</t>
  </si>
  <si>
    <t>mb</t>
  </si>
  <si>
    <t>4 mb</t>
  </si>
  <si>
    <t>2-3 mb</t>
  </si>
  <si>
    <t>couldn't find</t>
  </si>
  <si>
    <t>browsing</t>
  </si>
  <si>
    <t>hare br</t>
  </si>
  <si>
    <t>Browsed2017</t>
  </si>
  <si>
    <t>CrownWMean2017</t>
  </si>
  <si>
    <t>FinalPropHeightChange</t>
  </si>
  <si>
    <t>FinalPropBasalChange</t>
  </si>
  <si>
    <t>FinalPropCrownD</t>
  </si>
  <si>
    <t>FinalPropCrownW</t>
  </si>
  <si>
    <t>Alive2017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</si>
</sst>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21"/>
  <sheetViews>
    <sheetView tabSelected="1" topLeftCell="BG1" workbookViewId="0">
      <pane ySplit="1" topLeftCell="A2" activePane="bottomLeft" state="frozen"/>
      <selection pane="bottomLeft" activeCell="BL14" sqref="BL14"/>
    </sheetView>
  </sheetViews>
  <sheetFormatPr baseColWidth="10" defaultRowHeight="16" x14ac:dyDescent="0.2"/>
  <cols>
    <col min="2" max="2" width="0" hidden="1" customWidth="1"/>
    <col min="4" max="4" width="7.33203125" bestFit="1" customWidth="1"/>
    <col min="5" max="5" width="5.33203125" bestFit="1" customWidth="1"/>
    <col min="6" max="6" width="10.5" bestFit="1" customWidth="1"/>
    <col min="7" max="7" width="12.6640625" bestFit="1" customWidth="1"/>
    <col min="8" max="8" width="12.1640625" bestFit="1" customWidth="1"/>
    <col min="9" max="9" width="11.33203125" bestFit="1" customWidth="1"/>
    <col min="10" max="10" width="13" bestFit="1" customWidth="1"/>
    <col min="11" max="11" width="11.33203125" bestFit="1" customWidth="1"/>
    <col min="12" max="12" width="12.1640625" bestFit="1" customWidth="1"/>
    <col min="13" max="14" width="10.5" bestFit="1" customWidth="1"/>
    <col min="15" max="15" width="11.5" bestFit="1" customWidth="1"/>
    <col min="16" max="16" width="10.5" bestFit="1" customWidth="1"/>
    <col min="17" max="17" width="12.5" bestFit="1" customWidth="1"/>
    <col min="18" max="18" width="7.5" bestFit="1" customWidth="1"/>
    <col min="19" max="19" width="15.33203125" bestFit="1" customWidth="1"/>
    <col min="20" max="20" width="12.83203125" bestFit="1" customWidth="1"/>
    <col min="21" max="21" width="16" bestFit="1" customWidth="1"/>
    <col min="22" max="24" width="9.6640625" bestFit="1" customWidth="1"/>
    <col min="25" max="25" width="11.6640625" bestFit="1" customWidth="1"/>
    <col min="26" max="26" width="12.83203125" bestFit="1" customWidth="1"/>
    <col min="27" max="29" width="8.6640625" bestFit="1" customWidth="1"/>
    <col min="30" max="32" width="15.1640625" bestFit="1" customWidth="1"/>
    <col min="33" max="35" width="15.33203125" bestFit="1" customWidth="1"/>
    <col min="36" max="38" width="14" bestFit="1" customWidth="1"/>
    <col min="39" max="40" width="17" bestFit="1" customWidth="1"/>
    <col min="41" max="41" width="21.1640625" bestFit="1" customWidth="1"/>
    <col min="42" max="42" width="21" bestFit="1" customWidth="1"/>
    <col min="43" max="44" width="14.6640625" bestFit="1" customWidth="1"/>
    <col min="45" max="45" width="18.33203125" bestFit="1" customWidth="1"/>
    <col min="46" max="46" width="14.6640625" bestFit="1" customWidth="1"/>
    <col min="47" max="49" width="10.5" bestFit="1" customWidth="1"/>
    <col min="50" max="50" width="16.5" bestFit="1" customWidth="1"/>
    <col min="51" max="53" width="9.1640625" bestFit="1" customWidth="1"/>
    <col min="54" max="56" width="14.1640625" bestFit="1" customWidth="1"/>
    <col min="57" max="57" width="14.33203125" bestFit="1" customWidth="1"/>
    <col min="58" max="58" width="14.6640625" bestFit="1" customWidth="1"/>
    <col min="59" max="59" width="21.6640625" bestFit="1" customWidth="1"/>
    <col min="60" max="60" width="17.1640625" bestFit="1" customWidth="1"/>
    <col min="61" max="61" width="10.5" bestFit="1" customWidth="1"/>
    <col min="62" max="62" width="9.6640625" bestFit="1" customWidth="1"/>
    <col min="63" max="63" width="8.6640625" bestFit="1" customWidth="1"/>
    <col min="64" max="64" width="15.1640625" bestFit="1" customWidth="1"/>
    <col min="65" max="65" width="15.33203125" bestFit="1" customWidth="1"/>
    <col min="66" max="66" width="14" bestFit="1" customWidth="1"/>
    <col min="67" max="67" width="17" bestFit="1" customWidth="1"/>
    <col min="68" max="68" width="6.5" bestFit="1" customWidth="1"/>
    <col min="69" max="69" width="9.1640625" bestFit="1" customWidth="1"/>
    <col min="70" max="70" width="11.33203125" bestFit="1" customWidth="1"/>
    <col min="71" max="71" width="12.33203125" bestFit="1" customWidth="1"/>
    <col min="72" max="72" width="19.83203125" bestFit="1" customWidth="1"/>
  </cols>
  <sheetData>
    <row r="1" spans="1: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864</v>
      </c>
      <c r="BJ1" t="s">
        <v>865</v>
      </c>
      <c r="BK1" t="s">
        <v>866</v>
      </c>
      <c r="BL1" t="s">
        <v>867</v>
      </c>
      <c r="BM1" t="s">
        <v>868</v>
      </c>
      <c r="BN1" t="s">
        <v>869</v>
      </c>
      <c r="BO1" t="s">
        <v>881</v>
      </c>
      <c r="BP1" t="s">
        <v>870</v>
      </c>
      <c r="BQ1" t="s">
        <v>886</v>
      </c>
      <c r="BR1" t="s">
        <v>871</v>
      </c>
      <c r="BS1" t="s">
        <v>880</v>
      </c>
      <c r="BT1" t="s">
        <v>882</v>
      </c>
      <c r="BU1" t="s">
        <v>883</v>
      </c>
      <c r="BV1" t="s">
        <v>884</v>
      </c>
      <c r="BW1" t="s">
        <v>885</v>
      </c>
    </row>
    <row r="2" spans="1:75" x14ac:dyDescent="0.2">
      <c r="A2" t="s">
        <v>60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>
        <v>2.7</v>
      </c>
      <c r="H2">
        <v>5.9</v>
      </c>
      <c r="I2">
        <v>5.75</v>
      </c>
      <c r="J2">
        <v>3.6</v>
      </c>
      <c r="K2">
        <v>17.95</v>
      </c>
      <c r="L2">
        <v>4.3148148150000001</v>
      </c>
      <c r="M2">
        <v>86</v>
      </c>
      <c r="N2">
        <v>91</v>
      </c>
      <c r="O2">
        <v>5</v>
      </c>
      <c r="P2">
        <v>114</v>
      </c>
      <c r="Q2">
        <v>28</v>
      </c>
      <c r="R2">
        <v>14</v>
      </c>
      <c r="S2">
        <v>75.099999999999994</v>
      </c>
      <c r="T2">
        <v>32.558139529999998</v>
      </c>
      <c r="U2">
        <v>25.274725270000001</v>
      </c>
      <c r="V2">
        <v>7</v>
      </c>
      <c r="W2">
        <v>7</v>
      </c>
      <c r="X2">
        <v>10</v>
      </c>
      <c r="Y2">
        <v>3</v>
      </c>
      <c r="Z2">
        <v>42.857142860000003</v>
      </c>
      <c r="AA2">
        <v>4</v>
      </c>
      <c r="AB2" t="s">
        <v>66</v>
      </c>
      <c r="AC2" t="s">
        <v>66</v>
      </c>
      <c r="AD2" t="s">
        <v>66</v>
      </c>
      <c r="AE2">
        <v>64</v>
      </c>
      <c r="AF2">
        <v>86</v>
      </c>
      <c r="AG2" t="s">
        <v>66</v>
      </c>
      <c r="AH2">
        <v>20</v>
      </c>
      <c r="AI2">
        <v>22</v>
      </c>
      <c r="AJ2" t="s">
        <v>66</v>
      </c>
      <c r="AK2">
        <v>15</v>
      </c>
      <c r="AL2">
        <v>22</v>
      </c>
      <c r="AM2">
        <v>17.5</v>
      </c>
      <c r="AN2">
        <v>22</v>
      </c>
      <c r="AO2">
        <v>25.714285709999999</v>
      </c>
      <c r="AP2">
        <v>34.375</v>
      </c>
      <c r="AQ2">
        <v>3.6571428570000002</v>
      </c>
      <c r="AR2">
        <v>3.9090909090000001</v>
      </c>
      <c r="AS2">
        <v>0.25194805199999998</v>
      </c>
      <c r="AT2">
        <v>0</v>
      </c>
      <c r="AU2" t="s">
        <v>66</v>
      </c>
      <c r="AV2">
        <v>4</v>
      </c>
      <c r="AW2">
        <v>4</v>
      </c>
      <c r="AX2">
        <v>0</v>
      </c>
      <c r="AY2">
        <v>1</v>
      </c>
      <c r="AZ2">
        <v>1</v>
      </c>
      <c r="BA2">
        <v>1</v>
      </c>
      <c r="BB2" t="s">
        <v>66</v>
      </c>
      <c r="BC2">
        <v>29.9</v>
      </c>
      <c r="BD2">
        <v>64.2</v>
      </c>
      <c r="BE2">
        <v>114.7157191</v>
      </c>
      <c r="BF2">
        <v>0</v>
      </c>
      <c r="BG2">
        <v>44.94</v>
      </c>
      <c r="BH2">
        <v>50.301003340000001</v>
      </c>
      <c r="BI2">
        <v>123</v>
      </c>
      <c r="BJ2">
        <v>10.7</v>
      </c>
      <c r="BK2" t="s">
        <v>66</v>
      </c>
      <c r="BL2">
        <f>123-49</f>
        <v>74</v>
      </c>
      <c r="BM2">
        <v>34</v>
      </c>
      <c r="BN2">
        <v>17</v>
      </c>
      <c r="BO2">
        <f t="shared" ref="BO2:BO45" si="0">AVERAGE(BM2,BN2)</f>
        <v>25.5</v>
      </c>
      <c r="BP2">
        <v>3</v>
      </c>
      <c r="BQ2">
        <v>1</v>
      </c>
      <c r="BS2">
        <v>0</v>
      </c>
      <c r="BT2">
        <f t="shared" ref="BT2:BT45" si="1">(BI2-M2)/BI2*100</f>
        <v>30.081300813008134</v>
      </c>
      <c r="BU2">
        <f t="shared" ref="BU2:BU45" si="2">(BJ2-V2)/BJ2*100</f>
        <v>34.579439252336449</v>
      </c>
      <c r="BV2">
        <f t="shared" ref="BV2:BV45" si="3">(BL2-AE2)/BL2*100</f>
        <v>13.513513513513514</v>
      </c>
      <c r="BW2">
        <f t="shared" ref="BW2:BW45" si="4">(BO2-AM2)/BO2*100</f>
        <v>31.372549019607842</v>
      </c>
    </row>
    <row r="3" spans="1:75" x14ac:dyDescent="0.2">
      <c r="A3" t="s">
        <v>60</v>
      </c>
      <c r="B3" t="s">
        <v>61</v>
      </c>
      <c r="C3" t="s">
        <v>62</v>
      </c>
      <c r="D3" t="s">
        <v>63</v>
      </c>
      <c r="E3" t="s">
        <v>67</v>
      </c>
      <c r="F3" t="s">
        <v>68</v>
      </c>
      <c r="G3">
        <v>2.7</v>
      </c>
      <c r="H3">
        <v>5.9</v>
      </c>
      <c r="I3">
        <v>5.75</v>
      </c>
      <c r="J3">
        <v>3.6</v>
      </c>
      <c r="K3">
        <v>17.95</v>
      </c>
      <c r="L3">
        <v>4.3148148150000001</v>
      </c>
      <c r="M3">
        <v>38</v>
      </c>
      <c r="N3">
        <v>43</v>
      </c>
      <c r="O3">
        <v>5</v>
      </c>
      <c r="P3">
        <v>39</v>
      </c>
      <c r="Q3">
        <v>1</v>
      </c>
      <c r="R3">
        <v>0.5</v>
      </c>
      <c r="S3">
        <v>48.1</v>
      </c>
      <c r="T3">
        <v>2.6315789469999999</v>
      </c>
      <c r="U3">
        <v>-9.3023255809999998</v>
      </c>
      <c r="V3">
        <v>5</v>
      </c>
      <c r="W3">
        <v>5</v>
      </c>
      <c r="X3">
        <v>7</v>
      </c>
      <c r="Y3">
        <v>2</v>
      </c>
      <c r="Z3">
        <v>40</v>
      </c>
      <c r="AA3" t="s">
        <v>66</v>
      </c>
      <c r="AB3" t="s">
        <v>66</v>
      </c>
      <c r="AC3" t="s">
        <v>66</v>
      </c>
      <c r="AD3" t="s">
        <v>66</v>
      </c>
      <c r="AE3">
        <v>19</v>
      </c>
      <c r="AF3">
        <v>20</v>
      </c>
      <c r="AG3" t="s">
        <v>66</v>
      </c>
      <c r="AH3">
        <v>13</v>
      </c>
      <c r="AI3">
        <v>21</v>
      </c>
      <c r="AJ3" t="s">
        <v>66</v>
      </c>
      <c r="AK3">
        <v>13</v>
      </c>
      <c r="AL3">
        <v>13</v>
      </c>
      <c r="AM3">
        <v>13</v>
      </c>
      <c r="AN3">
        <v>17</v>
      </c>
      <c r="AO3">
        <v>30.76923077</v>
      </c>
      <c r="AP3">
        <v>5.263157895</v>
      </c>
      <c r="AQ3">
        <v>1.461538462</v>
      </c>
      <c r="AR3">
        <v>1.1764705879999999</v>
      </c>
      <c r="AS3">
        <v>-0.285067874</v>
      </c>
      <c r="AT3">
        <v>0</v>
      </c>
      <c r="AU3" t="s">
        <v>66</v>
      </c>
      <c r="AV3">
        <v>1</v>
      </c>
      <c r="AW3">
        <v>2</v>
      </c>
      <c r="AX3">
        <v>0</v>
      </c>
      <c r="AY3">
        <v>1</v>
      </c>
      <c r="AZ3">
        <v>1</v>
      </c>
      <c r="BA3">
        <v>1</v>
      </c>
      <c r="BB3" t="s">
        <v>66</v>
      </c>
      <c r="BC3">
        <v>27.4</v>
      </c>
      <c r="BD3">
        <v>44.7</v>
      </c>
      <c r="BE3">
        <v>63.138686130000004</v>
      </c>
      <c r="BF3">
        <v>0</v>
      </c>
      <c r="BG3">
        <v>31.29</v>
      </c>
      <c r="BH3">
        <v>14.197080290000001</v>
      </c>
      <c r="BI3">
        <v>62</v>
      </c>
      <c r="BJ3">
        <v>7.1</v>
      </c>
      <c r="BK3" t="s">
        <v>66</v>
      </c>
      <c r="BL3">
        <f>62-34</f>
        <v>28</v>
      </c>
      <c r="BM3">
        <v>23</v>
      </c>
      <c r="BN3">
        <v>16</v>
      </c>
      <c r="BO3">
        <f t="shared" si="0"/>
        <v>19.5</v>
      </c>
      <c r="BP3">
        <v>3</v>
      </c>
      <c r="BQ3">
        <v>1</v>
      </c>
      <c r="BS3">
        <v>0</v>
      </c>
      <c r="BT3">
        <f t="shared" si="1"/>
        <v>38.70967741935484</v>
      </c>
      <c r="BU3">
        <f t="shared" si="2"/>
        <v>29.577464788732389</v>
      </c>
      <c r="BV3">
        <f t="shared" si="3"/>
        <v>32.142857142857146</v>
      </c>
      <c r="BW3">
        <f t="shared" si="4"/>
        <v>33.333333333333329</v>
      </c>
    </row>
    <row r="4" spans="1:75" x14ac:dyDescent="0.2">
      <c r="A4" t="s">
        <v>60</v>
      </c>
      <c r="B4" t="s">
        <v>61</v>
      </c>
      <c r="C4" t="s">
        <v>62</v>
      </c>
      <c r="D4" t="s">
        <v>63</v>
      </c>
      <c r="E4" t="s">
        <v>71</v>
      </c>
      <c r="F4" t="s">
        <v>72</v>
      </c>
      <c r="G4">
        <v>2.7</v>
      </c>
      <c r="H4">
        <v>5.9</v>
      </c>
      <c r="I4">
        <v>5.75</v>
      </c>
      <c r="J4">
        <v>3.6</v>
      </c>
      <c r="K4">
        <v>17.95</v>
      </c>
      <c r="L4">
        <v>4.3148148150000001</v>
      </c>
      <c r="M4">
        <v>38</v>
      </c>
      <c r="N4">
        <v>60</v>
      </c>
      <c r="O4">
        <v>22</v>
      </c>
      <c r="P4">
        <v>64</v>
      </c>
      <c r="Q4">
        <v>26</v>
      </c>
      <c r="R4">
        <v>13</v>
      </c>
      <c r="S4">
        <v>73.099999999999994</v>
      </c>
      <c r="T4">
        <v>68.421052630000005</v>
      </c>
      <c r="U4">
        <v>6.6666666670000003</v>
      </c>
      <c r="V4">
        <v>3</v>
      </c>
      <c r="W4">
        <v>7</v>
      </c>
      <c r="X4">
        <v>7</v>
      </c>
      <c r="Y4">
        <v>4</v>
      </c>
      <c r="Z4">
        <v>133.33333329999999</v>
      </c>
      <c r="AA4" t="s">
        <v>66</v>
      </c>
      <c r="AB4" t="s">
        <v>66</v>
      </c>
      <c r="AC4" t="s">
        <v>66</v>
      </c>
      <c r="AD4" t="s">
        <v>66</v>
      </c>
      <c r="AE4">
        <v>44</v>
      </c>
      <c r="AF4">
        <v>42</v>
      </c>
      <c r="AG4" t="s">
        <v>66</v>
      </c>
      <c r="AH4">
        <v>12</v>
      </c>
      <c r="AI4">
        <v>16</v>
      </c>
      <c r="AJ4" t="s">
        <v>66</v>
      </c>
      <c r="AK4">
        <v>11</v>
      </c>
      <c r="AL4">
        <v>12</v>
      </c>
      <c r="AM4">
        <v>11.5</v>
      </c>
      <c r="AN4">
        <v>14</v>
      </c>
      <c r="AO4">
        <v>21.739130429999999</v>
      </c>
      <c r="AP4">
        <v>-4.5454545450000001</v>
      </c>
      <c r="AQ4">
        <v>3.8260869569999998</v>
      </c>
      <c r="AR4">
        <v>3</v>
      </c>
      <c r="AS4">
        <v>-0.82608695700000001</v>
      </c>
      <c r="AT4">
        <v>0</v>
      </c>
      <c r="AU4" t="s">
        <v>66</v>
      </c>
      <c r="AV4">
        <v>1</v>
      </c>
      <c r="AW4">
        <v>2</v>
      </c>
      <c r="AX4">
        <v>0</v>
      </c>
      <c r="AY4">
        <v>1</v>
      </c>
      <c r="AZ4">
        <v>1</v>
      </c>
      <c r="BA4">
        <v>1</v>
      </c>
      <c r="BB4" t="s">
        <v>66</v>
      </c>
      <c r="BC4">
        <v>25.4</v>
      </c>
      <c r="BD4">
        <v>40.299999999999997</v>
      </c>
      <c r="BE4">
        <v>58.661417319999998</v>
      </c>
      <c r="BF4">
        <v>0</v>
      </c>
      <c r="BG4">
        <v>28.21</v>
      </c>
      <c r="BH4">
        <v>11.06299213</v>
      </c>
      <c r="BI4">
        <v>92</v>
      </c>
      <c r="BJ4">
        <v>5.8</v>
      </c>
      <c r="BK4" t="s">
        <v>66</v>
      </c>
      <c r="BL4">
        <v>50</v>
      </c>
      <c r="BM4">
        <v>15</v>
      </c>
      <c r="BN4">
        <v>14</v>
      </c>
      <c r="BO4">
        <f t="shared" si="0"/>
        <v>14.5</v>
      </c>
      <c r="BP4">
        <v>4</v>
      </c>
      <c r="BQ4">
        <v>1</v>
      </c>
      <c r="BS4">
        <v>0</v>
      </c>
      <c r="BT4">
        <f t="shared" si="1"/>
        <v>58.695652173913047</v>
      </c>
      <c r="BU4">
        <f t="shared" si="2"/>
        <v>48.275862068965516</v>
      </c>
      <c r="BV4">
        <f t="shared" si="3"/>
        <v>12</v>
      </c>
      <c r="BW4">
        <f t="shared" si="4"/>
        <v>20.689655172413794</v>
      </c>
    </row>
    <row r="5" spans="1:75" x14ac:dyDescent="0.2">
      <c r="A5" t="s">
        <v>60</v>
      </c>
      <c r="B5" t="s">
        <v>61</v>
      </c>
      <c r="C5" t="s">
        <v>62</v>
      </c>
      <c r="D5" t="s">
        <v>63</v>
      </c>
      <c r="E5" t="s">
        <v>73</v>
      </c>
      <c r="F5" t="s">
        <v>74</v>
      </c>
      <c r="G5">
        <v>2.7</v>
      </c>
      <c r="H5">
        <v>5.9</v>
      </c>
      <c r="I5">
        <v>5.75</v>
      </c>
      <c r="J5">
        <v>3.6</v>
      </c>
      <c r="K5">
        <v>17.95</v>
      </c>
      <c r="L5">
        <v>4.3148148150000001</v>
      </c>
      <c r="M5">
        <v>19</v>
      </c>
      <c r="N5">
        <v>31</v>
      </c>
      <c r="O5">
        <v>12</v>
      </c>
      <c r="P5">
        <v>37</v>
      </c>
      <c r="Q5">
        <v>18</v>
      </c>
      <c r="R5">
        <v>9</v>
      </c>
      <c r="S5">
        <v>65.099999999999994</v>
      </c>
      <c r="T5">
        <v>94.736842109999998</v>
      </c>
      <c r="U5">
        <v>19.354838709999999</v>
      </c>
      <c r="V5">
        <v>2</v>
      </c>
      <c r="W5">
        <v>2</v>
      </c>
      <c r="X5">
        <v>3</v>
      </c>
      <c r="Y5">
        <v>1</v>
      </c>
      <c r="Z5">
        <v>50</v>
      </c>
      <c r="AA5" t="s">
        <v>66</v>
      </c>
      <c r="AB5" t="s">
        <v>66</v>
      </c>
      <c r="AC5" t="s">
        <v>66</v>
      </c>
      <c r="AD5" t="s">
        <v>66</v>
      </c>
      <c r="AE5">
        <v>9</v>
      </c>
      <c r="AF5">
        <v>10</v>
      </c>
      <c r="AG5" t="s">
        <v>66</v>
      </c>
      <c r="AH5">
        <v>8</v>
      </c>
      <c r="AI5">
        <v>9</v>
      </c>
      <c r="AJ5" t="s">
        <v>66</v>
      </c>
      <c r="AK5">
        <v>7</v>
      </c>
      <c r="AL5">
        <v>8</v>
      </c>
      <c r="AM5">
        <v>7.5</v>
      </c>
      <c r="AN5">
        <v>8.5</v>
      </c>
      <c r="AO5">
        <v>13.33333333</v>
      </c>
      <c r="AP5">
        <v>11.11111111</v>
      </c>
      <c r="AQ5">
        <v>1.2</v>
      </c>
      <c r="AR5">
        <v>1.1764705879999999</v>
      </c>
      <c r="AS5">
        <v>-2.3529412E-2</v>
      </c>
      <c r="AT5">
        <v>0</v>
      </c>
      <c r="AU5" t="s">
        <v>66</v>
      </c>
      <c r="AV5">
        <v>0</v>
      </c>
      <c r="AW5">
        <v>1</v>
      </c>
      <c r="AX5">
        <v>0</v>
      </c>
      <c r="AY5">
        <v>1</v>
      </c>
      <c r="AZ5">
        <v>1</v>
      </c>
      <c r="BA5">
        <v>1</v>
      </c>
      <c r="BB5" t="s">
        <v>66</v>
      </c>
      <c r="BC5">
        <v>29.25</v>
      </c>
      <c r="BD5">
        <v>43.666666669999998</v>
      </c>
      <c r="BE5">
        <v>49.287749300000002</v>
      </c>
      <c r="BF5">
        <v>0</v>
      </c>
      <c r="BG5">
        <v>30.56666667</v>
      </c>
      <c r="BH5">
        <v>4.5014245089999996</v>
      </c>
      <c r="BI5">
        <v>57</v>
      </c>
      <c r="BJ5">
        <v>4</v>
      </c>
      <c r="BK5" t="s">
        <v>66</v>
      </c>
      <c r="BL5">
        <f>57-39</f>
        <v>18</v>
      </c>
      <c r="BM5">
        <v>12</v>
      </c>
      <c r="BN5">
        <v>12</v>
      </c>
      <c r="BO5">
        <f t="shared" si="0"/>
        <v>12</v>
      </c>
      <c r="BP5">
        <v>3</v>
      </c>
      <c r="BQ5">
        <v>1</v>
      </c>
      <c r="BS5">
        <v>0</v>
      </c>
      <c r="BT5">
        <f t="shared" si="1"/>
        <v>66.666666666666657</v>
      </c>
      <c r="BU5">
        <f t="shared" si="2"/>
        <v>50</v>
      </c>
      <c r="BV5">
        <f t="shared" si="3"/>
        <v>50</v>
      </c>
      <c r="BW5">
        <f t="shared" si="4"/>
        <v>37.5</v>
      </c>
    </row>
    <row r="6" spans="1:75" x14ac:dyDescent="0.2">
      <c r="A6" t="s">
        <v>60</v>
      </c>
      <c r="B6" t="s">
        <v>61</v>
      </c>
      <c r="C6" t="s">
        <v>62</v>
      </c>
      <c r="D6" t="s">
        <v>63</v>
      </c>
      <c r="E6" t="s">
        <v>75</v>
      </c>
      <c r="F6" t="s">
        <v>76</v>
      </c>
      <c r="G6">
        <v>2.7</v>
      </c>
      <c r="H6">
        <v>5.9</v>
      </c>
      <c r="I6">
        <v>5.75</v>
      </c>
      <c r="J6">
        <v>3.6</v>
      </c>
      <c r="K6">
        <v>17.95</v>
      </c>
      <c r="L6">
        <v>4.3148148150000001</v>
      </c>
      <c r="M6">
        <v>85</v>
      </c>
      <c r="N6">
        <v>116</v>
      </c>
      <c r="O6">
        <v>31</v>
      </c>
      <c r="P6">
        <v>142</v>
      </c>
      <c r="Q6">
        <v>57</v>
      </c>
      <c r="R6">
        <v>28.5</v>
      </c>
      <c r="S6">
        <v>104.1</v>
      </c>
      <c r="T6">
        <v>67.058823529999998</v>
      </c>
      <c r="U6">
        <v>22.413793099999999</v>
      </c>
      <c r="V6">
        <v>7</v>
      </c>
      <c r="W6">
        <v>8</v>
      </c>
      <c r="X6">
        <v>8</v>
      </c>
      <c r="Y6">
        <v>1</v>
      </c>
      <c r="Z6">
        <v>14.28571429</v>
      </c>
      <c r="AA6" t="s">
        <v>66</v>
      </c>
      <c r="AB6" t="s">
        <v>66</v>
      </c>
      <c r="AC6">
        <v>2</v>
      </c>
      <c r="AD6" t="s">
        <v>66</v>
      </c>
      <c r="AE6">
        <v>87</v>
      </c>
      <c r="AF6">
        <v>98</v>
      </c>
      <c r="AG6" t="s">
        <v>66</v>
      </c>
      <c r="AH6">
        <v>61</v>
      </c>
      <c r="AI6">
        <v>42</v>
      </c>
      <c r="AJ6" t="s">
        <v>66</v>
      </c>
      <c r="AK6">
        <v>38</v>
      </c>
      <c r="AL6">
        <v>33</v>
      </c>
      <c r="AM6">
        <v>49.5</v>
      </c>
      <c r="AN6">
        <v>37.5</v>
      </c>
      <c r="AO6">
        <v>-24.242424239999998</v>
      </c>
      <c r="AP6">
        <v>12.64367816</v>
      </c>
      <c r="AQ6">
        <v>1.757575758</v>
      </c>
      <c r="AR6">
        <v>2.6133333329999999</v>
      </c>
      <c r="AS6">
        <v>0.85575757500000005</v>
      </c>
      <c r="AT6">
        <v>0</v>
      </c>
      <c r="AU6" t="s">
        <v>66</v>
      </c>
      <c r="AV6">
        <v>4</v>
      </c>
      <c r="AW6">
        <v>2</v>
      </c>
      <c r="AX6">
        <v>0</v>
      </c>
      <c r="AY6">
        <v>1</v>
      </c>
      <c r="AZ6">
        <v>1</v>
      </c>
      <c r="BA6">
        <v>1</v>
      </c>
      <c r="BB6" t="s">
        <v>66</v>
      </c>
      <c r="BC6">
        <v>31.7</v>
      </c>
      <c r="BD6">
        <v>47.6</v>
      </c>
      <c r="BE6">
        <v>50.157728710000001</v>
      </c>
      <c r="BF6">
        <v>0</v>
      </c>
      <c r="BG6">
        <v>33.32</v>
      </c>
      <c r="BH6">
        <v>5.1104100949999998</v>
      </c>
      <c r="BI6">
        <v>169</v>
      </c>
      <c r="BJ6">
        <v>9</v>
      </c>
      <c r="BK6">
        <v>3.5</v>
      </c>
      <c r="BL6">
        <f>169-86</f>
        <v>83</v>
      </c>
      <c r="BM6">
        <v>35</v>
      </c>
      <c r="BN6">
        <v>30</v>
      </c>
      <c r="BO6">
        <f t="shared" si="0"/>
        <v>32.5</v>
      </c>
      <c r="BP6">
        <v>4</v>
      </c>
      <c r="BQ6">
        <v>1</v>
      </c>
      <c r="BS6">
        <v>0</v>
      </c>
      <c r="BT6">
        <f t="shared" si="1"/>
        <v>49.704142011834321</v>
      </c>
      <c r="BU6">
        <f t="shared" si="2"/>
        <v>22.222222222222221</v>
      </c>
      <c r="BV6">
        <f t="shared" si="3"/>
        <v>-4.8192771084337354</v>
      </c>
      <c r="BW6">
        <f t="shared" si="4"/>
        <v>-52.307692307692314</v>
      </c>
    </row>
    <row r="7" spans="1:75" x14ac:dyDescent="0.2">
      <c r="A7" t="s">
        <v>60</v>
      </c>
      <c r="B7" t="s">
        <v>61</v>
      </c>
      <c r="C7" t="s">
        <v>62</v>
      </c>
      <c r="D7" t="s">
        <v>63</v>
      </c>
      <c r="E7" t="s">
        <v>77</v>
      </c>
      <c r="F7" t="s">
        <v>78</v>
      </c>
      <c r="G7">
        <v>2.7</v>
      </c>
      <c r="H7">
        <v>5.9</v>
      </c>
      <c r="I7">
        <v>5.75</v>
      </c>
      <c r="J7">
        <v>3.6</v>
      </c>
      <c r="K7">
        <v>17.95</v>
      </c>
      <c r="L7">
        <v>4.3148148150000001</v>
      </c>
      <c r="M7">
        <v>29</v>
      </c>
      <c r="N7">
        <v>35</v>
      </c>
      <c r="O7">
        <v>6</v>
      </c>
      <c r="P7">
        <v>39</v>
      </c>
      <c r="Q7">
        <v>10</v>
      </c>
      <c r="R7">
        <v>5</v>
      </c>
      <c r="S7">
        <v>57.1</v>
      </c>
      <c r="T7">
        <v>34.482758619999998</v>
      </c>
      <c r="U7">
        <v>11.42857143</v>
      </c>
      <c r="V7">
        <v>3</v>
      </c>
      <c r="W7">
        <v>5</v>
      </c>
      <c r="X7">
        <v>4</v>
      </c>
      <c r="Y7">
        <v>1</v>
      </c>
      <c r="Z7">
        <v>33.333333330000002</v>
      </c>
      <c r="AA7" t="s">
        <v>66</v>
      </c>
      <c r="AB7" t="s">
        <v>66</v>
      </c>
      <c r="AC7" t="s">
        <v>66</v>
      </c>
      <c r="AD7" t="s">
        <v>66</v>
      </c>
      <c r="AE7">
        <v>15</v>
      </c>
      <c r="AF7">
        <v>16</v>
      </c>
      <c r="AG7" t="s">
        <v>66</v>
      </c>
      <c r="AH7">
        <v>9</v>
      </c>
      <c r="AI7">
        <v>12</v>
      </c>
      <c r="AJ7" t="s">
        <v>66</v>
      </c>
      <c r="AK7">
        <v>6</v>
      </c>
      <c r="AL7">
        <v>7</v>
      </c>
      <c r="AM7">
        <v>7.5</v>
      </c>
      <c r="AN7">
        <v>9.5</v>
      </c>
      <c r="AO7">
        <v>26.666666670000001</v>
      </c>
      <c r="AP7">
        <v>6.6666666670000003</v>
      </c>
      <c r="AQ7">
        <v>2</v>
      </c>
      <c r="AR7">
        <v>1.684210526</v>
      </c>
      <c r="AS7">
        <v>-0.31578947400000001</v>
      </c>
      <c r="AT7">
        <v>0</v>
      </c>
      <c r="AU7" t="s">
        <v>66</v>
      </c>
      <c r="AV7">
        <v>1</v>
      </c>
      <c r="AW7">
        <v>1</v>
      </c>
      <c r="AX7">
        <v>0</v>
      </c>
      <c r="AY7">
        <v>1</v>
      </c>
      <c r="AZ7">
        <v>1</v>
      </c>
      <c r="BA7">
        <v>1</v>
      </c>
      <c r="BB7" t="s">
        <v>66</v>
      </c>
      <c r="BC7">
        <v>19.2</v>
      </c>
      <c r="BD7">
        <v>28.2</v>
      </c>
      <c r="BE7">
        <v>46.875</v>
      </c>
      <c r="BF7">
        <v>0</v>
      </c>
      <c r="BG7">
        <v>19.739999999999998</v>
      </c>
      <c r="BH7">
        <v>2.8125</v>
      </c>
      <c r="BI7">
        <v>32</v>
      </c>
      <c r="BJ7">
        <v>3.7</v>
      </c>
      <c r="BK7" t="s">
        <v>66</v>
      </c>
      <c r="BL7">
        <v>8</v>
      </c>
      <c r="BM7">
        <v>14</v>
      </c>
      <c r="BN7">
        <v>6</v>
      </c>
      <c r="BO7">
        <f t="shared" si="0"/>
        <v>10</v>
      </c>
      <c r="BP7">
        <v>2</v>
      </c>
      <c r="BQ7">
        <v>1</v>
      </c>
      <c r="BS7">
        <v>0</v>
      </c>
      <c r="BT7">
        <f t="shared" si="1"/>
        <v>9.375</v>
      </c>
      <c r="BU7">
        <f t="shared" si="2"/>
        <v>18.918918918918923</v>
      </c>
      <c r="BV7">
        <f t="shared" si="3"/>
        <v>-87.5</v>
      </c>
      <c r="BW7">
        <f t="shared" si="4"/>
        <v>25</v>
      </c>
    </row>
    <row r="8" spans="1:75" x14ac:dyDescent="0.2">
      <c r="A8" t="s">
        <v>60</v>
      </c>
      <c r="B8" t="s">
        <v>61</v>
      </c>
      <c r="C8" t="s">
        <v>62</v>
      </c>
      <c r="D8" t="s">
        <v>63</v>
      </c>
      <c r="E8" t="s">
        <v>81</v>
      </c>
      <c r="F8" t="s">
        <v>82</v>
      </c>
      <c r="G8">
        <v>2.7</v>
      </c>
      <c r="H8">
        <v>5.9</v>
      </c>
      <c r="I8">
        <v>5.75</v>
      </c>
      <c r="J8">
        <v>3.6</v>
      </c>
      <c r="K8">
        <v>17.95</v>
      </c>
      <c r="L8">
        <v>4.3148148150000001</v>
      </c>
      <c r="M8">
        <v>30</v>
      </c>
      <c r="N8">
        <v>39</v>
      </c>
      <c r="O8">
        <v>9</v>
      </c>
      <c r="P8">
        <v>39</v>
      </c>
      <c r="Q8">
        <v>9</v>
      </c>
      <c r="R8">
        <v>4.5</v>
      </c>
      <c r="S8">
        <v>56.1</v>
      </c>
      <c r="T8">
        <v>30</v>
      </c>
      <c r="U8">
        <v>0</v>
      </c>
      <c r="V8">
        <v>3</v>
      </c>
      <c r="W8">
        <v>6</v>
      </c>
      <c r="X8">
        <v>6</v>
      </c>
      <c r="Y8">
        <v>3</v>
      </c>
      <c r="Z8">
        <v>100</v>
      </c>
      <c r="AA8" t="s">
        <v>66</v>
      </c>
      <c r="AB8" t="s">
        <v>66</v>
      </c>
      <c r="AC8" t="s">
        <v>66</v>
      </c>
      <c r="AD8" t="s">
        <v>66</v>
      </c>
      <c r="AE8">
        <v>24</v>
      </c>
      <c r="AF8">
        <v>23</v>
      </c>
      <c r="AG8" t="s">
        <v>66</v>
      </c>
      <c r="AH8">
        <v>12</v>
      </c>
      <c r="AI8">
        <v>15</v>
      </c>
      <c r="AJ8" t="s">
        <v>66</v>
      </c>
      <c r="AK8">
        <v>9</v>
      </c>
      <c r="AL8">
        <v>11</v>
      </c>
      <c r="AM8">
        <v>10.5</v>
      </c>
      <c r="AN8">
        <v>13</v>
      </c>
      <c r="AO8">
        <v>23.809523810000002</v>
      </c>
      <c r="AP8">
        <v>-4.1666666670000003</v>
      </c>
      <c r="AQ8">
        <v>2.2857142860000002</v>
      </c>
      <c r="AR8">
        <v>1.769230769</v>
      </c>
      <c r="AS8">
        <v>-0.51648351699999995</v>
      </c>
      <c r="AT8">
        <v>0</v>
      </c>
      <c r="AU8" t="s">
        <v>66</v>
      </c>
      <c r="AV8">
        <v>1</v>
      </c>
      <c r="AW8">
        <v>2</v>
      </c>
      <c r="AX8">
        <v>0</v>
      </c>
      <c r="AY8">
        <v>1</v>
      </c>
      <c r="AZ8">
        <v>1</v>
      </c>
      <c r="BA8">
        <v>1</v>
      </c>
      <c r="BB8" t="s">
        <v>66</v>
      </c>
      <c r="BC8">
        <v>22.1</v>
      </c>
      <c r="BD8">
        <v>42.8</v>
      </c>
      <c r="BE8">
        <v>93.66515837</v>
      </c>
      <c r="BF8">
        <v>0</v>
      </c>
      <c r="BG8">
        <v>29.96</v>
      </c>
      <c r="BH8">
        <v>35.56561086</v>
      </c>
      <c r="BI8">
        <v>58</v>
      </c>
      <c r="BJ8">
        <v>7</v>
      </c>
      <c r="BK8" t="s">
        <v>66</v>
      </c>
      <c r="BL8">
        <f>58-15</f>
        <v>43</v>
      </c>
      <c r="BM8">
        <v>30</v>
      </c>
      <c r="BN8">
        <v>23</v>
      </c>
      <c r="BO8">
        <f t="shared" si="0"/>
        <v>26.5</v>
      </c>
      <c r="BP8">
        <v>1</v>
      </c>
      <c r="BQ8">
        <v>1</v>
      </c>
      <c r="BS8">
        <v>0</v>
      </c>
      <c r="BT8">
        <f t="shared" si="1"/>
        <v>48.275862068965516</v>
      </c>
      <c r="BU8">
        <f t="shared" si="2"/>
        <v>57.142857142857139</v>
      </c>
      <c r="BV8">
        <f t="shared" si="3"/>
        <v>44.186046511627907</v>
      </c>
      <c r="BW8">
        <f t="shared" si="4"/>
        <v>60.377358490566039</v>
      </c>
    </row>
    <row r="9" spans="1:75" x14ac:dyDescent="0.2">
      <c r="A9" t="s">
        <v>60</v>
      </c>
      <c r="B9" t="s">
        <v>61</v>
      </c>
      <c r="C9" t="s">
        <v>62</v>
      </c>
      <c r="D9" t="s">
        <v>63</v>
      </c>
      <c r="E9" t="s">
        <v>83</v>
      </c>
      <c r="F9" t="s">
        <v>84</v>
      </c>
      <c r="G9">
        <v>2.7</v>
      </c>
      <c r="H9">
        <v>5.9</v>
      </c>
      <c r="I9">
        <v>5.75</v>
      </c>
      <c r="J9">
        <v>3.6</v>
      </c>
      <c r="K9">
        <v>17.95</v>
      </c>
      <c r="L9">
        <v>4.3148148150000001</v>
      </c>
      <c r="M9">
        <v>45</v>
      </c>
      <c r="N9">
        <v>52</v>
      </c>
      <c r="O9">
        <v>7</v>
      </c>
      <c r="P9">
        <v>52</v>
      </c>
      <c r="Q9">
        <v>7</v>
      </c>
      <c r="R9">
        <v>3.5</v>
      </c>
      <c r="S9">
        <v>54.1</v>
      </c>
      <c r="T9">
        <v>15.55555556</v>
      </c>
      <c r="U9">
        <v>0</v>
      </c>
      <c r="V9">
        <v>3</v>
      </c>
      <c r="W9">
        <v>5</v>
      </c>
      <c r="X9">
        <v>6</v>
      </c>
      <c r="Y9">
        <v>3</v>
      </c>
      <c r="Z9">
        <v>100</v>
      </c>
      <c r="AA9" t="s">
        <v>66</v>
      </c>
      <c r="AB9" t="s">
        <v>66</v>
      </c>
      <c r="AC9" t="s">
        <v>66</v>
      </c>
      <c r="AD9" t="s">
        <v>66</v>
      </c>
      <c r="AE9">
        <v>30</v>
      </c>
      <c r="AF9">
        <v>24</v>
      </c>
      <c r="AG9" t="s">
        <v>66</v>
      </c>
      <c r="AH9">
        <v>12</v>
      </c>
      <c r="AI9">
        <v>13</v>
      </c>
      <c r="AJ9" t="s">
        <v>66</v>
      </c>
      <c r="AK9">
        <v>9</v>
      </c>
      <c r="AL9">
        <v>9</v>
      </c>
      <c r="AM9">
        <v>10.5</v>
      </c>
      <c r="AN9">
        <v>11</v>
      </c>
      <c r="AO9">
        <v>4.7619047620000003</v>
      </c>
      <c r="AP9">
        <v>-20</v>
      </c>
      <c r="AQ9">
        <v>2.8571428569999999</v>
      </c>
      <c r="AR9">
        <v>2.1818181820000002</v>
      </c>
      <c r="AS9">
        <v>-0.67532467500000004</v>
      </c>
      <c r="AT9">
        <v>0</v>
      </c>
      <c r="AU9" t="s">
        <v>66</v>
      </c>
      <c r="AV9">
        <v>0</v>
      </c>
      <c r="AW9">
        <v>1</v>
      </c>
      <c r="AX9">
        <v>0</v>
      </c>
      <c r="AY9">
        <v>1</v>
      </c>
      <c r="AZ9">
        <v>1</v>
      </c>
      <c r="BA9">
        <v>1</v>
      </c>
      <c r="BB9" t="s">
        <v>66</v>
      </c>
      <c r="BC9">
        <v>21.4</v>
      </c>
      <c r="BD9">
        <v>35.299999999999997</v>
      </c>
      <c r="BE9">
        <v>64.953271029999996</v>
      </c>
      <c r="BF9">
        <v>0</v>
      </c>
      <c r="BG9">
        <v>24.71</v>
      </c>
      <c r="BH9">
        <v>15.46728972</v>
      </c>
      <c r="BI9">
        <v>73</v>
      </c>
      <c r="BJ9">
        <v>6</v>
      </c>
      <c r="BK9" t="s">
        <v>66</v>
      </c>
      <c r="BL9">
        <f>73-31</f>
        <v>42</v>
      </c>
      <c r="BM9">
        <v>15</v>
      </c>
      <c r="BN9">
        <v>13</v>
      </c>
      <c r="BO9">
        <f t="shared" si="0"/>
        <v>14</v>
      </c>
      <c r="BP9">
        <v>3</v>
      </c>
      <c r="BQ9">
        <v>1</v>
      </c>
      <c r="BS9">
        <v>0</v>
      </c>
      <c r="BT9">
        <f t="shared" si="1"/>
        <v>38.356164383561641</v>
      </c>
      <c r="BU9">
        <f t="shared" si="2"/>
        <v>50</v>
      </c>
      <c r="BV9">
        <f t="shared" si="3"/>
        <v>28.571428571428569</v>
      </c>
      <c r="BW9">
        <f t="shared" si="4"/>
        <v>25</v>
      </c>
    </row>
    <row r="10" spans="1:75" x14ac:dyDescent="0.2">
      <c r="A10" t="s">
        <v>60</v>
      </c>
      <c r="B10" t="s">
        <v>61</v>
      </c>
      <c r="C10" t="s">
        <v>62</v>
      </c>
      <c r="D10" t="s">
        <v>63</v>
      </c>
      <c r="E10" t="s">
        <v>85</v>
      </c>
      <c r="F10" t="s">
        <v>86</v>
      </c>
      <c r="G10">
        <v>2.7</v>
      </c>
      <c r="H10">
        <v>5.9</v>
      </c>
      <c r="I10">
        <v>5.75</v>
      </c>
      <c r="J10">
        <v>3.6</v>
      </c>
      <c r="K10">
        <v>17.95</v>
      </c>
      <c r="L10">
        <v>4.3148148150000001</v>
      </c>
      <c r="M10">
        <v>21</v>
      </c>
      <c r="N10">
        <v>28</v>
      </c>
      <c r="O10">
        <v>7</v>
      </c>
      <c r="P10">
        <v>29</v>
      </c>
      <c r="Q10">
        <v>8</v>
      </c>
      <c r="R10">
        <v>4</v>
      </c>
      <c r="S10">
        <v>55.1</v>
      </c>
      <c r="T10">
        <v>38.095238100000003</v>
      </c>
      <c r="U10">
        <v>3.5714285710000002</v>
      </c>
      <c r="V10">
        <v>2</v>
      </c>
      <c r="W10">
        <v>3</v>
      </c>
      <c r="X10">
        <v>3</v>
      </c>
      <c r="Y10">
        <v>1</v>
      </c>
      <c r="Z10">
        <v>50</v>
      </c>
      <c r="AA10" t="s">
        <v>66</v>
      </c>
      <c r="AB10" t="s">
        <v>66</v>
      </c>
      <c r="AC10" t="s">
        <v>66</v>
      </c>
      <c r="AD10" t="s">
        <v>66</v>
      </c>
      <c r="AE10">
        <v>10</v>
      </c>
      <c r="AF10">
        <v>11</v>
      </c>
      <c r="AG10" t="s">
        <v>66</v>
      </c>
      <c r="AH10">
        <v>8</v>
      </c>
      <c r="AI10">
        <v>9</v>
      </c>
      <c r="AJ10" t="s">
        <v>66</v>
      </c>
      <c r="AK10">
        <v>7</v>
      </c>
      <c r="AL10">
        <v>7</v>
      </c>
      <c r="AM10">
        <v>7.5</v>
      </c>
      <c r="AN10">
        <v>8</v>
      </c>
      <c r="AO10">
        <v>6.6666666670000003</v>
      </c>
      <c r="AP10">
        <v>10</v>
      </c>
      <c r="AQ10">
        <v>1.3333333329999999</v>
      </c>
      <c r="AR10">
        <v>1.375</v>
      </c>
      <c r="AS10">
        <v>4.1666666999999998E-2</v>
      </c>
      <c r="AT10">
        <v>0</v>
      </c>
      <c r="AU10" t="s">
        <v>66</v>
      </c>
      <c r="AV10">
        <v>1</v>
      </c>
      <c r="AW10">
        <v>2</v>
      </c>
      <c r="AX10">
        <v>0</v>
      </c>
      <c r="AY10">
        <v>1</v>
      </c>
      <c r="AZ10">
        <v>1</v>
      </c>
      <c r="BA10">
        <v>1</v>
      </c>
      <c r="BB10" t="s">
        <v>66</v>
      </c>
      <c r="BC10">
        <v>22.1</v>
      </c>
      <c r="BD10">
        <v>32.700000000000003</v>
      </c>
      <c r="BE10">
        <v>47.963800900000003</v>
      </c>
      <c r="BF10">
        <v>0</v>
      </c>
      <c r="BG10">
        <v>22.89</v>
      </c>
      <c r="BH10">
        <v>3.5746606330000001</v>
      </c>
      <c r="BI10">
        <v>30</v>
      </c>
      <c r="BJ10">
        <v>3.4</v>
      </c>
      <c r="BK10" t="s">
        <v>66</v>
      </c>
      <c r="BL10">
        <v>9</v>
      </c>
      <c r="BM10">
        <v>19</v>
      </c>
      <c r="BN10">
        <v>17</v>
      </c>
      <c r="BO10">
        <f t="shared" si="0"/>
        <v>18</v>
      </c>
      <c r="BP10">
        <v>4</v>
      </c>
      <c r="BQ10">
        <v>1</v>
      </c>
      <c r="BS10">
        <v>0</v>
      </c>
      <c r="BT10">
        <f t="shared" si="1"/>
        <v>30</v>
      </c>
      <c r="BU10">
        <f t="shared" si="2"/>
        <v>41.17647058823529</v>
      </c>
      <c r="BV10">
        <f t="shared" si="3"/>
        <v>-11.111111111111111</v>
      </c>
      <c r="BW10">
        <f t="shared" si="4"/>
        <v>58.333333333333336</v>
      </c>
    </row>
    <row r="11" spans="1:75" x14ac:dyDescent="0.2">
      <c r="A11" t="s">
        <v>60</v>
      </c>
      <c r="B11" t="s">
        <v>61</v>
      </c>
      <c r="C11" t="s">
        <v>62</v>
      </c>
      <c r="D11" t="s">
        <v>63</v>
      </c>
      <c r="E11" t="s">
        <v>89</v>
      </c>
      <c r="F11" t="s">
        <v>90</v>
      </c>
      <c r="G11">
        <v>2.7</v>
      </c>
      <c r="H11">
        <v>5.9</v>
      </c>
      <c r="I11">
        <v>5.75</v>
      </c>
      <c r="J11">
        <v>3.6</v>
      </c>
      <c r="K11">
        <v>17.95</v>
      </c>
      <c r="L11">
        <v>4.3148148150000001</v>
      </c>
      <c r="M11">
        <v>38</v>
      </c>
      <c r="N11">
        <v>47</v>
      </c>
      <c r="O11">
        <v>9</v>
      </c>
      <c r="P11">
        <v>49</v>
      </c>
      <c r="Q11">
        <v>11</v>
      </c>
      <c r="R11">
        <v>5.5</v>
      </c>
      <c r="S11">
        <v>58.1</v>
      </c>
      <c r="T11">
        <v>28.94736842</v>
      </c>
      <c r="U11">
        <v>4.255319149</v>
      </c>
      <c r="V11">
        <v>4</v>
      </c>
      <c r="W11">
        <v>5</v>
      </c>
      <c r="X11">
        <v>5</v>
      </c>
      <c r="Y11">
        <v>1</v>
      </c>
      <c r="Z11">
        <v>25</v>
      </c>
      <c r="AA11" t="s">
        <v>66</v>
      </c>
      <c r="AB11" t="s">
        <v>66</v>
      </c>
      <c r="AC11" t="s">
        <v>66</v>
      </c>
      <c r="AD11" t="s">
        <v>66</v>
      </c>
      <c r="AE11">
        <v>28</v>
      </c>
      <c r="AF11">
        <v>26</v>
      </c>
      <c r="AG11" t="s">
        <v>66</v>
      </c>
      <c r="AH11">
        <v>18</v>
      </c>
      <c r="AI11">
        <v>15</v>
      </c>
      <c r="AJ11" t="s">
        <v>66</v>
      </c>
      <c r="AK11">
        <v>9</v>
      </c>
      <c r="AL11">
        <v>14</v>
      </c>
      <c r="AM11">
        <v>13.5</v>
      </c>
      <c r="AN11">
        <v>14.5</v>
      </c>
      <c r="AO11">
        <v>7.407407407</v>
      </c>
      <c r="AP11">
        <v>-7.1428571429999996</v>
      </c>
      <c r="AQ11">
        <v>2.0740740739999999</v>
      </c>
      <c r="AR11">
        <v>1.7931034480000001</v>
      </c>
      <c r="AS11">
        <v>-0.280970626</v>
      </c>
      <c r="AT11">
        <v>0</v>
      </c>
      <c r="AU11" t="s">
        <v>66</v>
      </c>
      <c r="AV11">
        <v>1</v>
      </c>
      <c r="AW11">
        <v>1</v>
      </c>
      <c r="AX11">
        <v>0</v>
      </c>
      <c r="AY11">
        <v>1</v>
      </c>
      <c r="AZ11">
        <v>1</v>
      </c>
      <c r="BA11">
        <v>1</v>
      </c>
      <c r="BB11" t="s">
        <v>66</v>
      </c>
      <c r="BC11">
        <v>30.1</v>
      </c>
      <c r="BD11">
        <v>49.7</v>
      </c>
      <c r="BE11">
        <v>65.116279070000004</v>
      </c>
      <c r="BF11">
        <v>0</v>
      </c>
      <c r="BG11">
        <v>34.79</v>
      </c>
      <c r="BH11">
        <v>15.581395349999999</v>
      </c>
      <c r="BI11">
        <v>55</v>
      </c>
      <c r="BJ11">
        <v>6.9</v>
      </c>
      <c r="BK11" t="s">
        <v>66</v>
      </c>
      <c r="BL11">
        <f>55-26</f>
        <v>29</v>
      </c>
      <c r="BM11">
        <v>29</v>
      </c>
      <c r="BN11">
        <v>29</v>
      </c>
      <c r="BO11">
        <f t="shared" si="0"/>
        <v>29</v>
      </c>
      <c r="BP11">
        <v>4</v>
      </c>
      <c r="BQ11">
        <v>1</v>
      </c>
      <c r="BS11">
        <v>0</v>
      </c>
      <c r="BT11">
        <f t="shared" si="1"/>
        <v>30.909090909090907</v>
      </c>
      <c r="BU11">
        <f t="shared" si="2"/>
        <v>42.028985507246382</v>
      </c>
      <c r="BV11">
        <f t="shared" si="3"/>
        <v>3.4482758620689653</v>
      </c>
      <c r="BW11">
        <f t="shared" si="4"/>
        <v>53.448275862068961</v>
      </c>
    </row>
    <row r="12" spans="1:75" x14ac:dyDescent="0.2">
      <c r="A12" t="s">
        <v>60</v>
      </c>
      <c r="B12" t="s">
        <v>61</v>
      </c>
      <c r="C12" t="s">
        <v>62</v>
      </c>
      <c r="D12" t="s">
        <v>63</v>
      </c>
      <c r="E12" t="s">
        <v>91</v>
      </c>
      <c r="F12" t="s">
        <v>92</v>
      </c>
      <c r="G12">
        <v>2.7</v>
      </c>
      <c r="H12">
        <v>5.9</v>
      </c>
      <c r="I12">
        <v>5.75</v>
      </c>
      <c r="J12">
        <v>3.6</v>
      </c>
      <c r="K12">
        <v>17.95</v>
      </c>
      <c r="L12">
        <v>4.3148148150000001</v>
      </c>
      <c r="M12">
        <v>79</v>
      </c>
      <c r="N12">
        <v>87</v>
      </c>
      <c r="O12">
        <v>8</v>
      </c>
      <c r="P12">
        <v>93</v>
      </c>
      <c r="Q12">
        <v>14</v>
      </c>
      <c r="R12">
        <v>7</v>
      </c>
      <c r="S12">
        <v>61.1</v>
      </c>
      <c r="T12">
        <v>17.72151899</v>
      </c>
      <c r="U12">
        <v>6.896551724</v>
      </c>
      <c r="V12">
        <v>7</v>
      </c>
      <c r="W12">
        <v>8</v>
      </c>
      <c r="X12">
        <v>4</v>
      </c>
      <c r="Y12">
        <v>-3</v>
      </c>
      <c r="Z12">
        <v>-42.857142860000003</v>
      </c>
      <c r="AA12" t="s">
        <v>66</v>
      </c>
      <c r="AB12" t="s">
        <v>66</v>
      </c>
      <c r="AC12" t="s">
        <v>66</v>
      </c>
      <c r="AD12" t="s">
        <v>66</v>
      </c>
      <c r="AE12">
        <v>55</v>
      </c>
      <c r="AF12">
        <v>49</v>
      </c>
      <c r="AG12" t="s">
        <v>66</v>
      </c>
      <c r="AH12">
        <v>48</v>
      </c>
      <c r="AI12">
        <v>42</v>
      </c>
      <c r="AJ12" t="s">
        <v>66</v>
      </c>
      <c r="AK12">
        <v>27</v>
      </c>
      <c r="AL12">
        <v>34</v>
      </c>
      <c r="AM12">
        <v>37.5</v>
      </c>
      <c r="AN12">
        <v>38</v>
      </c>
      <c r="AO12">
        <v>1.3333333329999999</v>
      </c>
      <c r="AP12">
        <v>-10.90909091</v>
      </c>
      <c r="AQ12">
        <v>1.4666666669999999</v>
      </c>
      <c r="AR12">
        <v>1.2894736840000001</v>
      </c>
      <c r="AS12">
        <v>-0.177192983</v>
      </c>
      <c r="AT12">
        <v>0</v>
      </c>
      <c r="AU12" t="s">
        <v>66</v>
      </c>
      <c r="AV12">
        <v>2</v>
      </c>
      <c r="AW12">
        <v>3</v>
      </c>
      <c r="AX12">
        <v>0</v>
      </c>
      <c r="AY12">
        <v>1</v>
      </c>
      <c r="AZ12">
        <v>1</v>
      </c>
      <c r="BA12">
        <v>1</v>
      </c>
      <c r="BB12" t="s">
        <v>66</v>
      </c>
      <c r="BC12">
        <v>23.6</v>
      </c>
      <c r="BD12">
        <v>52.8</v>
      </c>
      <c r="BE12">
        <v>123.7288136</v>
      </c>
      <c r="BF12">
        <v>0</v>
      </c>
      <c r="BG12">
        <v>36.96</v>
      </c>
      <c r="BH12">
        <v>56.610169489999997</v>
      </c>
      <c r="BI12">
        <v>99</v>
      </c>
      <c r="BJ12">
        <v>10.199999999999999</v>
      </c>
      <c r="BK12" t="s">
        <v>66</v>
      </c>
      <c r="BL12">
        <v>49</v>
      </c>
      <c r="BM12">
        <v>40</v>
      </c>
      <c r="BN12">
        <v>20</v>
      </c>
      <c r="BO12">
        <f t="shared" si="0"/>
        <v>30</v>
      </c>
      <c r="BP12">
        <v>4</v>
      </c>
      <c r="BQ12">
        <v>1</v>
      </c>
      <c r="BS12">
        <v>0</v>
      </c>
      <c r="BT12">
        <f t="shared" si="1"/>
        <v>20.202020202020201</v>
      </c>
      <c r="BU12">
        <f t="shared" si="2"/>
        <v>31.372549019607838</v>
      </c>
      <c r="BV12">
        <f t="shared" si="3"/>
        <v>-12.244897959183673</v>
      </c>
      <c r="BW12">
        <f t="shared" si="4"/>
        <v>-25</v>
      </c>
    </row>
    <row r="13" spans="1:75" x14ac:dyDescent="0.2">
      <c r="A13" t="s">
        <v>60</v>
      </c>
      <c r="B13" t="s">
        <v>61</v>
      </c>
      <c r="C13" t="s">
        <v>62</v>
      </c>
      <c r="D13" t="s">
        <v>63</v>
      </c>
      <c r="E13" t="s">
        <v>95</v>
      </c>
      <c r="F13" t="s">
        <v>96</v>
      </c>
      <c r="G13">
        <v>2.7</v>
      </c>
      <c r="H13">
        <v>5.9</v>
      </c>
      <c r="I13">
        <v>5.75</v>
      </c>
      <c r="J13">
        <v>3.6</v>
      </c>
      <c r="K13">
        <v>17.95</v>
      </c>
      <c r="L13">
        <v>4.3148148150000001</v>
      </c>
      <c r="M13">
        <v>105</v>
      </c>
      <c r="N13">
        <v>116</v>
      </c>
      <c r="O13">
        <v>11</v>
      </c>
      <c r="P13">
        <v>139</v>
      </c>
      <c r="Q13">
        <v>34</v>
      </c>
      <c r="R13">
        <v>17</v>
      </c>
      <c r="S13">
        <v>81.099999999999994</v>
      </c>
      <c r="T13">
        <v>32.380952379999997</v>
      </c>
      <c r="U13">
        <v>19.82758621</v>
      </c>
      <c r="V13">
        <v>9</v>
      </c>
      <c r="W13">
        <v>9</v>
      </c>
      <c r="X13">
        <v>12</v>
      </c>
      <c r="Y13">
        <v>3</v>
      </c>
      <c r="Z13">
        <v>33.333333330000002</v>
      </c>
      <c r="AA13" t="s">
        <v>66</v>
      </c>
      <c r="AB13" t="s">
        <v>66</v>
      </c>
      <c r="AC13" t="s">
        <v>66</v>
      </c>
      <c r="AD13" t="s">
        <v>66</v>
      </c>
      <c r="AE13">
        <v>83</v>
      </c>
      <c r="AF13">
        <v>93</v>
      </c>
      <c r="AG13" t="s">
        <v>66</v>
      </c>
      <c r="AH13">
        <v>43</v>
      </c>
      <c r="AI13">
        <v>56</v>
      </c>
      <c r="AJ13" t="s">
        <v>66</v>
      </c>
      <c r="AK13">
        <v>30</v>
      </c>
      <c r="AL13">
        <v>38</v>
      </c>
      <c r="AM13">
        <v>36.5</v>
      </c>
      <c r="AN13">
        <v>47</v>
      </c>
      <c r="AO13">
        <v>28.767123290000001</v>
      </c>
      <c r="AP13">
        <v>12.04819277</v>
      </c>
      <c r="AQ13">
        <v>2.2739726029999998</v>
      </c>
      <c r="AR13">
        <v>1.9787234039999999</v>
      </c>
      <c r="AS13">
        <v>-0.29524919900000002</v>
      </c>
      <c r="AT13">
        <v>0</v>
      </c>
      <c r="AU13" t="s">
        <v>66</v>
      </c>
      <c r="AV13">
        <v>3</v>
      </c>
      <c r="AW13">
        <v>3</v>
      </c>
      <c r="AX13">
        <v>0</v>
      </c>
      <c r="AY13">
        <v>1</v>
      </c>
      <c r="AZ13">
        <v>1</v>
      </c>
      <c r="BA13">
        <v>1</v>
      </c>
      <c r="BB13" t="s">
        <v>66</v>
      </c>
      <c r="BC13">
        <v>25.8</v>
      </c>
      <c r="BD13">
        <v>47.2</v>
      </c>
      <c r="BE13">
        <v>82.945736429999997</v>
      </c>
      <c r="BF13">
        <v>0</v>
      </c>
      <c r="BG13">
        <v>33.04</v>
      </c>
      <c r="BH13">
        <v>28.062015500000001</v>
      </c>
      <c r="BI13">
        <v>139</v>
      </c>
      <c r="BJ13">
        <v>14</v>
      </c>
      <c r="BK13" t="s">
        <v>66</v>
      </c>
      <c r="BL13">
        <f>139-66</f>
        <v>73</v>
      </c>
      <c r="BM13">
        <v>67</v>
      </c>
      <c r="BN13">
        <v>45</v>
      </c>
      <c r="BO13">
        <f t="shared" si="0"/>
        <v>56</v>
      </c>
      <c r="BP13">
        <v>3</v>
      </c>
      <c r="BQ13">
        <v>1</v>
      </c>
      <c r="BS13">
        <v>0</v>
      </c>
      <c r="BT13">
        <f t="shared" si="1"/>
        <v>24.46043165467626</v>
      </c>
      <c r="BU13">
        <f t="shared" si="2"/>
        <v>35.714285714285715</v>
      </c>
      <c r="BV13">
        <f t="shared" si="3"/>
        <v>-13.698630136986301</v>
      </c>
      <c r="BW13">
        <f t="shared" si="4"/>
        <v>34.821428571428569</v>
      </c>
    </row>
    <row r="14" spans="1:75" x14ac:dyDescent="0.2">
      <c r="A14" t="s">
        <v>60</v>
      </c>
      <c r="B14" t="s">
        <v>61</v>
      </c>
      <c r="C14" t="s">
        <v>62</v>
      </c>
      <c r="D14" t="s">
        <v>63</v>
      </c>
      <c r="E14" t="s">
        <v>99</v>
      </c>
      <c r="F14" t="s">
        <v>100</v>
      </c>
      <c r="G14">
        <v>2.7</v>
      </c>
      <c r="H14">
        <v>5.9</v>
      </c>
      <c r="I14">
        <v>5.75</v>
      </c>
      <c r="J14">
        <v>3.6</v>
      </c>
      <c r="K14">
        <v>17.95</v>
      </c>
      <c r="L14">
        <v>4.3148148150000001</v>
      </c>
      <c r="M14">
        <v>79</v>
      </c>
      <c r="N14">
        <v>94</v>
      </c>
      <c r="O14">
        <v>15</v>
      </c>
      <c r="P14">
        <v>99</v>
      </c>
      <c r="Q14">
        <v>20</v>
      </c>
      <c r="R14">
        <v>10</v>
      </c>
      <c r="S14">
        <v>67.099999999999994</v>
      </c>
      <c r="T14">
        <v>25.316455699999999</v>
      </c>
      <c r="U14">
        <v>5.3191489360000004</v>
      </c>
      <c r="V14">
        <v>6</v>
      </c>
      <c r="W14">
        <v>9</v>
      </c>
      <c r="X14">
        <v>8</v>
      </c>
      <c r="Y14">
        <v>2</v>
      </c>
      <c r="Z14">
        <v>33.333333330000002</v>
      </c>
      <c r="AA14" t="s">
        <v>66</v>
      </c>
      <c r="AB14" t="s">
        <v>66</v>
      </c>
      <c r="AC14" t="s">
        <v>66</v>
      </c>
      <c r="AD14" t="s">
        <v>66</v>
      </c>
      <c r="AE14">
        <v>55</v>
      </c>
      <c r="AF14">
        <v>48</v>
      </c>
      <c r="AG14" t="s">
        <v>66</v>
      </c>
      <c r="AH14">
        <v>16</v>
      </c>
      <c r="AI14">
        <v>17</v>
      </c>
      <c r="AJ14" t="s">
        <v>66</v>
      </c>
      <c r="AK14">
        <v>13</v>
      </c>
      <c r="AL14">
        <v>13</v>
      </c>
      <c r="AM14">
        <v>14.5</v>
      </c>
      <c r="AN14">
        <v>15</v>
      </c>
      <c r="AO14">
        <v>3.448275862</v>
      </c>
      <c r="AP14">
        <v>-12.727272729999999</v>
      </c>
      <c r="AQ14">
        <v>3.7931034480000001</v>
      </c>
      <c r="AR14">
        <v>3.2</v>
      </c>
      <c r="AS14">
        <v>-0.59310344800000003</v>
      </c>
      <c r="AT14">
        <v>0</v>
      </c>
      <c r="AU14" t="s">
        <v>66</v>
      </c>
      <c r="AV14">
        <v>4</v>
      </c>
      <c r="AW14">
        <v>3</v>
      </c>
      <c r="AX14">
        <v>0</v>
      </c>
      <c r="AY14">
        <v>1</v>
      </c>
      <c r="AZ14">
        <v>1</v>
      </c>
      <c r="BA14">
        <v>1</v>
      </c>
      <c r="BB14" t="s">
        <v>66</v>
      </c>
      <c r="BC14">
        <v>36.1</v>
      </c>
      <c r="BD14">
        <v>55.6</v>
      </c>
      <c r="BE14">
        <v>54.016620500000002</v>
      </c>
      <c r="BF14">
        <v>0</v>
      </c>
      <c r="BG14">
        <v>38.92</v>
      </c>
      <c r="BH14">
        <v>7.8116343490000002</v>
      </c>
      <c r="BI14">
        <v>159</v>
      </c>
      <c r="BJ14">
        <v>9.6999999999999993</v>
      </c>
      <c r="BK14">
        <v>2.7</v>
      </c>
      <c r="BL14">
        <f>159-68</f>
        <v>91</v>
      </c>
      <c r="BM14">
        <v>31</v>
      </c>
      <c r="BN14">
        <v>16</v>
      </c>
      <c r="BO14">
        <f t="shared" si="0"/>
        <v>23.5</v>
      </c>
      <c r="BP14">
        <v>4</v>
      </c>
      <c r="BQ14">
        <v>1</v>
      </c>
      <c r="BS14">
        <v>0</v>
      </c>
      <c r="BT14">
        <f t="shared" si="1"/>
        <v>50.314465408805034</v>
      </c>
      <c r="BU14">
        <f t="shared" si="2"/>
        <v>38.144329896907216</v>
      </c>
      <c r="BV14">
        <f t="shared" si="3"/>
        <v>39.560439560439562</v>
      </c>
      <c r="BW14">
        <f t="shared" si="4"/>
        <v>38.297872340425535</v>
      </c>
    </row>
    <row r="15" spans="1:75" x14ac:dyDescent="0.2">
      <c r="A15" t="s">
        <v>60</v>
      </c>
      <c r="B15" t="s">
        <v>61</v>
      </c>
      <c r="C15" t="s">
        <v>62</v>
      </c>
      <c r="D15" t="s">
        <v>63</v>
      </c>
      <c r="E15" t="s">
        <v>101</v>
      </c>
      <c r="F15" t="s">
        <v>102</v>
      </c>
      <c r="G15">
        <v>2.7</v>
      </c>
      <c r="H15">
        <v>5.9</v>
      </c>
      <c r="I15">
        <v>5.75</v>
      </c>
      <c r="J15">
        <v>3.6</v>
      </c>
      <c r="K15">
        <v>17.95</v>
      </c>
      <c r="L15">
        <v>4.3148148150000001</v>
      </c>
      <c r="M15">
        <v>48</v>
      </c>
      <c r="N15">
        <v>60</v>
      </c>
      <c r="O15">
        <v>12</v>
      </c>
      <c r="P15">
        <v>51</v>
      </c>
      <c r="Q15">
        <v>3</v>
      </c>
      <c r="R15">
        <v>1.5</v>
      </c>
      <c r="S15">
        <v>50.1</v>
      </c>
      <c r="T15">
        <v>6.25</v>
      </c>
      <c r="U15">
        <v>-15</v>
      </c>
      <c r="V15">
        <v>4</v>
      </c>
      <c r="W15">
        <v>5</v>
      </c>
      <c r="X15">
        <v>6</v>
      </c>
      <c r="Y15">
        <v>2</v>
      </c>
      <c r="Z15">
        <v>50</v>
      </c>
      <c r="AA15" t="s">
        <v>66</v>
      </c>
      <c r="AB15" t="s">
        <v>66</v>
      </c>
      <c r="AC15" t="s">
        <v>66</v>
      </c>
      <c r="AD15" t="s">
        <v>66</v>
      </c>
      <c r="AE15">
        <v>35</v>
      </c>
      <c r="AF15">
        <v>31</v>
      </c>
      <c r="AG15" t="s">
        <v>66</v>
      </c>
      <c r="AH15">
        <v>9</v>
      </c>
      <c r="AI15">
        <v>12</v>
      </c>
      <c r="AJ15" t="s">
        <v>66</v>
      </c>
      <c r="AK15">
        <v>9</v>
      </c>
      <c r="AL15">
        <v>9</v>
      </c>
      <c r="AM15">
        <v>9</v>
      </c>
      <c r="AN15">
        <v>10.5</v>
      </c>
      <c r="AO15">
        <v>16.666666670000001</v>
      </c>
      <c r="AP15">
        <v>-11.42857143</v>
      </c>
      <c r="AQ15">
        <v>3.888888889</v>
      </c>
      <c r="AR15">
        <v>2.9523809519999999</v>
      </c>
      <c r="AS15">
        <v>-0.93650793700000001</v>
      </c>
      <c r="AT15">
        <v>0</v>
      </c>
      <c r="AU15" t="s">
        <v>66</v>
      </c>
      <c r="AV15">
        <v>2</v>
      </c>
      <c r="AW15">
        <v>1</v>
      </c>
      <c r="AX15">
        <v>0</v>
      </c>
      <c r="AY15">
        <v>1</v>
      </c>
      <c r="AZ15">
        <v>1</v>
      </c>
      <c r="BA15">
        <v>1</v>
      </c>
      <c r="BB15" t="s">
        <v>66</v>
      </c>
      <c r="BC15">
        <v>16.100000000000001</v>
      </c>
      <c r="BD15">
        <v>38.799999999999997</v>
      </c>
      <c r="BE15">
        <v>140.9937888</v>
      </c>
      <c r="BF15">
        <v>0</v>
      </c>
      <c r="BG15">
        <v>27.16</v>
      </c>
      <c r="BH15">
        <v>68.695652170000002</v>
      </c>
      <c r="BI15">
        <v>69</v>
      </c>
      <c r="BJ15">
        <v>6</v>
      </c>
      <c r="BK15" t="s">
        <v>66</v>
      </c>
      <c r="BL15">
        <f>69-25</f>
        <v>44</v>
      </c>
      <c r="BM15">
        <v>16</v>
      </c>
      <c r="BN15">
        <v>6</v>
      </c>
      <c r="BO15">
        <f t="shared" si="0"/>
        <v>11</v>
      </c>
      <c r="BP15">
        <v>4</v>
      </c>
      <c r="BQ15">
        <v>1</v>
      </c>
      <c r="BS15">
        <v>0</v>
      </c>
      <c r="BT15">
        <f t="shared" si="1"/>
        <v>30.434782608695656</v>
      </c>
      <c r="BU15">
        <f t="shared" si="2"/>
        <v>33.333333333333329</v>
      </c>
      <c r="BV15">
        <f t="shared" si="3"/>
        <v>20.454545454545457</v>
      </c>
      <c r="BW15">
        <f t="shared" si="4"/>
        <v>18.181818181818183</v>
      </c>
    </row>
    <row r="16" spans="1:75" x14ac:dyDescent="0.2">
      <c r="A16" t="s">
        <v>60</v>
      </c>
      <c r="B16" t="s">
        <v>61</v>
      </c>
      <c r="C16" t="s">
        <v>62</v>
      </c>
      <c r="D16" t="s">
        <v>63</v>
      </c>
      <c r="E16" t="s">
        <v>69</v>
      </c>
      <c r="F16" t="s">
        <v>70</v>
      </c>
      <c r="G16">
        <v>2.7</v>
      </c>
      <c r="H16">
        <v>5.9</v>
      </c>
      <c r="I16">
        <v>5.75</v>
      </c>
      <c r="J16">
        <v>3.6</v>
      </c>
      <c r="K16">
        <v>17.95</v>
      </c>
      <c r="L16">
        <v>4.3148148150000001</v>
      </c>
      <c r="M16">
        <v>80</v>
      </c>
      <c r="N16">
        <v>90</v>
      </c>
      <c r="O16">
        <v>10</v>
      </c>
      <c r="P16">
        <v>76</v>
      </c>
      <c r="Q16">
        <v>-4</v>
      </c>
      <c r="R16">
        <v>-2</v>
      </c>
      <c r="S16">
        <v>43.1</v>
      </c>
      <c r="T16">
        <v>-5</v>
      </c>
      <c r="U16">
        <v>-15.55555556</v>
      </c>
      <c r="V16">
        <v>10</v>
      </c>
      <c r="W16">
        <v>15</v>
      </c>
      <c r="X16">
        <v>14</v>
      </c>
      <c r="Y16">
        <v>4</v>
      </c>
      <c r="Z16">
        <v>40</v>
      </c>
      <c r="AA16" t="s">
        <v>66</v>
      </c>
      <c r="AB16" t="s">
        <v>66</v>
      </c>
      <c r="AC16" t="s">
        <v>66</v>
      </c>
      <c r="AD16" t="s">
        <v>66</v>
      </c>
      <c r="AE16">
        <v>71</v>
      </c>
      <c r="AF16">
        <v>58</v>
      </c>
      <c r="AG16" t="s">
        <v>66</v>
      </c>
      <c r="AH16">
        <v>53</v>
      </c>
      <c r="AI16">
        <v>49</v>
      </c>
      <c r="AJ16" t="s">
        <v>66</v>
      </c>
      <c r="AK16">
        <v>29</v>
      </c>
      <c r="AL16">
        <v>28</v>
      </c>
      <c r="AM16">
        <v>41</v>
      </c>
      <c r="AN16">
        <v>38.5</v>
      </c>
      <c r="AO16">
        <v>-6.0975609759999996</v>
      </c>
      <c r="AP16">
        <v>-18.309859150000001</v>
      </c>
      <c r="AQ16">
        <v>1.7317073169999999</v>
      </c>
      <c r="AR16">
        <v>1.506493506</v>
      </c>
      <c r="AS16">
        <v>-0.22521381100000001</v>
      </c>
      <c r="AT16">
        <v>0</v>
      </c>
      <c r="AU16" t="s">
        <v>66</v>
      </c>
      <c r="AV16">
        <v>2</v>
      </c>
      <c r="AW16">
        <v>4</v>
      </c>
      <c r="AX16">
        <v>1</v>
      </c>
      <c r="AY16">
        <v>1</v>
      </c>
      <c r="AZ16">
        <v>1</v>
      </c>
      <c r="BA16">
        <v>1</v>
      </c>
      <c r="BB16" t="s">
        <v>66</v>
      </c>
      <c r="BC16">
        <v>31.8</v>
      </c>
      <c r="BD16">
        <v>48.8</v>
      </c>
      <c r="BE16">
        <v>53.4591195</v>
      </c>
      <c r="BF16">
        <v>0</v>
      </c>
      <c r="BG16">
        <v>34.159999999999997</v>
      </c>
      <c r="BH16">
        <v>7.4213836479999999</v>
      </c>
      <c r="BI16">
        <v>127</v>
      </c>
      <c r="BJ16">
        <v>15.5</v>
      </c>
      <c r="BK16" t="s">
        <v>66</v>
      </c>
      <c r="BL16">
        <f>127-29</f>
        <v>98</v>
      </c>
      <c r="BM16">
        <v>72</v>
      </c>
      <c r="BN16">
        <v>31</v>
      </c>
      <c r="BO16">
        <f t="shared" si="0"/>
        <v>51.5</v>
      </c>
      <c r="BP16">
        <v>3</v>
      </c>
      <c r="BQ16">
        <v>1</v>
      </c>
      <c r="BS16">
        <v>0</v>
      </c>
      <c r="BT16">
        <f t="shared" si="1"/>
        <v>37.00787401574803</v>
      </c>
      <c r="BU16">
        <f t="shared" si="2"/>
        <v>35.483870967741936</v>
      </c>
      <c r="BV16">
        <f t="shared" si="3"/>
        <v>27.551020408163261</v>
      </c>
      <c r="BW16">
        <f t="shared" si="4"/>
        <v>20.388349514563107</v>
      </c>
    </row>
    <row r="17" spans="1:75" x14ac:dyDescent="0.2">
      <c r="A17" t="s">
        <v>60</v>
      </c>
      <c r="B17" t="s">
        <v>61</v>
      </c>
      <c r="C17" t="s">
        <v>62</v>
      </c>
      <c r="D17" t="s">
        <v>63</v>
      </c>
      <c r="E17" t="s">
        <v>79</v>
      </c>
      <c r="F17" t="s">
        <v>80</v>
      </c>
      <c r="G17">
        <v>2.7</v>
      </c>
      <c r="H17">
        <v>5.9</v>
      </c>
      <c r="I17">
        <v>5.75</v>
      </c>
      <c r="J17">
        <v>3.6</v>
      </c>
      <c r="K17">
        <v>17.95</v>
      </c>
      <c r="L17">
        <v>4.3148148150000001</v>
      </c>
      <c r="M17">
        <v>80</v>
      </c>
      <c r="N17">
        <v>109</v>
      </c>
      <c r="O17">
        <v>29</v>
      </c>
      <c r="P17">
        <v>126</v>
      </c>
      <c r="Q17">
        <v>46</v>
      </c>
      <c r="R17">
        <v>23</v>
      </c>
      <c r="S17">
        <v>93.1</v>
      </c>
      <c r="T17">
        <v>57.5</v>
      </c>
      <c r="U17">
        <v>15.59633028</v>
      </c>
      <c r="V17">
        <v>12</v>
      </c>
      <c r="W17">
        <v>15</v>
      </c>
      <c r="X17">
        <v>16</v>
      </c>
      <c r="Y17">
        <v>4</v>
      </c>
      <c r="Z17">
        <v>33.333333330000002</v>
      </c>
      <c r="AA17" t="s">
        <v>66</v>
      </c>
      <c r="AB17" t="s">
        <v>66</v>
      </c>
      <c r="AC17" t="s">
        <v>66</v>
      </c>
      <c r="AD17" t="s">
        <v>66</v>
      </c>
      <c r="AE17">
        <v>89</v>
      </c>
      <c r="AF17">
        <v>103</v>
      </c>
      <c r="AG17" t="s">
        <v>66</v>
      </c>
      <c r="AH17">
        <v>72</v>
      </c>
      <c r="AI17">
        <v>70</v>
      </c>
      <c r="AJ17" t="s">
        <v>66</v>
      </c>
      <c r="AK17">
        <v>70</v>
      </c>
      <c r="AL17">
        <v>40</v>
      </c>
      <c r="AM17">
        <v>71</v>
      </c>
      <c r="AN17">
        <v>55</v>
      </c>
      <c r="AO17">
        <v>-22.535211270000001</v>
      </c>
      <c r="AP17">
        <v>15.73033708</v>
      </c>
      <c r="AQ17">
        <v>1.253521127</v>
      </c>
      <c r="AR17">
        <v>1.872727273</v>
      </c>
      <c r="AS17">
        <v>0.61920614600000001</v>
      </c>
      <c r="AT17">
        <v>0</v>
      </c>
      <c r="AU17" t="s">
        <v>66</v>
      </c>
      <c r="AV17">
        <v>4</v>
      </c>
      <c r="AW17">
        <v>3</v>
      </c>
      <c r="AX17">
        <v>1</v>
      </c>
      <c r="AY17">
        <v>1</v>
      </c>
      <c r="AZ17">
        <v>1</v>
      </c>
      <c r="BA17">
        <v>1</v>
      </c>
      <c r="BB17" t="s">
        <v>66</v>
      </c>
      <c r="BC17">
        <v>32.9</v>
      </c>
      <c r="BD17">
        <v>53.2</v>
      </c>
      <c r="BE17">
        <v>61.702127660000002</v>
      </c>
      <c r="BF17">
        <v>0</v>
      </c>
      <c r="BG17">
        <v>37.24</v>
      </c>
      <c r="BH17">
        <v>13.19148936</v>
      </c>
      <c r="BI17">
        <v>209</v>
      </c>
      <c r="BJ17">
        <v>19.100000000000001</v>
      </c>
      <c r="BK17">
        <v>8.8000000000000007</v>
      </c>
      <c r="BL17">
        <f>209-33</f>
        <v>176</v>
      </c>
      <c r="BM17">
        <v>92</v>
      </c>
      <c r="BN17">
        <v>36</v>
      </c>
      <c r="BO17">
        <f t="shared" si="0"/>
        <v>64</v>
      </c>
      <c r="BP17">
        <v>2</v>
      </c>
      <c r="BQ17">
        <v>1</v>
      </c>
      <c r="BS17">
        <v>0</v>
      </c>
      <c r="BT17">
        <f t="shared" si="1"/>
        <v>61.722488038277511</v>
      </c>
      <c r="BU17">
        <f t="shared" si="2"/>
        <v>37.172774869109951</v>
      </c>
      <c r="BV17">
        <f t="shared" si="3"/>
        <v>49.43181818181818</v>
      </c>
      <c r="BW17">
        <f t="shared" si="4"/>
        <v>-10.9375</v>
      </c>
    </row>
    <row r="18" spans="1:75" x14ac:dyDescent="0.2">
      <c r="A18" t="s">
        <v>127</v>
      </c>
      <c r="B18" t="s">
        <v>128</v>
      </c>
      <c r="C18" t="s">
        <v>62</v>
      </c>
      <c r="D18" t="s">
        <v>63</v>
      </c>
      <c r="E18" t="s">
        <v>67</v>
      </c>
      <c r="F18" t="s">
        <v>130</v>
      </c>
      <c r="G18">
        <v>3.85</v>
      </c>
      <c r="H18">
        <v>7.5</v>
      </c>
      <c r="I18">
        <v>4.45</v>
      </c>
      <c r="J18">
        <v>0.95</v>
      </c>
      <c r="K18">
        <v>16.75</v>
      </c>
      <c r="L18">
        <v>3.1038961039999999</v>
      </c>
      <c r="M18">
        <v>164</v>
      </c>
      <c r="N18">
        <v>195</v>
      </c>
      <c r="O18">
        <v>31</v>
      </c>
      <c r="P18">
        <v>246</v>
      </c>
      <c r="Q18">
        <v>82</v>
      </c>
      <c r="R18">
        <v>41</v>
      </c>
      <c r="S18">
        <v>129.1</v>
      </c>
      <c r="T18">
        <v>50</v>
      </c>
      <c r="U18">
        <v>26.15384615</v>
      </c>
      <c r="V18">
        <v>8</v>
      </c>
      <c r="W18">
        <v>29</v>
      </c>
      <c r="X18">
        <v>14</v>
      </c>
      <c r="Y18">
        <v>6</v>
      </c>
      <c r="Z18">
        <v>75</v>
      </c>
      <c r="AA18">
        <v>4</v>
      </c>
      <c r="AB18">
        <v>7</v>
      </c>
      <c r="AC18">
        <v>8</v>
      </c>
      <c r="AD18" t="s">
        <v>66</v>
      </c>
      <c r="AE18">
        <v>115</v>
      </c>
      <c r="AF18">
        <v>154</v>
      </c>
      <c r="AG18" t="s">
        <v>66</v>
      </c>
      <c r="AH18">
        <v>53</v>
      </c>
      <c r="AI18">
        <v>102</v>
      </c>
      <c r="AJ18" t="s">
        <v>66</v>
      </c>
      <c r="AK18">
        <v>24</v>
      </c>
      <c r="AL18">
        <v>74</v>
      </c>
      <c r="AM18">
        <v>38.5</v>
      </c>
      <c r="AN18">
        <v>88</v>
      </c>
      <c r="AO18">
        <v>128.57142859999999</v>
      </c>
      <c r="AP18">
        <v>33.913043479999999</v>
      </c>
      <c r="AQ18">
        <v>2.987012987</v>
      </c>
      <c r="AR18">
        <v>1.75</v>
      </c>
      <c r="AS18">
        <v>-1.237012987</v>
      </c>
      <c r="AT18">
        <v>0</v>
      </c>
      <c r="AU18" t="s">
        <v>66</v>
      </c>
      <c r="AV18">
        <v>3</v>
      </c>
      <c r="AW18">
        <v>3</v>
      </c>
      <c r="AX18">
        <v>0</v>
      </c>
      <c r="AY18">
        <v>1</v>
      </c>
      <c r="AZ18">
        <v>1</v>
      </c>
      <c r="BA18">
        <v>1</v>
      </c>
      <c r="BB18" t="s">
        <v>66</v>
      </c>
      <c r="BC18">
        <v>48.9</v>
      </c>
      <c r="BD18">
        <v>57.3</v>
      </c>
      <c r="BE18">
        <v>17.17791411</v>
      </c>
      <c r="BF18">
        <v>0</v>
      </c>
      <c r="BG18">
        <v>40.11</v>
      </c>
      <c r="BH18">
        <v>-17.975460120000001</v>
      </c>
      <c r="BI18">
        <v>215</v>
      </c>
      <c r="BJ18">
        <v>14.6</v>
      </c>
      <c r="BK18">
        <v>7.6</v>
      </c>
      <c r="BL18">
        <f>215-94</f>
        <v>121</v>
      </c>
      <c r="BM18">
        <v>48</v>
      </c>
      <c r="BN18">
        <v>12</v>
      </c>
      <c r="BO18">
        <f t="shared" si="0"/>
        <v>30</v>
      </c>
      <c r="BP18">
        <v>4</v>
      </c>
      <c r="BQ18">
        <v>1</v>
      </c>
      <c r="BS18">
        <v>0</v>
      </c>
      <c r="BT18">
        <f t="shared" si="1"/>
        <v>23.720930232558139</v>
      </c>
      <c r="BU18">
        <f t="shared" si="2"/>
        <v>45.205479452054789</v>
      </c>
      <c r="BV18">
        <f t="shared" si="3"/>
        <v>4.9586776859504136</v>
      </c>
      <c r="BW18">
        <f t="shared" si="4"/>
        <v>-28.333333333333332</v>
      </c>
    </row>
    <row r="19" spans="1:75" x14ac:dyDescent="0.2">
      <c r="A19" t="s">
        <v>127</v>
      </c>
      <c r="B19" t="s">
        <v>128</v>
      </c>
      <c r="C19" t="s">
        <v>62</v>
      </c>
      <c r="D19" t="s">
        <v>63</v>
      </c>
      <c r="E19" t="s">
        <v>71</v>
      </c>
      <c r="F19" t="s">
        <v>132</v>
      </c>
      <c r="G19">
        <v>3.85</v>
      </c>
      <c r="H19">
        <v>7.5</v>
      </c>
      <c r="I19">
        <v>4.45</v>
      </c>
      <c r="J19">
        <v>0.95</v>
      </c>
      <c r="K19">
        <v>16.75</v>
      </c>
      <c r="L19">
        <v>3.1038961039999999</v>
      </c>
      <c r="M19">
        <v>45</v>
      </c>
      <c r="N19">
        <v>66</v>
      </c>
      <c r="O19">
        <v>21</v>
      </c>
      <c r="P19">
        <v>64</v>
      </c>
      <c r="Q19">
        <v>19</v>
      </c>
      <c r="R19">
        <v>9.5</v>
      </c>
      <c r="S19">
        <v>66.099999999999994</v>
      </c>
      <c r="T19">
        <v>42.222222219999999</v>
      </c>
      <c r="U19">
        <v>-3.0303030299999998</v>
      </c>
      <c r="V19">
        <v>6</v>
      </c>
      <c r="W19">
        <v>6</v>
      </c>
      <c r="X19">
        <v>7</v>
      </c>
      <c r="Y19">
        <v>1</v>
      </c>
      <c r="Z19">
        <v>16.666666670000001</v>
      </c>
      <c r="AA19" t="s">
        <v>66</v>
      </c>
      <c r="AB19" t="s">
        <v>66</v>
      </c>
      <c r="AC19" t="s">
        <v>66</v>
      </c>
      <c r="AD19" t="s">
        <v>66</v>
      </c>
      <c r="AE19">
        <v>47</v>
      </c>
      <c r="AF19">
        <v>43</v>
      </c>
      <c r="AG19" t="s">
        <v>66</v>
      </c>
      <c r="AH19">
        <v>41</v>
      </c>
      <c r="AI19">
        <v>23</v>
      </c>
      <c r="AJ19" t="s">
        <v>66</v>
      </c>
      <c r="AK19">
        <v>23</v>
      </c>
      <c r="AL19">
        <v>18</v>
      </c>
      <c r="AM19">
        <v>32</v>
      </c>
      <c r="AN19">
        <v>20.5</v>
      </c>
      <c r="AO19">
        <v>-35.9375</v>
      </c>
      <c r="AP19">
        <v>-8.5106382979999999</v>
      </c>
      <c r="AQ19">
        <v>1.46875</v>
      </c>
      <c r="AR19">
        <v>2.097560976</v>
      </c>
      <c r="AS19">
        <v>0.62881097600000002</v>
      </c>
      <c r="AT19">
        <v>0</v>
      </c>
      <c r="AU19" t="s">
        <v>66</v>
      </c>
      <c r="AV19">
        <v>4</v>
      </c>
      <c r="AW19">
        <v>3</v>
      </c>
      <c r="AX19">
        <v>0</v>
      </c>
      <c r="AY19">
        <v>1</v>
      </c>
      <c r="AZ19">
        <v>1</v>
      </c>
      <c r="BA19">
        <v>1</v>
      </c>
      <c r="BB19" t="s">
        <v>66</v>
      </c>
      <c r="BC19">
        <v>33</v>
      </c>
      <c r="BD19">
        <v>46.8</v>
      </c>
      <c r="BE19">
        <v>41.81818182</v>
      </c>
      <c r="BF19">
        <v>0</v>
      </c>
      <c r="BG19">
        <v>32.76</v>
      </c>
      <c r="BH19">
        <v>-0.72727272700000001</v>
      </c>
      <c r="BI19">
        <v>62</v>
      </c>
      <c r="BJ19">
        <v>7</v>
      </c>
      <c r="BK19" t="s">
        <v>66</v>
      </c>
      <c r="BL19">
        <f>106-23</f>
        <v>83</v>
      </c>
      <c r="BM19">
        <v>27</v>
      </c>
      <c r="BN19">
        <v>15</v>
      </c>
      <c r="BO19">
        <f t="shared" si="0"/>
        <v>21</v>
      </c>
      <c r="BP19">
        <v>2</v>
      </c>
      <c r="BQ19">
        <v>1</v>
      </c>
      <c r="BS19">
        <v>0</v>
      </c>
      <c r="BT19">
        <f t="shared" si="1"/>
        <v>27.419354838709676</v>
      </c>
      <c r="BU19">
        <f t="shared" si="2"/>
        <v>14.285714285714285</v>
      </c>
      <c r="BV19">
        <f t="shared" si="3"/>
        <v>43.373493975903614</v>
      </c>
      <c r="BW19">
        <f t="shared" si="4"/>
        <v>-52.380952380952387</v>
      </c>
    </row>
    <row r="20" spans="1:75" x14ac:dyDescent="0.2">
      <c r="A20" t="s">
        <v>127</v>
      </c>
      <c r="B20" t="s">
        <v>128</v>
      </c>
      <c r="C20" t="s">
        <v>62</v>
      </c>
      <c r="D20" t="s">
        <v>63</v>
      </c>
      <c r="E20" t="s">
        <v>73</v>
      </c>
      <c r="F20" t="s">
        <v>133</v>
      </c>
      <c r="G20">
        <v>3.85</v>
      </c>
      <c r="H20">
        <v>7.5</v>
      </c>
      <c r="I20">
        <v>4.45</v>
      </c>
      <c r="J20">
        <v>0.95</v>
      </c>
      <c r="K20">
        <v>16.75</v>
      </c>
      <c r="L20">
        <v>3.1038961039999999</v>
      </c>
      <c r="M20">
        <v>66</v>
      </c>
      <c r="N20">
        <v>77</v>
      </c>
      <c r="O20">
        <v>11</v>
      </c>
      <c r="P20">
        <v>86</v>
      </c>
      <c r="Q20">
        <v>20</v>
      </c>
      <c r="R20">
        <v>10</v>
      </c>
      <c r="S20">
        <v>67.099999999999994</v>
      </c>
      <c r="T20">
        <v>30.3030303</v>
      </c>
      <c r="U20">
        <v>11.688311690000001</v>
      </c>
      <c r="V20">
        <v>6</v>
      </c>
      <c r="W20">
        <v>9</v>
      </c>
      <c r="X20">
        <v>8</v>
      </c>
      <c r="Y20">
        <v>2</v>
      </c>
      <c r="Z20">
        <v>33.333333330000002</v>
      </c>
      <c r="AA20" t="s">
        <v>66</v>
      </c>
      <c r="AB20" t="s">
        <v>66</v>
      </c>
      <c r="AC20" t="s">
        <v>66</v>
      </c>
      <c r="AD20" t="s">
        <v>66</v>
      </c>
      <c r="AE20">
        <v>44</v>
      </c>
      <c r="AF20">
        <v>44</v>
      </c>
      <c r="AG20" t="s">
        <v>66</v>
      </c>
      <c r="AH20">
        <v>42</v>
      </c>
      <c r="AI20">
        <v>49</v>
      </c>
      <c r="AJ20" t="s">
        <v>66</v>
      </c>
      <c r="AK20">
        <v>19</v>
      </c>
      <c r="AL20">
        <v>19</v>
      </c>
      <c r="AM20">
        <v>30.5</v>
      </c>
      <c r="AN20">
        <v>34</v>
      </c>
      <c r="AO20">
        <v>11.475409839999999</v>
      </c>
      <c r="AP20">
        <v>0</v>
      </c>
      <c r="AQ20">
        <v>1.4426229509999999</v>
      </c>
      <c r="AR20">
        <v>1.294117647</v>
      </c>
      <c r="AS20">
        <v>-0.148505304</v>
      </c>
      <c r="AT20">
        <v>0</v>
      </c>
      <c r="AU20" t="s">
        <v>66</v>
      </c>
      <c r="AV20">
        <v>3</v>
      </c>
      <c r="AW20">
        <v>3</v>
      </c>
      <c r="AX20">
        <v>0</v>
      </c>
      <c r="AY20">
        <v>1</v>
      </c>
      <c r="AZ20">
        <v>1</v>
      </c>
      <c r="BA20">
        <v>1</v>
      </c>
      <c r="BB20" t="s">
        <v>66</v>
      </c>
      <c r="BC20">
        <v>28.8</v>
      </c>
      <c r="BD20">
        <v>50.5</v>
      </c>
      <c r="BE20">
        <v>75.347222220000006</v>
      </c>
      <c r="BF20">
        <v>0</v>
      </c>
      <c r="BG20">
        <v>35.35</v>
      </c>
      <c r="BH20">
        <v>22.743055559999998</v>
      </c>
      <c r="BI20">
        <v>104</v>
      </c>
      <c r="BJ20">
        <v>9.9</v>
      </c>
      <c r="BK20" t="s">
        <v>66</v>
      </c>
      <c r="BL20">
        <f>104-48</f>
        <v>56</v>
      </c>
      <c r="BM20">
        <v>55</v>
      </c>
      <c r="BN20">
        <v>16</v>
      </c>
      <c r="BO20">
        <f t="shared" si="0"/>
        <v>35.5</v>
      </c>
      <c r="BP20">
        <v>3</v>
      </c>
      <c r="BQ20">
        <v>1</v>
      </c>
      <c r="BS20">
        <v>0</v>
      </c>
      <c r="BT20">
        <f t="shared" si="1"/>
        <v>36.538461538461533</v>
      </c>
      <c r="BU20">
        <f t="shared" si="2"/>
        <v>39.393939393939398</v>
      </c>
      <c r="BV20">
        <f t="shared" si="3"/>
        <v>21.428571428571427</v>
      </c>
      <c r="BW20">
        <f t="shared" si="4"/>
        <v>14.084507042253522</v>
      </c>
    </row>
    <row r="21" spans="1:75" x14ac:dyDescent="0.2">
      <c r="A21" t="s">
        <v>127</v>
      </c>
      <c r="B21" t="s">
        <v>128</v>
      </c>
      <c r="C21" t="s">
        <v>62</v>
      </c>
      <c r="D21" t="s">
        <v>63</v>
      </c>
      <c r="E21" t="s">
        <v>75</v>
      </c>
      <c r="F21" t="s">
        <v>134</v>
      </c>
      <c r="G21">
        <v>3.85</v>
      </c>
      <c r="H21">
        <v>7.5</v>
      </c>
      <c r="I21">
        <v>4.45</v>
      </c>
      <c r="J21">
        <v>0.95</v>
      </c>
      <c r="K21">
        <v>16.75</v>
      </c>
      <c r="L21">
        <v>3.1038961039999999</v>
      </c>
      <c r="M21">
        <v>152</v>
      </c>
      <c r="N21">
        <v>176</v>
      </c>
      <c r="O21">
        <v>24</v>
      </c>
      <c r="P21">
        <v>200</v>
      </c>
      <c r="Q21">
        <v>48</v>
      </c>
      <c r="R21">
        <v>24</v>
      </c>
      <c r="S21">
        <v>95.1</v>
      </c>
      <c r="T21">
        <v>31.578947370000002</v>
      </c>
      <c r="U21">
        <v>13.636363640000001</v>
      </c>
      <c r="V21">
        <v>9</v>
      </c>
      <c r="W21">
        <v>10</v>
      </c>
      <c r="X21">
        <v>12</v>
      </c>
      <c r="Y21">
        <v>3</v>
      </c>
      <c r="Z21">
        <v>33.333333330000002</v>
      </c>
      <c r="AA21">
        <v>2</v>
      </c>
      <c r="AB21">
        <v>4</v>
      </c>
      <c r="AC21">
        <v>6</v>
      </c>
      <c r="AD21" t="s">
        <v>66</v>
      </c>
      <c r="AE21">
        <v>82</v>
      </c>
      <c r="AF21">
        <v>94</v>
      </c>
      <c r="AG21" t="s">
        <v>66</v>
      </c>
      <c r="AH21">
        <v>45</v>
      </c>
      <c r="AI21">
        <v>63</v>
      </c>
      <c r="AJ21" t="s">
        <v>66</v>
      </c>
      <c r="AK21">
        <v>40</v>
      </c>
      <c r="AL21">
        <v>30</v>
      </c>
      <c r="AM21">
        <v>42.5</v>
      </c>
      <c r="AN21">
        <v>46.5</v>
      </c>
      <c r="AO21">
        <v>9.4117647059999996</v>
      </c>
      <c r="AP21">
        <v>14.634146339999999</v>
      </c>
      <c r="AQ21">
        <v>1.929411765</v>
      </c>
      <c r="AR21">
        <v>2.0215053759999999</v>
      </c>
      <c r="AS21">
        <v>9.2093611000000006E-2</v>
      </c>
      <c r="AT21">
        <v>0</v>
      </c>
      <c r="AU21" t="s">
        <v>66</v>
      </c>
      <c r="AV21">
        <v>1</v>
      </c>
      <c r="AW21">
        <v>4</v>
      </c>
      <c r="AX21">
        <v>0</v>
      </c>
      <c r="AY21">
        <v>1</v>
      </c>
      <c r="AZ21">
        <v>1</v>
      </c>
      <c r="BA21">
        <v>1</v>
      </c>
      <c r="BB21" t="s">
        <v>66</v>
      </c>
      <c r="BC21">
        <v>27.2</v>
      </c>
      <c r="BD21">
        <v>62.4</v>
      </c>
      <c r="BE21">
        <v>129.41176469999999</v>
      </c>
      <c r="BF21">
        <v>0</v>
      </c>
      <c r="BG21">
        <v>43.68</v>
      </c>
      <c r="BH21">
        <v>60.58823529</v>
      </c>
      <c r="BI21">
        <v>161</v>
      </c>
      <c r="BJ21">
        <v>12</v>
      </c>
      <c r="BK21">
        <v>6.7</v>
      </c>
      <c r="BL21">
        <f>161-42</f>
        <v>119</v>
      </c>
      <c r="BM21">
        <v>32</v>
      </c>
      <c r="BN21">
        <v>21</v>
      </c>
      <c r="BO21">
        <f t="shared" si="0"/>
        <v>26.5</v>
      </c>
      <c r="BP21">
        <v>4</v>
      </c>
      <c r="BQ21">
        <v>1</v>
      </c>
      <c r="BS21">
        <v>0</v>
      </c>
      <c r="BT21">
        <f t="shared" si="1"/>
        <v>5.5900621118012426</v>
      </c>
      <c r="BU21">
        <f t="shared" si="2"/>
        <v>25</v>
      </c>
      <c r="BV21">
        <f t="shared" si="3"/>
        <v>31.092436974789916</v>
      </c>
      <c r="BW21">
        <f t="shared" si="4"/>
        <v>-60.377358490566039</v>
      </c>
    </row>
    <row r="22" spans="1:75" x14ac:dyDescent="0.2">
      <c r="A22" t="s">
        <v>127</v>
      </c>
      <c r="B22" t="s">
        <v>128</v>
      </c>
      <c r="C22" t="s">
        <v>62</v>
      </c>
      <c r="D22" t="s">
        <v>63</v>
      </c>
      <c r="E22" t="s">
        <v>77</v>
      </c>
      <c r="F22" t="s">
        <v>135</v>
      </c>
      <c r="G22">
        <v>3.85</v>
      </c>
      <c r="H22">
        <v>7.5</v>
      </c>
      <c r="I22">
        <v>4.45</v>
      </c>
      <c r="J22">
        <v>0.95</v>
      </c>
      <c r="K22">
        <v>16.75</v>
      </c>
      <c r="L22">
        <v>3.1038961039999999</v>
      </c>
      <c r="M22">
        <v>70</v>
      </c>
      <c r="N22">
        <v>78</v>
      </c>
      <c r="O22">
        <v>8</v>
      </c>
      <c r="P22">
        <v>97</v>
      </c>
      <c r="Q22">
        <v>27</v>
      </c>
      <c r="R22">
        <v>13.5</v>
      </c>
      <c r="S22">
        <v>74.099999999999994</v>
      </c>
      <c r="T22">
        <v>38.571428570000002</v>
      </c>
      <c r="U22">
        <v>24.358974360000001</v>
      </c>
      <c r="V22">
        <v>5</v>
      </c>
      <c r="W22">
        <v>6</v>
      </c>
      <c r="X22">
        <v>7</v>
      </c>
      <c r="Y22">
        <v>2</v>
      </c>
      <c r="Z22">
        <v>40</v>
      </c>
      <c r="AA22" t="s">
        <v>66</v>
      </c>
      <c r="AB22" t="s">
        <v>66</v>
      </c>
      <c r="AC22" t="s">
        <v>66</v>
      </c>
      <c r="AD22" t="s">
        <v>66</v>
      </c>
      <c r="AE22">
        <v>56</v>
      </c>
      <c r="AF22">
        <v>75</v>
      </c>
      <c r="AG22" t="s">
        <v>66</v>
      </c>
      <c r="AH22">
        <v>10</v>
      </c>
      <c r="AI22">
        <v>15</v>
      </c>
      <c r="AJ22" t="s">
        <v>66</v>
      </c>
      <c r="AK22">
        <v>9</v>
      </c>
      <c r="AL22">
        <v>14</v>
      </c>
      <c r="AM22">
        <v>9.5</v>
      </c>
      <c r="AN22">
        <v>14.5</v>
      </c>
      <c r="AO22">
        <v>52.631578949999998</v>
      </c>
      <c r="AP22">
        <v>33.928571429999998</v>
      </c>
      <c r="AQ22">
        <v>5.8947368420000004</v>
      </c>
      <c r="AR22">
        <v>5.1724137929999996</v>
      </c>
      <c r="AS22">
        <v>-0.72232304899999999</v>
      </c>
      <c r="AT22">
        <v>0</v>
      </c>
      <c r="AU22" t="s">
        <v>66</v>
      </c>
      <c r="AV22">
        <v>1</v>
      </c>
      <c r="AW22">
        <v>4</v>
      </c>
      <c r="AX22">
        <v>0</v>
      </c>
      <c r="AY22">
        <v>1</v>
      </c>
      <c r="AZ22">
        <v>1</v>
      </c>
      <c r="BA22">
        <v>1</v>
      </c>
      <c r="BB22" t="s">
        <v>66</v>
      </c>
      <c r="BC22">
        <v>24.2</v>
      </c>
      <c r="BD22">
        <v>47.2</v>
      </c>
      <c r="BE22">
        <v>95.041322309999998</v>
      </c>
      <c r="BF22">
        <v>0</v>
      </c>
      <c r="BG22">
        <v>33.04</v>
      </c>
      <c r="BH22">
        <v>36.528925620000003</v>
      </c>
      <c r="BI22">
        <v>48</v>
      </c>
      <c r="BJ22">
        <v>7.6</v>
      </c>
      <c r="BK22" t="s">
        <v>66</v>
      </c>
      <c r="BL22">
        <f>48-35</f>
        <v>13</v>
      </c>
      <c r="BM22">
        <v>17</v>
      </c>
      <c r="BN22">
        <v>4</v>
      </c>
      <c r="BO22">
        <f t="shared" si="0"/>
        <v>10.5</v>
      </c>
      <c r="BP22">
        <v>2</v>
      </c>
      <c r="BQ22">
        <v>1</v>
      </c>
      <c r="BS22">
        <v>0</v>
      </c>
      <c r="BT22">
        <f t="shared" si="1"/>
        <v>-45.833333333333329</v>
      </c>
      <c r="BU22">
        <f t="shared" si="2"/>
        <v>34.210526315789465</v>
      </c>
      <c r="BV22">
        <f t="shared" si="3"/>
        <v>-330.76923076923077</v>
      </c>
      <c r="BW22">
        <f t="shared" si="4"/>
        <v>9.5238095238095237</v>
      </c>
    </row>
    <row r="23" spans="1:75" x14ac:dyDescent="0.2">
      <c r="A23" t="s">
        <v>127</v>
      </c>
      <c r="B23" t="s">
        <v>128</v>
      </c>
      <c r="C23" t="s">
        <v>62</v>
      </c>
      <c r="D23" t="s">
        <v>63</v>
      </c>
      <c r="E23" t="s">
        <v>79</v>
      </c>
      <c r="F23" t="s">
        <v>136</v>
      </c>
      <c r="G23">
        <v>3.85</v>
      </c>
      <c r="H23">
        <v>7.5</v>
      </c>
      <c r="I23">
        <v>4.45</v>
      </c>
      <c r="J23">
        <v>0.95</v>
      </c>
      <c r="K23">
        <v>16.75</v>
      </c>
      <c r="L23">
        <v>3.1038961039999999</v>
      </c>
      <c r="M23">
        <v>82</v>
      </c>
      <c r="N23">
        <v>58</v>
      </c>
      <c r="O23">
        <v>-24</v>
      </c>
      <c r="P23">
        <v>74</v>
      </c>
      <c r="Q23">
        <v>-8</v>
      </c>
      <c r="R23">
        <v>-4</v>
      </c>
      <c r="S23">
        <v>39.1</v>
      </c>
      <c r="T23">
        <v>-9.7560975610000007</v>
      </c>
      <c r="U23">
        <v>27.586206900000001</v>
      </c>
      <c r="V23">
        <v>6</v>
      </c>
      <c r="W23">
        <v>7</v>
      </c>
      <c r="X23">
        <v>8</v>
      </c>
      <c r="Y23">
        <v>2</v>
      </c>
      <c r="Z23">
        <v>33.333333330000002</v>
      </c>
      <c r="AA23" t="s">
        <v>66</v>
      </c>
      <c r="AB23" t="s">
        <v>66</v>
      </c>
      <c r="AC23" t="s">
        <v>66</v>
      </c>
      <c r="AD23" t="s">
        <v>66</v>
      </c>
      <c r="AE23">
        <v>34</v>
      </c>
      <c r="AF23">
        <v>22</v>
      </c>
      <c r="AG23" t="s">
        <v>66</v>
      </c>
      <c r="AH23">
        <v>24</v>
      </c>
      <c r="AI23">
        <v>21</v>
      </c>
      <c r="AJ23" t="s">
        <v>66</v>
      </c>
      <c r="AK23">
        <v>13</v>
      </c>
      <c r="AL23">
        <v>22</v>
      </c>
      <c r="AM23">
        <v>18.5</v>
      </c>
      <c r="AN23">
        <v>21.5</v>
      </c>
      <c r="AO23">
        <v>16.21621622</v>
      </c>
      <c r="AP23">
        <v>-35.294117649999997</v>
      </c>
      <c r="AQ23">
        <v>1.837837838</v>
      </c>
      <c r="AR23">
        <v>1.0232558140000001</v>
      </c>
      <c r="AS23">
        <v>-0.81458202400000002</v>
      </c>
      <c r="AT23">
        <v>0</v>
      </c>
      <c r="AU23" t="s">
        <v>66</v>
      </c>
      <c r="AV23">
        <v>3</v>
      </c>
      <c r="AW23">
        <v>4</v>
      </c>
      <c r="AX23">
        <v>0</v>
      </c>
      <c r="AY23">
        <v>1</v>
      </c>
      <c r="AZ23">
        <v>1</v>
      </c>
      <c r="BA23">
        <v>1</v>
      </c>
      <c r="BB23" t="s">
        <v>66</v>
      </c>
      <c r="BC23">
        <v>35.5</v>
      </c>
      <c r="BD23">
        <v>68.599999999999994</v>
      </c>
      <c r="BE23">
        <v>93.239436620000006</v>
      </c>
      <c r="BF23">
        <v>0</v>
      </c>
      <c r="BG23">
        <v>48.02</v>
      </c>
      <c r="BH23">
        <v>35.267605629999998</v>
      </c>
      <c r="BI23">
        <v>72</v>
      </c>
      <c r="BJ23">
        <v>9.4</v>
      </c>
      <c r="BK23" t="s">
        <v>66</v>
      </c>
      <c r="BL23">
        <f>72-36</f>
        <v>36</v>
      </c>
      <c r="BM23">
        <v>27</v>
      </c>
      <c r="BN23">
        <v>16</v>
      </c>
      <c r="BO23">
        <f t="shared" si="0"/>
        <v>21.5</v>
      </c>
      <c r="BP23">
        <v>2</v>
      </c>
      <c r="BQ23">
        <v>1</v>
      </c>
      <c r="BS23">
        <v>0</v>
      </c>
      <c r="BT23">
        <f t="shared" si="1"/>
        <v>-13.888888888888889</v>
      </c>
      <c r="BU23">
        <f t="shared" si="2"/>
        <v>36.170212765957451</v>
      </c>
      <c r="BV23">
        <f t="shared" si="3"/>
        <v>5.5555555555555554</v>
      </c>
      <c r="BW23">
        <f t="shared" si="4"/>
        <v>13.953488372093023</v>
      </c>
    </row>
    <row r="24" spans="1:75" x14ac:dyDescent="0.2">
      <c r="A24" t="s">
        <v>127</v>
      </c>
      <c r="B24" t="s">
        <v>128</v>
      </c>
      <c r="C24" t="s">
        <v>62</v>
      </c>
      <c r="D24" t="s">
        <v>63</v>
      </c>
      <c r="E24" t="s">
        <v>89</v>
      </c>
      <c r="F24" t="s">
        <v>141</v>
      </c>
      <c r="G24">
        <v>3.85</v>
      </c>
      <c r="H24">
        <v>7.5</v>
      </c>
      <c r="I24">
        <v>4.45</v>
      </c>
      <c r="J24">
        <v>0.95</v>
      </c>
      <c r="K24">
        <v>16.75</v>
      </c>
      <c r="L24">
        <v>3.1038961039999999</v>
      </c>
      <c r="M24">
        <v>55</v>
      </c>
      <c r="N24">
        <v>60</v>
      </c>
      <c r="O24">
        <v>5</v>
      </c>
      <c r="P24">
        <v>71</v>
      </c>
      <c r="Q24">
        <v>16</v>
      </c>
      <c r="R24">
        <v>8</v>
      </c>
      <c r="S24">
        <v>63.1</v>
      </c>
      <c r="T24">
        <v>29.09090909</v>
      </c>
      <c r="U24">
        <v>18.333333329999999</v>
      </c>
      <c r="V24">
        <v>4</v>
      </c>
      <c r="W24">
        <v>5</v>
      </c>
      <c r="X24">
        <v>6</v>
      </c>
      <c r="Y24">
        <v>2</v>
      </c>
      <c r="Z24">
        <v>50</v>
      </c>
      <c r="AA24" t="s">
        <v>66</v>
      </c>
      <c r="AB24" t="s">
        <v>66</v>
      </c>
      <c r="AC24" t="s">
        <v>66</v>
      </c>
      <c r="AD24" t="s">
        <v>66</v>
      </c>
      <c r="AE24">
        <v>13</v>
      </c>
      <c r="AF24">
        <v>25</v>
      </c>
      <c r="AG24" t="s">
        <v>66</v>
      </c>
      <c r="AH24">
        <v>12</v>
      </c>
      <c r="AI24">
        <v>13</v>
      </c>
      <c r="AJ24" t="s">
        <v>66</v>
      </c>
      <c r="AK24">
        <v>11</v>
      </c>
      <c r="AL24">
        <v>12</v>
      </c>
      <c r="AM24">
        <v>11.5</v>
      </c>
      <c r="AN24">
        <v>12.5</v>
      </c>
      <c r="AO24">
        <v>8.6956521739999992</v>
      </c>
      <c r="AP24">
        <v>92.307692309999993</v>
      </c>
      <c r="AQ24">
        <v>1.1304347830000001</v>
      </c>
      <c r="AR24">
        <v>2</v>
      </c>
      <c r="AS24">
        <v>0.869565217</v>
      </c>
      <c r="AT24">
        <v>0</v>
      </c>
      <c r="AU24" t="s">
        <v>66</v>
      </c>
      <c r="AV24">
        <v>0</v>
      </c>
      <c r="AW24">
        <v>4</v>
      </c>
      <c r="AX24">
        <v>0</v>
      </c>
      <c r="AY24">
        <v>1</v>
      </c>
      <c r="AZ24">
        <v>1</v>
      </c>
      <c r="BA24">
        <v>1</v>
      </c>
      <c r="BB24" t="s">
        <v>66</v>
      </c>
      <c r="BC24">
        <v>28.8</v>
      </c>
      <c r="BD24">
        <v>50.9</v>
      </c>
      <c r="BE24">
        <v>76.736111109999996</v>
      </c>
      <c r="BF24">
        <v>0</v>
      </c>
      <c r="BG24">
        <v>35.630000000000003</v>
      </c>
      <c r="BH24">
        <v>23.715277780000001</v>
      </c>
      <c r="BI24">
        <v>62</v>
      </c>
      <c r="BJ24">
        <v>5.6</v>
      </c>
      <c r="BK24" t="s">
        <v>66</v>
      </c>
      <c r="BL24">
        <f>62-13</f>
        <v>49</v>
      </c>
      <c r="BM24">
        <v>5</v>
      </c>
      <c r="BN24">
        <v>3</v>
      </c>
      <c r="BO24">
        <f t="shared" si="0"/>
        <v>4</v>
      </c>
      <c r="BP24">
        <v>1</v>
      </c>
      <c r="BQ24">
        <v>1</v>
      </c>
      <c r="BS24">
        <v>0</v>
      </c>
      <c r="BT24">
        <f t="shared" si="1"/>
        <v>11.29032258064516</v>
      </c>
      <c r="BU24">
        <f t="shared" si="2"/>
        <v>28.571428571428566</v>
      </c>
      <c r="BV24">
        <f t="shared" si="3"/>
        <v>73.469387755102048</v>
      </c>
      <c r="BW24">
        <f t="shared" si="4"/>
        <v>-187.5</v>
      </c>
    </row>
    <row r="25" spans="1:75" x14ac:dyDescent="0.2">
      <c r="A25" t="s">
        <v>127</v>
      </c>
      <c r="B25" t="s">
        <v>128</v>
      </c>
      <c r="C25" t="s">
        <v>62</v>
      </c>
      <c r="D25" t="s">
        <v>63</v>
      </c>
      <c r="E25" t="s">
        <v>93</v>
      </c>
      <c r="F25" t="s">
        <v>143</v>
      </c>
      <c r="G25">
        <v>3.85</v>
      </c>
      <c r="H25">
        <v>7.5</v>
      </c>
      <c r="I25">
        <v>4.45</v>
      </c>
      <c r="J25">
        <v>0.95</v>
      </c>
      <c r="K25">
        <v>16.75</v>
      </c>
      <c r="L25">
        <v>3.1038961039999999</v>
      </c>
      <c r="M25">
        <v>77</v>
      </c>
      <c r="N25">
        <v>83</v>
      </c>
      <c r="O25">
        <v>6</v>
      </c>
      <c r="P25">
        <v>80</v>
      </c>
      <c r="Q25">
        <v>3</v>
      </c>
      <c r="R25">
        <v>1.5</v>
      </c>
      <c r="S25">
        <v>50.1</v>
      </c>
      <c r="T25">
        <v>3.8961038960000001</v>
      </c>
      <c r="U25">
        <v>-3.6144578310000002</v>
      </c>
      <c r="V25">
        <v>5</v>
      </c>
      <c r="W25">
        <v>9</v>
      </c>
      <c r="X25">
        <v>8</v>
      </c>
      <c r="Y25">
        <v>3</v>
      </c>
      <c r="Z25">
        <v>60</v>
      </c>
      <c r="AA25" t="s">
        <v>66</v>
      </c>
      <c r="AB25" t="s">
        <v>66</v>
      </c>
      <c r="AC25" t="s">
        <v>66</v>
      </c>
      <c r="AD25" t="s">
        <v>66</v>
      </c>
      <c r="AE25">
        <v>50</v>
      </c>
      <c r="AF25">
        <v>42</v>
      </c>
      <c r="AG25" t="s">
        <v>66</v>
      </c>
      <c r="AH25">
        <v>22</v>
      </c>
      <c r="AI25">
        <v>16</v>
      </c>
      <c r="AJ25" t="s">
        <v>66</v>
      </c>
      <c r="AK25">
        <v>11</v>
      </c>
      <c r="AL25">
        <v>13</v>
      </c>
      <c r="AM25">
        <v>16.5</v>
      </c>
      <c r="AN25">
        <v>14.5</v>
      </c>
      <c r="AO25">
        <v>-12.121212119999999</v>
      </c>
      <c r="AP25">
        <v>-16</v>
      </c>
      <c r="AQ25">
        <v>3.0303030299999998</v>
      </c>
      <c r="AR25">
        <v>2.896551724</v>
      </c>
      <c r="AS25">
        <v>-0.13375130599999999</v>
      </c>
      <c r="AT25">
        <v>0</v>
      </c>
      <c r="AU25" t="s">
        <v>66</v>
      </c>
      <c r="AV25">
        <v>1</v>
      </c>
      <c r="AW25">
        <v>4</v>
      </c>
      <c r="AX25">
        <v>0</v>
      </c>
      <c r="AY25">
        <v>1</v>
      </c>
      <c r="AZ25">
        <v>1</v>
      </c>
      <c r="BA25">
        <v>1</v>
      </c>
      <c r="BB25" t="s">
        <v>66</v>
      </c>
      <c r="BC25">
        <v>25.2</v>
      </c>
      <c r="BD25">
        <v>42.888888889999997</v>
      </c>
      <c r="BE25">
        <v>70.194003530000003</v>
      </c>
      <c r="BF25">
        <v>0</v>
      </c>
      <c r="BG25">
        <v>30.02222222</v>
      </c>
      <c r="BH25">
        <v>19.135802470000002</v>
      </c>
      <c r="BI25">
        <v>73</v>
      </c>
      <c r="BJ25">
        <v>9</v>
      </c>
      <c r="BK25" t="s">
        <v>66</v>
      </c>
      <c r="BL25">
        <f>73-27</f>
        <v>46</v>
      </c>
      <c r="BM25">
        <v>12</v>
      </c>
      <c r="BN25">
        <v>6</v>
      </c>
      <c r="BO25">
        <f t="shared" si="0"/>
        <v>9</v>
      </c>
      <c r="BP25">
        <v>3</v>
      </c>
      <c r="BQ25">
        <v>1</v>
      </c>
      <c r="BS25">
        <v>0</v>
      </c>
      <c r="BT25">
        <f t="shared" si="1"/>
        <v>-5.4794520547945202</v>
      </c>
      <c r="BU25">
        <f t="shared" si="2"/>
        <v>44.444444444444443</v>
      </c>
      <c r="BV25">
        <f t="shared" si="3"/>
        <v>-8.695652173913043</v>
      </c>
      <c r="BW25">
        <f t="shared" si="4"/>
        <v>-83.333333333333343</v>
      </c>
    </row>
    <row r="26" spans="1:75" x14ac:dyDescent="0.2">
      <c r="A26" t="s">
        <v>127</v>
      </c>
      <c r="B26" t="s">
        <v>128</v>
      </c>
      <c r="C26" t="s">
        <v>62</v>
      </c>
      <c r="D26" t="s">
        <v>63</v>
      </c>
      <c r="E26" t="s">
        <v>85</v>
      </c>
      <c r="F26" t="s">
        <v>139</v>
      </c>
      <c r="G26">
        <v>3.85</v>
      </c>
      <c r="H26">
        <v>7.5</v>
      </c>
      <c r="I26">
        <v>4.45</v>
      </c>
      <c r="J26">
        <v>0.95</v>
      </c>
      <c r="K26">
        <v>16.75</v>
      </c>
      <c r="L26">
        <v>3.1038961039999999</v>
      </c>
      <c r="M26">
        <v>234</v>
      </c>
      <c r="N26">
        <v>371</v>
      </c>
      <c r="O26">
        <v>137</v>
      </c>
      <c r="P26">
        <v>386</v>
      </c>
      <c r="Q26">
        <v>152</v>
      </c>
      <c r="R26">
        <v>76</v>
      </c>
      <c r="S26">
        <v>199.1</v>
      </c>
      <c r="T26">
        <v>64.957264960000003</v>
      </c>
      <c r="U26">
        <v>4.0431266849999998</v>
      </c>
      <c r="V26">
        <v>16</v>
      </c>
      <c r="W26">
        <v>28</v>
      </c>
      <c r="X26">
        <v>30</v>
      </c>
      <c r="Y26">
        <v>14</v>
      </c>
      <c r="Z26">
        <v>87.5</v>
      </c>
      <c r="AA26">
        <v>11</v>
      </c>
      <c r="AB26">
        <v>14</v>
      </c>
      <c r="AC26">
        <v>9</v>
      </c>
      <c r="AD26" t="s">
        <v>66</v>
      </c>
      <c r="AE26">
        <v>229</v>
      </c>
      <c r="AF26">
        <v>236</v>
      </c>
      <c r="AG26" t="s">
        <v>66</v>
      </c>
      <c r="AH26">
        <v>63</v>
      </c>
      <c r="AI26">
        <v>66</v>
      </c>
      <c r="AJ26" t="s">
        <v>66</v>
      </c>
      <c r="AK26">
        <v>46</v>
      </c>
      <c r="AL26">
        <v>76</v>
      </c>
      <c r="AM26">
        <v>54.5</v>
      </c>
      <c r="AN26">
        <v>71</v>
      </c>
      <c r="AO26">
        <v>30.275229360000001</v>
      </c>
      <c r="AP26">
        <v>3.056768559</v>
      </c>
      <c r="AQ26">
        <v>4.2018348620000001</v>
      </c>
      <c r="AR26">
        <v>3.323943662</v>
      </c>
      <c r="AS26">
        <v>-0.87789119999999998</v>
      </c>
      <c r="AT26">
        <v>0</v>
      </c>
      <c r="AU26" t="s">
        <v>66</v>
      </c>
      <c r="AV26">
        <v>1</v>
      </c>
      <c r="AW26">
        <v>3</v>
      </c>
      <c r="AX26">
        <v>1</v>
      </c>
      <c r="AY26">
        <v>1</v>
      </c>
      <c r="AZ26">
        <v>1</v>
      </c>
      <c r="BA26">
        <v>1</v>
      </c>
      <c r="BB26" t="s">
        <v>66</v>
      </c>
      <c r="BC26">
        <v>43.5</v>
      </c>
      <c r="BD26">
        <v>54</v>
      </c>
      <c r="BE26">
        <v>24.137931030000001</v>
      </c>
      <c r="BF26">
        <v>0</v>
      </c>
      <c r="BG26">
        <v>37.799999999999997</v>
      </c>
      <c r="BH26">
        <v>-13.10344828</v>
      </c>
      <c r="BI26">
        <f>150+318</f>
        <v>468</v>
      </c>
      <c r="BJ26">
        <v>31.5</v>
      </c>
      <c r="BK26">
        <v>21.5</v>
      </c>
      <c r="BL26">
        <f>468-269</f>
        <v>199</v>
      </c>
      <c r="BM26">
        <v>100</v>
      </c>
      <c r="BN26">
        <v>100</v>
      </c>
      <c r="BO26">
        <f t="shared" si="0"/>
        <v>100</v>
      </c>
      <c r="BP26">
        <v>3</v>
      </c>
      <c r="BQ26">
        <v>1</v>
      </c>
      <c r="BS26">
        <v>0</v>
      </c>
      <c r="BT26">
        <f t="shared" si="1"/>
        <v>50</v>
      </c>
      <c r="BU26">
        <f t="shared" si="2"/>
        <v>49.206349206349202</v>
      </c>
      <c r="BV26">
        <f t="shared" si="3"/>
        <v>-15.075376884422109</v>
      </c>
      <c r="BW26">
        <f t="shared" si="4"/>
        <v>45.5</v>
      </c>
    </row>
    <row r="27" spans="1:75" x14ac:dyDescent="0.2">
      <c r="A27" t="s">
        <v>127</v>
      </c>
      <c r="B27" t="s">
        <v>128</v>
      </c>
      <c r="C27" t="s">
        <v>62</v>
      </c>
      <c r="D27" t="s">
        <v>63</v>
      </c>
      <c r="E27" t="s">
        <v>87</v>
      </c>
      <c r="F27" t="s">
        <v>140</v>
      </c>
      <c r="G27">
        <v>3.85</v>
      </c>
      <c r="H27">
        <v>7.5</v>
      </c>
      <c r="I27">
        <v>4.45</v>
      </c>
      <c r="J27">
        <v>0.95</v>
      </c>
      <c r="K27">
        <v>16.75</v>
      </c>
      <c r="L27">
        <v>3.1038961039999999</v>
      </c>
      <c r="M27">
        <v>115</v>
      </c>
      <c r="N27">
        <v>138</v>
      </c>
      <c r="O27">
        <v>23</v>
      </c>
      <c r="P27">
        <v>189</v>
      </c>
      <c r="Q27">
        <v>74</v>
      </c>
      <c r="R27">
        <v>37</v>
      </c>
      <c r="S27">
        <v>121.1</v>
      </c>
      <c r="T27">
        <v>64.347826089999998</v>
      </c>
      <c r="U27">
        <v>36.956521739999999</v>
      </c>
      <c r="V27">
        <v>9</v>
      </c>
      <c r="W27">
        <v>12</v>
      </c>
      <c r="X27">
        <v>13</v>
      </c>
      <c r="Y27">
        <v>4</v>
      </c>
      <c r="Z27">
        <v>44.444444439999998</v>
      </c>
      <c r="AA27" t="s">
        <v>66</v>
      </c>
      <c r="AB27" t="s">
        <v>66</v>
      </c>
      <c r="AC27">
        <v>4</v>
      </c>
      <c r="AD27" t="s">
        <v>66</v>
      </c>
      <c r="AE27">
        <v>79</v>
      </c>
      <c r="AF27">
        <v>130</v>
      </c>
      <c r="AG27" t="s">
        <v>66</v>
      </c>
      <c r="AH27">
        <v>24</v>
      </c>
      <c r="AI27">
        <v>32</v>
      </c>
      <c r="AJ27" t="s">
        <v>66</v>
      </c>
      <c r="AK27">
        <v>17</v>
      </c>
      <c r="AL27">
        <v>27</v>
      </c>
      <c r="AM27">
        <v>20.5</v>
      </c>
      <c r="AN27">
        <v>29.5</v>
      </c>
      <c r="AO27">
        <v>43.902439020000003</v>
      </c>
      <c r="AP27">
        <v>64.556962029999994</v>
      </c>
      <c r="AQ27">
        <v>3.8536585369999998</v>
      </c>
      <c r="AR27">
        <v>4.4067796609999998</v>
      </c>
      <c r="AS27">
        <v>0.55312112400000002</v>
      </c>
      <c r="AT27">
        <v>0</v>
      </c>
      <c r="AU27" t="s">
        <v>66</v>
      </c>
      <c r="AV27">
        <v>1</v>
      </c>
      <c r="AW27">
        <v>3</v>
      </c>
      <c r="AX27">
        <v>1</v>
      </c>
      <c r="AY27">
        <v>1</v>
      </c>
      <c r="AZ27">
        <v>1</v>
      </c>
      <c r="BA27">
        <v>1</v>
      </c>
      <c r="BB27" t="s">
        <v>66</v>
      </c>
      <c r="BC27">
        <v>34.299999999999997</v>
      </c>
      <c r="BD27">
        <v>57.9</v>
      </c>
      <c r="BE27">
        <v>68.804664720000005</v>
      </c>
      <c r="BF27">
        <v>0</v>
      </c>
      <c r="BG27">
        <v>40.53</v>
      </c>
      <c r="BH27">
        <v>18.16326531</v>
      </c>
      <c r="BI27">
        <v>191</v>
      </c>
      <c r="BJ27">
        <v>4.8</v>
      </c>
      <c r="BK27">
        <v>6</v>
      </c>
      <c r="BL27">
        <f>191-97</f>
        <v>94</v>
      </c>
      <c r="BM27">
        <v>30</v>
      </c>
      <c r="BN27">
        <v>19</v>
      </c>
      <c r="BO27">
        <f t="shared" si="0"/>
        <v>24.5</v>
      </c>
      <c r="BP27">
        <v>3</v>
      </c>
      <c r="BQ27">
        <v>1</v>
      </c>
      <c r="BS27">
        <v>0</v>
      </c>
      <c r="BT27">
        <f t="shared" si="1"/>
        <v>39.790575916230367</v>
      </c>
      <c r="BU27">
        <f t="shared" si="2"/>
        <v>-87.500000000000014</v>
      </c>
      <c r="BV27">
        <f t="shared" si="3"/>
        <v>15.957446808510639</v>
      </c>
      <c r="BW27">
        <f t="shared" si="4"/>
        <v>16.326530612244898</v>
      </c>
    </row>
    <row r="28" spans="1:75" x14ac:dyDescent="0.2">
      <c r="A28" t="s">
        <v>127</v>
      </c>
      <c r="B28" t="s">
        <v>128</v>
      </c>
      <c r="C28" t="s">
        <v>62</v>
      </c>
      <c r="D28" t="s">
        <v>63</v>
      </c>
      <c r="E28" t="s">
        <v>91</v>
      </c>
      <c r="F28" t="s">
        <v>142</v>
      </c>
      <c r="G28">
        <v>3.85</v>
      </c>
      <c r="H28">
        <v>7.5</v>
      </c>
      <c r="I28">
        <v>4.45</v>
      </c>
      <c r="J28">
        <v>0.95</v>
      </c>
      <c r="K28">
        <v>16.75</v>
      </c>
      <c r="L28">
        <v>3.1038961039999999</v>
      </c>
      <c r="M28">
        <v>152</v>
      </c>
      <c r="N28">
        <v>161</v>
      </c>
      <c r="O28">
        <v>9</v>
      </c>
      <c r="P28">
        <v>204</v>
      </c>
      <c r="Q28">
        <v>52</v>
      </c>
      <c r="R28">
        <v>26</v>
      </c>
      <c r="S28">
        <v>99.1</v>
      </c>
      <c r="T28">
        <v>34.21052632</v>
      </c>
      <c r="U28">
        <v>26.708074530000001</v>
      </c>
      <c r="V28">
        <v>10</v>
      </c>
      <c r="W28">
        <v>15</v>
      </c>
      <c r="X28">
        <v>14</v>
      </c>
      <c r="Y28">
        <v>4</v>
      </c>
      <c r="Z28">
        <v>40</v>
      </c>
      <c r="AA28">
        <v>2</v>
      </c>
      <c r="AB28">
        <v>2</v>
      </c>
      <c r="AC28">
        <v>5</v>
      </c>
      <c r="AD28" t="s">
        <v>66</v>
      </c>
      <c r="AE28">
        <v>98</v>
      </c>
      <c r="AF28">
        <v>130</v>
      </c>
      <c r="AG28" t="s">
        <v>66</v>
      </c>
      <c r="AH28">
        <v>45</v>
      </c>
      <c r="AI28">
        <v>40</v>
      </c>
      <c r="AJ28" t="s">
        <v>66</v>
      </c>
      <c r="AK28">
        <v>37</v>
      </c>
      <c r="AL28">
        <v>35</v>
      </c>
      <c r="AM28">
        <v>41</v>
      </c>
      <c r="AN28">
        <v>37.5</v>
      </c>
      <c r="AO28">
        <v>-8.5365853660000006</v>
      </c>
      <c r="AP28">
        <v>32.653061219999998</v>
      </c>
      <c r="AQ28">
        <v>2.3902439019999999</v>
      </c>
      <c r="AR28">
        <v>3.4666666670000001</v>
      </c>
      <c r="AS28">
        <v>1.076422765</v>
      </c>
      <c r="AT28">
        <v>0</v>
      </c>
      <c r="AU28" t="s">
        <v>66</v>
      </c>
      <c r="AV28">
        <v>2</v>
      </c>
      <c r="AW28">
        <v>4</v>
      </c>
      <c r="AX28">
        <v>1</v>
      </c>
      <c r="AY28">
        <v>1</v>
      </c>
      <c r="AZ28">
        <v>1</v>
      </c>
      <c r="BA28">
        <v>1</v>
      </c>
      <c r="BB28" t="s">
        <v>66</v>
      </c>
      <c r="BC28">
        <v>51.4</v>
      </c>
      <c r="BD28">
        <v>56.2</v>
      </c>
      <c r="BE28">
        <v>9.3385214009999995</v>
      </c>
      <c r="BF28">
        <v>0</v>
      </c>
      <c r="BG28">
        <v>39.340000000000003</v>
      </c>
      <c r="BH28">
        <v>-23.46303502</v>
      </c>
      <c r="BI28">
        <v>210</v>
      </c>
      <c r="BJ28">
        <v>14.5</v>
      </c>
      <c r="BK28">
        <v>5.5</v>
      </c>
      <c r="BL28">
        <f>210-94</f>
        <v>116</v>
      </c>
      <c r="BM28">
        <v>28</v>
      </c>
      <c r="BN28">
        <v>22</v>
      </c>
      <c r="BO28">
        <f t="shared" si="0"/>
        <v>25</v>
      </c>
      <c r="BP28">
        <v>3</v>
      </c>
      <c r="BQ28">
        <v>1</v>
      </c>
      <c r="BS28">
        <v>0</v>
      </c>
      <c r="BT28">
        <f t="shared" si="1"/>
        <v>27.61904761904762</v>
      </c>
      <c r="BU28">
        <f t="shared" si="2"/>
        <v>31.03448275862069</v>
      </c>
      <c r="BV28">
        <f t="shared" si="3"/>
        <v>15.517241379310345</v>
      </c>
      <c r="BW28">
        <f t="shared" si="4"/>
        <v>-64</v>
      </c>
    </row>
    <row r="29" spans="1:75" x14ac:dyDescent="0.2">
      <c r="A29" t="s">
        <v>127</v>
      </c>
      <c r="B29" t="s">
        <v>128</v>
      </c>
      <c r="C29" t="s">
        <v>62</v>
      </c>
      <c r="D29" t="s">
        <v>63</v>
      </c>
      <c r="E29" t="s">
        <v>99</v>
      </c>
      <c r="F29" t="s">
        <v>146</v>
      </c>
      <c r="G29">
        <v>3.85</v>
      </c>
      <c r="H29">
        <v>7.5</v>
      </c>
      <c r="I29">
        <v>4.45</v>
      </c>
      <c r="J29">
        <v>0.95</v>
      </c>
      <c r="K29">
        <v>16.75</v>
      </c>
      <c r="L29">
        <v>3.1038961039999999</v>
      </c>
      <c r="M29">
        <v>93</v>
      </c>
      <c r="N29">
        <v>155</v>
      </c>
      <c r="O29">
        <v>62</v>
      </c>
      <c r="P29">
        <v>162</v>
      </c>
      <c r="Q29">
        <v>69</v>
      </c>
      <c r="R29">
        <v>34.5</v>
      </c>
      <c r="S29">
        <v>116.1</v>
      </c>
      <c r="T29">
        <v>74.193548390000004</v>
      </c>
      <c r="U29">
        <v>4.5161290320000003</v>
      </c>
      <c r="V29">
        <v>10</v>
      </c>
      <c r="W29">
        <v>14</v>
      </c>
      <c r="X29">
        <v>14</v>
      </c>
      <c r="Y29">
        <v>4</v>
      </c>
      <c r="Z29">
        <v>40</v>
      </c>
      <c r="AA29" t="s">
        <v>66</v>
      </c>
      <c r="AB29">
        <v>2</v>
      </c>
      <c r="AC29">
        <v>3</v>
      </c>
      <c r="AD29" t="s">
        <v>66</v>
      </c>
      <c r="AE29">
        <v>140</v>
      </c>
      <c r="AF29">
        <v>98</v>
      </c>
      <c r="AG29" t="s">
        <v>66</v>
      </c>
      <c r="AH29">
        <v>90</v>
      </c>
      <c r="AI29">
        <v>75</v>
      </c>
      <c r="AJ29" t="s">
        <v>66</v>
      </c>
      <c r="AK29">
        <v>66</v>
      </c>
      <c r="AL29">
        <v>33</v>
      </c>
      <c r="AM29">
        <v>78</v>
      </c>
      <c r="AN29">
        <v>54</v>
      </c>
      <c r="AO29">
        <v>-30.76923077</v>
      </c>
      <c r="AP29">
        <v>-30</v>
      </c>
      <c r="AQ29">
        <v>1.7948717949999999</v>
      </c>
      <c r="AR29">
        <v>1.8148148150000001</v>
      </c>
      <c r="AS29">
        <v>1.9943019999999999E-2</v>
      </c>
      <c r="AT29">
        <v>0</v>
      </c>
      <c r="AU29" t="s">
        <v>66</v>
      </c>
      <c r="AV29">
        <v>4</v>
      </c>
      <c r="AW29">
        <v>4</v>
      </c>
      <c r="AX29">
        <v>1</v>
      </c>
      <c r="AY29">
        <v>1</v>
      </c>
      <c r="AZ29">
        <v>1</v>
      </c>
      <c r="BA29">
        <v>1</v>
      </c>
      <c r="BB29" t="s">
        <v>66</v>
      </c>
      <c r="BC29">
        <v>42.9</v>
      </c>
      <c r="BD29">
        <v>50.6</v>
      </c>
      <c r="BE29">
        <v>17.948717949999999</v>
      </c>
      <c r="BF29">
        <v>0</v>
      </c>
      <c r="BG29">
        <v>35.42</v>
      </c>
      <c r="BH29">
        <v>-17.435897440000002</v>
      </c>
      <c r="BI29">
        <v>168</v>
      </c>
      <c r="BJ29">
        <v>13.4</v>
      </c>
      <c r="BK29">
        <v>4.2</v>
      </c>
      <c r="BL29">
        <f>168-120</f>
        <v>48</v>
      </c>
      <c r="BM29">
        <v>72</v>
      </c>
      <c r="BN29">
        <v>45</v>
      </c>
      <c r="BO29">
        <f t="shared" si="0"/>
        <v>58.5</v>
      </c>
      <c r="BP29">
        <v>3</v>
      </c>
      <c r="BQ29">
        <v>1</v>
      </c>
      <c r="BS29">
        <v>0</v>
      </c>
      <c r="BT29">
        <f t="shared" si="1"/>
        <v>44.642857142857146</v>
      </c>
      <c r="BU29">
        <f t="shared" si="2"/>
        <v>25.373134328358208</v>
      </c>
      <c r="BV29">
        <f t="shared" si="3"/>
        <v>-191.66666666666669</v>
      </c>
      <c r="BW29">
        <f t="shared" si="4"/>
        <v>-33.333333333333329</v>
      </c>
    </row>
    <row r="30" spans="1:75" x14ac:dyDescent="0.2">
      <c r="A30" t="s">
        <v>127</v>
      </c>
      <c r="B30" t="s">
        <v>128</v>
      </c>
      <c r="C30" t="s">
        <v>62</v>
      </c>
      <c r="D30" t="s">
        <v>63</v>
      </c>
      <c r="E30" t="s">
        <v>103</v>
      </c>
      <c r="F30" t="s">
        <v>148</v>
      </c>
      <c r="G30">
        <v>3.85</v>
      </c>
      <c r="H30">
        <v>7.5</v>
      </c>
      <c r="I30">
        <v>4.45</v>
      </c>
      <c r="J30">
        <v>0.95</v>
      </c>
      <c r="K30">
        <v>16.75</v>
      </c>
      <c r="L30">
        <v>3.1038961039999999</v>
      </c>
      <c r="M30">
        <v>146</v>
      </c>
      <c r="N30">
        <v>160</v>
      </c>
      <c r="O30">
        <v>14</v>
      </c>
      <c r="P30">
        <v>155</v>
      </c>
      <c r="Q30">
        <v>9</v>
      </c>
      <c r="R30">
        <v>4.5</v>
      </c>
      <c r="S30">
        <v>56.1</v>
      </c>
      <c r="T30">
        <v>6.1643835620000003</v>
      </c>
      <c r="U30">
        <v>-3.125</v>
      </c>
      <c r="V30">
        <v>11</v>
      </c>
      <c r="W30">
        <v>14</v>
      </c>
      <c r="X30">
        <v>15</v>
      </c>
      <c r="Y30">
        <v>4</v>
      </c>
      <c r="Z30">
        <v>36.363636360000001</v>
      </c>
      <c r="AA30">
        <v>3</v>
      </c>
      <c r="AB30">
        <v>3</v>
      </c>
      <c r="AC30">
        <v>2</v>
      </c>
      <c r="AD30" t="s">
        <v>66</v>
      </c>
      <c r="AE30">
        <v>130</v>
      </c>
      <c r="AF30">
        <v>104</v>
      </c>
      <c r="AG30" t="s">
        <v>66</v>
      </c>
      <c r="AH30">
        <v>65</v>
      </c>
      <c r="AI30">
        <v>60</v>
      </c>
      <c r="AJ30" t="s">
        <v>66</v>
      </c>
      <c r="AK30">
        <v>49</v>
      </c>
      <c r="AL30">
        <v>52</v>
      </c>
      <c r="AM30">
        <v>57</v>
      </c>
      <c r="AN30">
        <v>56</v>
      </c>
      <c r="AO30">
        <v>-1.754385965</v>
      </c>
      <c r="AP30">
        <v>-20</v>
      </c>
      <c r="AQ30">
        <v>2.2807017539999999</v>
      </c>
      <c r="AR30">
        <v>1.8571428569999999</v>
      </c>
      <c r="AS30">
        <v>-0.42355889699999999</v>
      </c>
      <c r="AT30">
        <v>0</v>
      </c>
      <c r="AU30" t="s">
        <v>66</v>
      </c>
      <c r="AV30">
        <v>4</v>
      </c>
      <c r="AW30">
        <v>3</v>
      </c>
      <c r="AX30">
        <v>1</v>
      </c>
      <c r="AY30">
        <v>1</v>
      </c>
      <c r="AZ30">
        <v>1</v>
      </c>
      <c r="BA30">
        <v>1</v>
      </c>
      <c r="BB30" t="s">
        <v>66</v>
      </c>
      <c r="BC30">
        <v>32.4</v>
      </c>
      <c r="BD30">
        <v>52.5</v>
      </c>
      <c r="BE30">
        <v>62.037037040000001</v>
      </c>
      <c r="BF30">
        <v>0</v>
      </c>
      <c r="BG30">
        <v>36.75</v>
      </c>
      <c r="BH30">
        <v>13.42592593</v>
      </c>
      <c r="BI30">
        <v>143</v>
      </c>
      <c r="BJ30">
        <v>5.8</v>
      </c>
      <c r="BK30">
        <v>3.8</v>
      </c>
      <c r="BL30">
        <f>143-80</f>
        <v>63</v>
      </c>
      <c r="BM30">
        <v>56</v>
      </c>
      <c r="BN30">
        <v>43</v>
      </c>
      <c r="BO30">
        <f t="shared" si="0"/>
        <v>49.5</v>
      </c>
      <c r="BP30">
        <v>3</v>
      </c>
      <c r="BQ30">
        <v>1</v>
      </c>
      <c r="BS30">
        <v>0</v>
      </c>
      <c r="BT30">
        <f t="shared" si="1"/>
        <v>-2.0979020979020979</v>
      </c>
      <c r="BU30">
        <f t="shared" si="2"/>
        <v>-89.65517241379311</v>
      </c>
      <c r="BV30">
        <f t="shared" si="3"/>
        <v>-106.34920634920636</v>
      </c>
      <c r="BW30">
        <f t="shared" si="4"/>
        <v>-15.151515151515152</v>
      </c>
    </row>
    <row r="31" spans="1:75" x14ac:dyDescent="0.2">
      <c r="A31" t="s">
        <v>170</v>
      </c>
      <c r="B31" t="s">
        <v>171</v>
      </c>
      <c r="C31" t="s">
        <v>62</v>
      </c>
      <c r="D31" t="s">
        <v>63</v>
      </c>
      <c r="E31" t="s">
        <v>73</v>
      </c>
      <c r="F31" t="s">
        <v>176</v>
      </c>
      <c r="G31">
        <v>2.65</v>
      </c>
      <c r="H31">
        <v>15.9</v>
      </c>
      <c r="I31">
        <v>15.75</v>
      </c>
      <c r="J31">
        <v>1.4</v>
      </c>
      <c r="K31">
        <v>35.700000000000003</v>
      </c>
      <c r="L31">
        <v>11.943396229999999</v>
      </c>
      <c r="M31">
        <v>44</v>
      </c>
      <c r="N31">
        <v>56</v>
      </c>
      <c r="O31">
        <v>12</v>
      </c>
      <c r="P31">
        <v>59</v>
      </c>
      <c r="Q31">
        <v>15</v>
      </c>
      <c r="R31">
        <v>7.5</v>
      </c>
      <c r="S31">
        <v>62.1</v>
      </c>
      <c r="T31">
        <v>34.090909089999997</v>
      </c>
      <c r="U31">
        <v>5.3571428570000004</v>
      </c>
      <c r="V31">
        <v>5</v>
      </c>
      <c r="W31">
        <v>6</v>
      </c>
      <c r="X31">
        <v>6</v>
      </c>
      <c r="Y31">
        <v>1</v>
      </c>
      <c r="Z31">
        <v>20</v>
      </c>
      <c r="AA31" t="s">
        <v>66</v>
      </c>
      <c r="AB31" t="s">
        <v>66</v>
      </c>
      <c r="AC31" t="s">
        <v>66</v>
      </c>
      <c r="AD31" t="s">
        <v>66</v>
      </c>
      <c r="AE31">
        <v>24</v>
      </c>
      <c r="AF31">
        <v>27</v>
      </c>
      <c r="AG31" t="s">
        <v>66</v>
      </c>
      <c r="AH31">
        <v>14</v>
      </c>
      <c r="AI31">
        <v>13</v>
      </c>
      <c r="AJ31" t="s">
        <v>66</v>
      </c>
      <c r="AK31">
        <v>12</v>
      </c>
      <c r="AL31">
        <v>10</v>
      </c>
      <c r="AM31">
        <v>13</v>
      </c>
      <c r="AN31">
        <v>11.5</v>
      </c>
      <c r="AO31">
        <v>-11.53846154</v>
      </c>
      <c r="AP31">
        <v>12.5</v>
      </c>
      <c r="AQ31">
        <v>1.846153846</v>
      </c>
      <c r="AR31">
        <v>2.3478260870000001</v>
      </c>
      <c r="AS31">
        <v>0.50167224099999996</v>
      </c>
      <c r="AT31">
        <v>0</v>
      </c>
      <c r="AU31" t="s">
        <v>66</v>
      </c>
      <c r="AV31">
        <v>1</v>
      </c>
      <c r="AW31">
        <v>1</v>
      </c>
      <c r="AX31">
        <v>0</v>
      </c>
      <c r="AY31">
        <v>1</v>
      </c>
      <c r="AZ31">
        <v>1</v>
      </c>
      <c r="BA31">
        <v>1</v>
      </c>
      <c r="BB31" t="s">
        <v>66</v>
      </c>
      <c r="BC31">
        <v>26.7</v>
      </c>
      <c r="BD31">
        <v>33.9</v>
      </c>
      <c r="BE31">
        <v>26.966292129999999</v>
      </c>
      <c r="BF31">
        <v>0</v>
      </c>
      <c r="BG31">
        <v>23.73</v>
      </c>
      <c r="BH31">
        <v>-11.123595509999999</v>
      </c>
      <c r="BI31">
        <v>78</v>
      </c>
      <c r="BJ31">
        <v>6.5</v>
      </c>
      <c r="BK31" t="s">
        <v>66</v>
      </c>
      <c r="BL31">
        <f>78-55</f>
        <v>23</v>
      </c>
      <c r="BM31">
        <v>12</v>
      </c>
      <c r="BN31">
        <v>12</v>
      </c>
      <c r="BO31">
        <f t="shared" si="0"/>
        <v>12</v>
      </c>
      <c r="BP31">
        <v>4</v>
      </c>
      <c r="BQ31">
        <v>1</v>
      </c>
      <c r="BS31">
        <v>0</v>
      </c>
      <c r="BT31">
        <f t="shared" si="1"/>
        <v>43.589743589743591</v>
      </c>
      <c r="BU31">
        <f t="shared" si="2"/>
        <v>23.076923076923077</v>
      </c>
      <c r="BV31">
        <f t="shared" si="3"/>
        <v>-4.3478260869565215</v>
      </c>
      <c r="BW31">
        <f t="shared" si="4"/>
        <v>-8.3333333333333321</v>
      </c>
    </row>
    <row r="32" spans="1:75" x14ac:dyDescent="0.2">
      <c r="A32" t="s">
        <v>170</v>
      </c>
      <c r="B32" t="s">
        <v>171</v>
      </c>
      <c r="C32" t="s">
        <v>62</v>
      </c>
      <c r="D32" t="s">
        <v>63</v>
      </c>
      <c r="E32" t="s">
        <v>75</v>
      </c>
      <c r="F32" t="s">
        <v>177</v>
      </c>
      <c r="G32">
        <v>2.65</v>
      </c>
      <c r="H32">
        <v>15.9</v>
      </c>
      <c r="I32">
        <v>15.75</v>
      </c>
      <c r="J32">
        <v>1.4</v>
      </c>
      <c r="K32">
        <v>35.700000000000003</v>
      </c>
      <c r="L32">
        <v>11.943396229999999</v>
      </c>
      <c r="M32">
        <v>83</v>
      </c>
      <c r="N32">
        <v>85</v>
      </c>
      <c r="O32">
        <v>2</v>
      </c>
      <c r="P32">
        <v>90</v>
      </c>
      <c r="Q32">
        <v>7</v>
      </c>
      <c r="R32">
        <v>3.5</v>
      </c>
      <c r="S32">
        <v>54.1</v>
      </c>
      <c r="T32">
        <v>8.4337349400000008</v>
      </c>
      <c r="U32">
        <v>5.8823529409999997</v>
      </c>
      <c r="V32">
        <v>9</v>
      </c>
      <c r="W32">
        <v>1</v>
      </c>
      <c r="X32">
        <v>11</v>
      </c>
      <c r="Y32">
        <v>2</v>
      </c>
      <c r="Z32">
        <v>22.222222219999999</v>
      </c>
      <c r="AA32" t="s">
        <v>66</v>
      </c>
      <c r="AB32" t="s">
        <v>66</v>
      </c>
      <c r="AC32" t="s">
        <v>66</v>
      </c>
      <c r="AD32" t="s">
        <v>66</v>
      </c>
      <c r="AE32">
        <v>36</v>
      </c>
      <c r="AF32">
        <v>34</v>
      </c>
      <c r="AG32" t="s">
        <v>66</v>
      </c>
      <c r="AH32">
        <v>30</v>
      </c>
      <c r="AI32">
        <v>28</v>
      </c>
      <c r="AJ32" t="s">
        <v>66</v>
      </c>
      <c r="AK32">
        <v>19</v>
      </c>
      <c r="AL32">
        <v>17</v>
      </c>
      <c r="AM32">
        <v>24.5</v>
      </c>
      <c r="AN32">
        <v>22.5</v>
      </c>
      <c r="AO32">
        <v>-8.1632653059999996</v>
      </c>
      <c r="AP32">
        <v>-5.5555555559999998</v>
      </c>
      <c r="AQ32">
        <v>1.4693877550000001</v>
      </c>
      <c r="AR32">
        <v>1.511111111</v>
      </c>
      <c r="AS32">
        <v>4.1723356000000003E-2</v>
      </c>
      <c r="AT32">
        <v>0</v>
      </c>
      <c r="AU32" t="s">
        <v>66</v>
      </c>
      <c r="AV32">
        <v>1</v>
      </c>
      <c r="AW32">
        <v>2</v>
      </c>
      <c r="AX32">
        <v>0</v>
      </c>
      <c r="AY32">
        <v>1</v>
      </c>
      <c r="AZ32">
        <v>1</v>
      </c>
      <c r="BA32">
        <v>1</v>
      </c>
      <c r="BB32" t="s">
        <v>66</v>
      </c>
      <c r="BC32">
        <v>26.4</v>
      </c>
      <c r="BD32">
        <v>44.4</v>
      </c>
      <c r="BE32">
        <v>68.181818179999993</v>
      </c>
      <c r="BF32">
        <v>0</v>
      </c>
      <c r="BG32">
        <v>31.08</v>
      </c>
      <c r="BH32">
        <v>17.727272729999999</v>
      </c>
      <c r="BI32">
        <v>127</v>
      </c>
      <c r="BJ32">
        <v>11.1</v>
      </c>
      <c r="BK32" t="s">
        <v>66</v>
      </c>
      <c r="BL32">
        <f>127-75</f>
        <v>52</v>
      </c>
      <c r="BM32">
        <v>33</v>
      </c>
      <c r="BN32">
        <v>32</v>
      </c>
      <c r="BO32">
        <f t="shared" si="0"/>
        <v>32.5</v>
      </c>
      <c r="BP32">
        <v>4</v>
      </c>
      <c r="BQ32">
        <v>1</v>
      </c>
      <c r="BS32">
        <v>0</v>
      </c>
      <c r="BT32">
        <f t="shared" si="1"/>
        <v>34.645669291338585</v>
      </c>
      <c r="BU32">
        <f t="shared" si="2"/>
        <v>18.918918918918916</v>
      </c>
      <c r="BV32">
        <f t="shared" si="3"/>
        <v>30.76923076923077</v>
      </c>
      <c r="BW32">
        <f t="shared" si="4"/>
        <v>24.615384615384617</v>
      </c>
    </row>
    <row r="33" spans="1:75" x14ac:dyDescent="0.2">
      <c r="A33" t="s">
        <v>170</v>
      </c>
      <c r="B33" t="s">
        <v>171</v>
      </c>
      <c r="C33" t="s">
        <v>62</v>
      </c>
      <c r="D33" t="s">
        <v>63</v>
      </c>
      <c r="E33" t="s">
        <v>81</v>
      </c>
      <c r="F33" t="s">
        <v>180</v>
      </c>
      <c r="G33">
        <v>2.65</v>
      </c>
      <c r="H33">
        <v>15.9</v>
      </c>
      <c r="I33">
        <v>15.75</v>
      </c>
      <c r="J33">
        <v>1.4</v>
      </c>
      <c r="K33">
        <v>35.700000000000003</v>
      </c>
      <c r="L33">
        <v>11.943396229999999</v>
      </c>
      <c r="M33">
        <v>47</v>
      </c>
      <c r="N33">
        <v>59</v>
      </c>
      <c r="O33">
        <v>12</v>
      </c>
      <c r="P33">
        <v>61</v>
      </c>
      <c r="Q33">
        <v>14</v>
      </c>
      <c r="R33">
        <v>7</v>
      </c>
      <c r="S33">
        <v>61.1</v>
      </c>
      <c r="T33">
        <v>29.787234040000001</v>
      </c>
      <c r="U33">
        <v>3.3898305080000002</v>
      </c>
      <c r="V33">
        <v>5</v>
      </c>
      <c r="W33">
        <v>8</v>
      </c>
      <c r="X33">
        <v>13</v>
      </c>
      <c r="Y33">
        <v>8</v>
      </c>
      <c r="Z33">
        <v>160</v>
      </c>
      <c r="AA33" t="s">
        <v>66</v>
      </c>
      <c r="AB33" t="s">
        <v>66</v>
      </c>
      <c r="AC33" t="s">
        <v>66</v>
      </c>
      <c r="AD33" t="s">
        <v>66</v>
      </c>
      <c r="AE33">
        <v>27</v>
      </c>
      <c r="AF33">
        <v>33</v>
      </c>
      <c r="AG33" t="s">
        <v>66</v>
      </c>
      <c r="AH33">
        <v>24</v>
      </c>
      <c r="AI33">
        <v>21</v>
      </c>
      <c r="AJ33" t="s">
        <v>66</v>
      </c>
      <c r="AK33">
        <v>13</v>
      </c>
      <c r="AL33">
        <v>15</v>
      </c>
      <c r="AM33">
        <v>18.5</v>
      </c>
      <c r="AN33">
        <v>18</v>
      </c>
      <c r="AO33">
        <v>-2.7027027029999999</v>
      </c>
      <c r="AP33">
        <v>22.222222219999999</v>
      </c>
      <c r="AQ33">
        <v>1.4594594590000001</v>
      </c>
      <c r="AR33">
        <v>1.8333333329999999</v>
      </c>
      <c r="AS33">
        <v>0.37387387399999999</v>
      </c>
      <c r="AT33">
        <v>0</v>
      </c>
      <c r="AU33" t="s">
        <v>66</v>
      </c>
      <c r="AV33">
        <v>2</v>
      </c>
      <c r="AW33">
        <v>1</v>
      </c>
      <c r="AX33">
        <v>0</v>
      </c>
      <c r="AY33">
        <v>1</v>
      </c>
      <c r="AZ33">
        <v>1</v>
      </c>
      <c r="BA33">
        <v>1</v>
      </c>
      <c r="BB33" t="s">
        <v>66</v>
      </c>
      <c r="BC33">
        <v>34.9</v>
      </c>
      <c r="BD33">
        <v>41.8</v>
      </c>
      <c r="BE33">
        <v>19.770773640000002</v>
      </c>
      <c r="BF33">
        <v>0</v>
      </c>
      <c r="BG33">
        <v>29.26</v>
      </c>
      <c r="BH33">
        <v>-16.16045845</v>
      </c>
      <c r="BI33">
        <v>57</v>
      </c>
      <c r="BJ33">
        <v>6.4</v>
      </c>
      <c r="BK33" t="s">
        <v>66</v>
      </c>
      <c r="BL33">
        <v>10</v>
      </c>
      <c r="BM33">
        <v>10</v>
      </c>
      <c r="BN33">
        <v>12</v>
      </c>
      <c r="BO33">
        <f t="shared" si="0"/>
        <v>11</v>
      </c>
      <c r="BP33">
        <v>4</v>
      </c>
      <c r="BQ33">
        <v>1</v>
      </c>
      <c r="BS33">
        <v>0</v>
      </c>
      <c r="BT33">
        <f t="shared" si="1"/>
        <v>17.543859649122805</v>
      </c>
      <c r="BU33">
        <f t="shared" si="2"/>
        <v>21.875000000000007</v>
      </c>
      <c r="BV33">
        <f t="shared" si="3"/>
        <v>-170</v>
      </c>
      <c r="BW33">
        <f t="shared" si="4"/>
        <v>-68.181818181818173</v>
      </c>
    </row>
    <row r="34" spans="1:75" x14ac:dyDescent="0.2">
      <c r="A34" t="s">
        <v>170</v>
      </c>
      <c r="B34" t="s">
        <v>171</v>
      </c>
      <c r="C34" t="s">
        <v>62</v>
      </c>
      <c r="D34" t="s">
        <v>63</v>
      </c>
      <c r="E34" t="s">
        <v>97</v>
      </c>
      <c r="F34" t="s">
        <v>188</v>
      </c>
      <c r="G34">
        <v>2.65</v>
      </c>
      <c r="H34">
        <v>15.9</v>
      </c>
      <c r="I34">
        <v>15.75</v>
      </c>
      <c r="J34">
        <v>1.4</v>
      </c>
      <c r="K34">
        <v>35.700000000000003</v>
      </c>
      <c r="L34">
        <v>11.943396229999999</v>
      </c>
      <c r="M34">
        <v>78</v>
      </c>
      <c r="N34">
        <v>84</v>
      </c>
      <c r="O34">
        <v>6</v>
      </c>
      <c r="P34">
        <v>87</v>
      </c>
      <c r="Q34">
        <v>9</v>
      </c>
      <c r="R34">
        <v>4.5</v>
      </c>
      <c r="S34">
        <v>56.1</v>
      </c>
      <c r="T34">
        <v>11.53846154</v>
      </c>
      <c r="U34">
        <v>3.5714285710000002</v>
      </c>
      <c r="V34">
        <v>7</v>
      </c>
      <c r="W34">
        <v>8</v>
      </c>
      <c r="X34">
        <v>8</v>
      </c>
      <c r="Y34">
        <v>1</v>
      </c>
      <c r="Z34">
        <v>14.28571429</v>
      </c>
      <c r="AA34" t="s">
        <v>66</v>
      </c>
      <c r="AB34" t="s">
        <v>66</v>
      </c>
      <c r="AC34" t="s">
        <v>66</v>
      </c>
      <c r="AD34" t="s">
        <v>66</v>
      </c>
      <c r="AE34">
        <v>43</v>
      </c>
      <c r="AF34">
        <v>43</v>
      </c>
      <c r="AG34" t="s">
        <v>66</v>
      </c>
      <c r="AH34">
        <v>26</v>
      </c>
      <c r="AI34">
        <v>11</v>
      </c>
      <c r="AJ34" t="s">
        <v>66</v>
      </c>
      <c r="AK34">
        <v>15</v>
      </c>
      <c r="AL34">
        <v>8</v>
      </c>
      <c r="AM34">
        <v>20.5</v>
      </c>
      <c r="AN34">
        <v>9.5</v>
      </c>
      <c r="AO34">
        <v>-53.658536589999997</v>
      </c>
      <c r="AP34">
        <v>0</v>
      </c>
      <c r="AQ34">
        <v>2.097560976</v>
      </c>
      <c r="AR34">
        <v>4.5263157889999999</v>
      </c>
      <c r="AS34">
        <v>2.4287548129999998</v>
      </c>
      <c r="AT34">
        <v>0</v>
      </c>
      <c r="AU34" t="s">
        <v>66</v>
      </c>
      <c r="AV34">
        <v>1</v>
      </c>
      <c r="AW34">
        <v>2</v>
      </c>
      <c r="AX34">
        <v>0</v>
      </c>
      <c r="AY34">
        <v>1</v>
      </c>
      <c r="AZ34">
        <v>1</v>
      </c>
      <c r="BA34">
        <v>1</v>
      </c>
      <c r="BB34" t="s">
        <v>66</v>
      </c>
      <c r="BC34">
        <v>30.3</v>
      </c>
      <c r="BD34">
        <v>39.799999999999997</v>
      </c>
      <c r="BE34">
        <v>31.353135309999999</v>
      </c>
      <c r="BF34">
        <v>0</v>
      </c>
      <c r="BG34">
        <v>27.86</v>
      </c>
      <c r="BH34">
        <v>-8.0528052809999995</v>
      </c>
      <c r="BI34">
        <v>68</v>
      </c>
      <c r="BJ34">
        <v>9.1999999999999993</v>
      </c>
      <c r="BK34" t="s">
        <v>66</v>
      </c>
      <c r="BL34">
        <v>28</v>
      </c>
      <c r="BM34">
        <v>26</v>
      </c>
      <c r="BN34">
        <v>11</v>
      </c>
      <c r="BO34">
        <f t="shared" si="0"/>
        <v>18.5</v>
      </c>
      <c r="BP34">
        <v>4</v>
      </c>
      <c r="BQ34">
        <v>1</v>
      </c>
      <c r="BS34">
        <v>0</v>
      </c>
      <c r="BT34">
        <f t="shared" si="1"/>
        <v>-14.705882352941178</v>
      </c>
      <c r="BU34">
        <f t="shared" si="2"/>
        <v>23.913043478260864</v>
      </c>
      <c r="BV34">
        <f t="shared" si="3"/>
        <v>-53.571428571428569</v>
      </c>
      <c r="BW34">
        <f t="shared" si="4"/>
        <v>-10.810810810810811</v>
      </c>
    </row>
    <row r="35" spans="1:75" x14ac:dyDescent="0.2">
      <c r="A35" t="s">
        <v>170</v>
      </c>
      <c r="B35" t="s">
        <v>171</v>
      </c>
      <c r="C35" t="s">
        <v>62</v>
      </c>
      <c r="D35" t="s">
        <v>63</v>
      </c>
      <c r="E35" t="s">
        <v>99</v>
      </c>
      <c r="F35" t="s">
        <v>189</v>
      </c>
      <c r="G35">
        <v>2.65</v>
      </c>
      <c r="H35">
        <v>15.9</v>
      </c>
      <c r="I35">
        <v>15.75</v>
      </c>
      <c r="J35">
        <v>1.4</v>
      </c>
      <c r="K35">
        <v>35.700000000000003</v>
      </c>
      <c r="L35">
        <v>11.943396229999999</v>
      </c>
      <c r="M35">
        <v>44</v>
      </c>
      <c r="N35">
        <v>48</v>
      </c>
      <c r="O35">
        <v>4</v>
      </c>
      <c r="P35">
        <v>50</v>
      </c>
      <c r="Q35">
        <v>6</v>
      </c>
      <c r="R35">
        <v>3</v>
      </c>
      <c r="S35">
        <v>53.1</v>
      </c>
      <c r="T35">
        <v>13.636363640000001</v>
      </c>
      <c r="U35">
        <v>4.1666666670000003</v>
      </c>
      <c r="V35">
        <v>5</v>
      </c>
      <c r="W35">
        <v>7</v>
      </c>
      <c r="X35">
        <v>7</v>
      </c>
      <c r="Y35">
        <v>2</v>
      </c>
      <c r="Z35">
        <v>40</v>
      </c>
      <c r="AA35" t="s">
        <v>66</v>
      </c>
      <c r="AB35" t="s">
        <v>66</v>
      </c>
      <c r="AC35" t="s">
        <v>66</v>
      </c>
      <c r="AD35" t="s">
        <v>66</v>
      </c>
      <c r="AE35">
        <v>30</v>
      </c>
      <c r="AF35">
        <v>15</v>
      </c>
      <c r="AG35" t="s">
        <v>66</v>
      </c>
      <c r="AH35">
        <v>15</v>
      </c>
      <c r="AI35">
        <v>11</v>
      </c>
      <c r="AJ35" t="s">
        <v>66</v>
      </c>
      <c r="AK35">
        <v>11</v>
      </c>
      <c r="AL35">
        <v>8</v>
      </c>
      <c r="AM35">
        <v>13</v>
      </c>
      <c r="AN35">
        <v>9.5</v>
      </c>
      <c r="AO35">
        <v>-26.92307692</v>
      </c>
      <c r="AP35">
        <v>-50</v>
      </c>
      <c r="AQ35">
        <v>2.307692308</v>
      </c>
      <c r="AR35">
        <v>1.5789473679999999</v>
      </c>
      <c r="AS35">
        <v>-0.72874494000000001</v>
      </c>
      <c r="AT35">
        <v>0</v>
      </c>
      <c r="AU35" t="s">
        <v>66</v>
      </c>
      <c r="AV35">
        <v>1</v>
      </c>
      <c r="AW35">
        <v>1</v>
      </c>
      <c r="AX35">
        <v>0</v>
      </c>
      <c r="AY35">
        <v>1</v>
      </c>
      <c r="AZ35">
        <v>1</v>
      </c>
      <c r="BA35">
        <v>1</v>
      </c>
      <c r="BB35" t="s">
        <v>66</v>
      </c>
      <c r="BC35">
        <v>27.6</v>
      </c>
      <c r="BD35">
        <v>46.6</v>
      </c>
      <c r="BE35">
        <v>68.84057971</v>
      </c>
      <c r="BF35">
        <v>0</v>
      </c>
      <c r="BG35">
        <v>32.619999999999997</v>
      </c>
      <c r="BH35">
        <v>18.188405800000002</v>
      </c>
      <c r="BI35">
        <v>57</v>
      </c>
      <c r="BJ35">
        <v>7.8</v>
      </c>
      <c r="BK35" t="s">
        <v>66</v>
      </c>
      <c r="BL35">
        <f>57-26</f>
        <v>31</v>
      </c>
      <c r="BM35">
        <v>21</v>
      </c>
      <c r="BN35">
        <v>19</v>
      </c>
      <c r="BO35">
        <f t="shared" si="0"/>
        <v>20</v>
      </c>
      <c r="BP35">
        <v>4</v>
      </c>
      <c r="BQ35">
        <v>1</v>
      </c>
      <c r="BS35">
        <v>0</v>
      </c>
      <c r="BT35">
        <f t="shared" si="1"/>
        <v>22.807017543859647</v>
      </c>
      <c r="BU35">
        <f t="shared" si="2"/>
        <v>35.897435897435898</v>
      </c>
      <c r="BV35">
        <f t="shared" si="3"/>
        <v>3.225806451612903</v>
      </c>
      <c r="BW35">
        <f t="shared" si="4"/>
        <v>35</v>
      </c>
    </row>
    <row r="36" spans="1:75" x14ac:dyDescent="0.2">
      <c r="A36" t="s">
        <v>170</v>
      </c>
      <c r="B36" t="s">
        <v>171</v>
      </c>
      <c r="C36" t="s">
        <v>62</v>
      </c>
      <c r="D36" t="s">
        <v>63</v>
      </c>
      <c r="E36" t="s">
        <v>101</v>
      </c>
      <c r="F36" t="s">
        <v>190</v>
      </c>
      <c r="G36">
        <v>2.65</v>
      </c>
      <c r="H36">
        <v>15.9</v>
      </c>
      <c r="I36">
        <v>15.75</v>
      </c>
      <c r="J36">
        <v>1.4</v>
      </c>
      <c r="K36">
        <v>35.700000000000003</v>
      </c>
      <c r="L36">
        <v>11.943396229999999</v>
      </c>
      <c r="M36">
        <v>31</v>
      </c>
      <c r="N36">
        <v>44</v>
      </c>
      <c r="O36">
        <v>13</v>
      </c>
      <c r="P36">
        <v>40</v>
      </c>
      <c r="Q36">
        <v>9</v>
      </c>
      <c r="R36">
        <v>4.5</v>
      </c>
      <c r="S36">
        <v>56.1</v>
      </c>
      <c r="T36">
        <v>29.03225806</v>
      </c>
      <c r="U36">
        <v>-9.0909090910000003</v>
      </c>
      <c r="V36">
        <v>4</v>
      </c>
      <c r="W36">
        <v>6</v>
      </c>
      <c r="X36">
        <v>5</v>
      </c>
      <c r="Y36">
        <v>1</v>
      </c>
      <c r="Z36">
        <v>25</v>
      </c>
      <c r="AA36" t="s">
        <v>66</v>
      </c>
      <c r="AB36" t="s">
        <v>66</v>
      </c>
      <c r="AC36" t="s">
        <v>66</v>
      </c>
      <c r="AD36" t="s">
        <v>66</v>
      </c>
      <c r="AE36">
        <v>18</v>
      </c>
      <c r="AF36">
        <v>11</v>
      </c>
      <c r="AG36" t="s">
        <v>66</v>
      </c>
      <c r="AH36">
        <v>17</v>
      </c>
      <c r="AI36">
        <v>12</v>
      </c>
      <c r="AJ36" t="s">
        <v>66</v>
      </c>
      <c r="AK36">
        <v>10</v>
      </c>
      <c r="AL36">
        <v>6</v>
      </c>
      <c r="AM36">
        <v>13.5</v>
      </c>
      <c r="AN36">
        <v>9</v>
      </c>
      <c r="AO36">
        <v>-33.333333330000002</v>
      </c>
      <c r="AP36">
        <v>-38.888888889999997</v>
      </c>
      <c r="AQ36">
        <v>1.3333333329999999</v>
      </c>
      <c r="AR36">
        <v>1.2222222220000001</v>
      </c>
      <c r="AS36">
        <v>-0.111111111</v>
      </c>
      <c r="AT36">
        <v>0</v>
      </c>
      <c r="AU36" t="s">
        <v>66</v>
      </c>
      <c r="AV36">
        <v>1</v>
      </c>
      <c r="AW36">
        <v>0</v>
      </c>
      <c r="AX36">
        <v>0</v>
      </c>
      <c r="AY36">
        <v>1</v>
      </c>
      <c r="AZ36">
        <v>1</v>
      </c>
      <c r="BA36">
        <v>1</v>
      </c>
      <c r="BB36" t="s">
        <v>66</v>
      </c>
      <c r="BC36">
        <v>23.9</v>
      </c>
      <c r="BD36">
        <v>34.9</v>
      </c>
      <c r="BE36">
        <v>46.025104599999999</v>
      </c>
      <c r="BF36">
        <v>0</v>
      </c>
      <c r="BG36">
        <v>24.43</v>
      </c>
      <c r="BH36">
        <v>2.217573222</v>
      </c>
      <c r="BI36">
        <v>43</v>
      </c>
      <c r="BJ36">
        <v>5.6</v>
      </c>
      <c r="BK36" t="s">
        <v>66</v>
      </c>
      <c r="BL36">
        <f>43-27</f>
        <v>16</v>
      </c>
      <c r="BM36">
        <v>22</v>
      </c>
      <c r="BN36">
        <v>16</v>
      </c>
      <c r="BO36">
        <f t="shared" si="0"/>
        <v>19</v>
      </c>
      <c r="BP36">
        <v>4</v>
      </c>
      <c r="BQ36">
        <v>1</v>
      </c>
      <c r="BS36">
        <v>0</v>
      </c>
      <c r="BT36">
        <f t="shared" si="1"/>
        <v>27.906976744186046</v>
      </c>
      <c r="BU36">
        <f t="shared" si="2"/>
        <v>28.571428571428566</v>
      </c>
      <c r="BV36">
        <f t="shared" si="3"/>
        <v>-12.5</v>
      </c>
      <c r="BW36">
        <f t="shared" si="4"/>
        <v>28.947368421052634</v>
      </c>
    </row>
    <row r="37" spans="1:75" x14ac:dyDescent="0.2">
      <c r="A37" t="s">
        <v>170</v>
      </c>
      <c r="B37" t="s">
        <v>171</v>
      </c>
      <c r="C37" t="s">
        <v>62</v>
      </c>
      <c r="D37" t="s">
        <v>63</v>
      </c>
      <c r="E37" t="s">
        <v>69</v>
      </c>
      <c r="F37" t="s">
        <v>174</v>
      </c>
      <c r="G37">
        <v>2.65</v>
      </c>
      <c r="H37">
        <v>15.9</v>
      </c>
      <c r="I37">
        <v>15.75</v>
      </c>
      <c r="J37">
        <v>1.4</v>
      </c>
      <c r="K37">
        <v>35.700000000000003</v>
      </c>
      <c r="L37">
        <v>11.943396229999999</v>
      </c>
      <c r="M37">
        <v>81</v>
      </c>
      <c r="N37">
        <v>99</v>
      </c>
      <c r="O37">
        <v>18</v>
      </c>
      <c r="P37">
        <v>99</v>
      </c>
      <c r="Q37">
        <v>18</v>
      </c>
      <c r="R37">
        <v>9</v>
      </c>
      <c r="S37">
        <v>65.099999999999994</v>
      </c>
      <c r="T37">
        <v>22.222222219999999</v>
      </c>
      <c r="U37">
        <v>0</v>
      </c>
      <c r="V37">
        <v>9</v>
      </c>
      <c r="W37">
        <v>11</v>
      </c>
      <c r="X37">
        <v>11</v>
      </c>
      <c r="Y37">
        <v>2</v>
      </c>
      <c r="Z37">
        <v>22.222222219999999</v>
      </c>
      <c r="AA37" t="s">
        <v>66</v>
      </c>
      <c r="AB37" t="s">
        <v>66</v>
      </c>
      <c r="AC37" t="s">
        <v>66</v>
      </c>
      <c r="AD37" t="s">
        <v>66</v>
      </c>
      <c r="AE37">
        <v>56</v>
      </c>
      <c r="AF37">
        <v>15</v>
      </c>
      <c r="AG37" t="s">
        <v>66</v>
      </c>
      <c r="AH37">
        <v>30</v>
      </c>
      <c r="AI37">
        <v>11</v>
      </c>
      <c r="AJ37" t="s">
        <v>66</v>
      </c>
      <c r="AK37">
        <v>22</v>
      </c>
      <c r="AL37">
        <v>6</v>
      </c>
      <c r="AM37">
        <v>26</v>
      </c>
      <c r="AN37">
        <v>8.5</v>
      </c>
      <c r="AO37">
        <v>-67.307692309999993</v>
      </c>
      <c r="AP37">
        <v>-73.214285709999999</v>
      </c>
      <c r="AQ37">
        <v>2.153846154</v>
      </c>
      <c r="AR37">
        <v>1.7647058819999999</v>
      </c>
      <c r="AS37">
        <v>-0.38914027200000001</v>
      </c>
      <c r="AT37">
        <v>0</v>
      </c>
      <c r="AU37" t="s">
        <v>66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1</v>
      </c>
      <c r="BB37" t="s">
        <v>66</v>
      </c>
      <c r="BC37">
        <v>33.700000000000003</v>
      </c>
      <c r="BD37">
        <v>44.9</v>
      </c>
      <c r="BE37">
        <v>33.234421359999999</v>
      </c>
      <c r="BF37">
        <v>0</v>
      </c>
      <c r="BG37">
        <v>31.43</v>
      </c>
      <c r="BH37">
        <v>-6.735905045</v>
      </c>
      <c r="BI37">
        <v>106</v>
      </c>
      <c r="BJ37">
        <v>10.5</v>
      </c>
      <c r="BK37" t="s">
        <v>66</v>
      </c>
      <c r="BL37">
        <f>106-50</f>
        <v>56</v>
      </c>
      <c r="BM37">
        <v>41</v>
      </c>
      <c r="BN37">
        <v>28</v>
      </c>
      <c r="BO37">
        <f t="shared" si="0"/>
        <v>34.5</v>
      </c>
      <c r="BP37">
        <v>4</v>
      </c>
      <c r="BQ37">
        <v>1</v>
      </c>
      <c r="BS37">
        <v>0</v>
      </c>
      <c r="BT37">
        <f t="shared" si="1"/>
        <v>23.584905660377359</v>
      </c>
      <c r="BU37">
        <f t="shared" si="2"/>
        <v>14.285714285714285</v>
      </c>
      <c r="BV37">
        <f t="shared" si="3"/>
        <v>0</v>
      </c>
      <c r="BW37">
        <f t="shared" si="4"/>
        <v>24.637681159420293</v>
      </c>
    </row>
    <row r="38" spans="1:75" x14ac:dyDescent="0.2">
      <c r="A38" t="s">
        <v>170</v>
      </c>
      <c r="B38" t="s">
        <v>171</v>
      </c>
      <c r="C38" t="s">
        <v>62</v>
      </c>
      <c r="D38" t="s">
        <v>63</v>
      </c>
      <c r="E38" t="s">
        <v>71</v>
      </c>
      <c r="F38" t="s">
        <v>175</v>
      </c>
      <c r="G38">
        <v>2.65</v>
      </c>
      <c r="H38">
        <v>15.9</v>
      </c>
      <c r="I38">
        <v>15.75</v>
      </c>
      <c r="J38">
        <v>1.4</v>
      </c>
      <c r="K38">
        <v>35.700000000000003</v>
      </c>
      <c r="L38">
        <v>11.943396229999999</v>
      </c>
      <c r="M38">
        <v>116</v>
      </c>
      <c r="N38">
        <v>116</v>
      </c>
      <c r="O38">
        <v>0</v>
      </c>
      <c r="P38">
        <v>122</v>
      </c>
      <c r="Q38">
        <v>6</v>
      </c>
      <c r="R38">
        <v>3</v>
      </c>
      <c r="S38">
        <v>53.1</v>
      </c>
      <c r="T38">
        <v>5.1724137929999996</v>
      </c>
      <c r="U38">
        <v>5.1724137929999996</v>
      </c>
      <c r="V38">
        <v>12</v>
      </c>
      <c r="W38">
        <v>16</v>
      </c>
      <c r="X38">
        <v>16</v>
      </c>
      <c r="Y38">
        <v>4</v>
      </c>
      <c r="Z38">
        <v>33.333333330000002</v>
      </c>
      <c r="AA38" t="s">
        <v>66</v>
      </c>
      <c r="AB38" t="s">
        <v>66</v>
      </c>
      <c r="AC38" t="s">
        <v>66</v>
      </c>
      <c r="AD38" t="s">
        <v>66</v>
      </c>
      <c r="AE38">
        <v>60</v>
      </c>
      <c r="AF38">
        <v>57</v>
      </c>
      <c r="AG38" t="s">
        <v>66</v>
      </c>
      <c r="AH38">
        <v>70</v>
      </c>
      <c r="AI38">
        <v>49</v>
      </c>
      <c r="AJ38" t="s">
        <v>66</v>
      </c>
      <c r="AK38">
        <v>49</v>
      </c>
      <c r="AL38">
        <v>20</v>
      </c>
      <c r="AM38">
        <v>59.5</v>
      </c>
      <c r="AN38">
        <v>34.5</v>
      </c>
      <c r="AO38">
        <v>-42.016806719999998</v>
      </c>
      <c r="AP38">
        <v>-5</v>
      </c>
      <c r="AQ38">
        <v>1.0084033610000001</v>
      </c>
      <c r="AR38">
        <v>1.6521739129999999</v>
      </c>
      <c r="AS38">
        <v>0.643770552</v>
      </c>
      <c r="AT38">
        <v>0</v>
      </c>
      <c r="AU38" t="s">
        <v>66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 t="s">
        <v>66</v>
      </c>
      <c r="BC38">
        <v>30.9</v>
      </c>
      <c r="BD38">
        <v>40.4</v>
      </c>
      <c r="BE38">
        <v>30.744336570000002</v>
      </c>
      <c r="BF38">
        <v>0</v>
      </c>
      <c r="BG38">
        <v>28.28</v>
      </c>
      <c r="BH38">
        <v>-8.4789644010000007</v>
      </c>
      <c r="BI38">
        <v>152</v>
      </c>
      <c r="BJ38">
        <v>14.8</v>
      </c>
      <c r="BK38">
        <v>3.5</v>
      </c>
      <c r="BL38">
        <f>152-61</f>
        <v>91</v>
      </c>
      <c r="BM38">
        <v>73</v>
      </c>
      <c r="BN38">
        <v>65</v>
      </c>
      <c r="BO38">
        <f t="shared" si="0"/>
        <v>69</v>
      </c>
      <c r="BP38">
        <v>3</v>
      </c>
      <c r="BQ38">
        <v>1</v>
      </c>
      <c r="BS38">
        <v>0</v>
      </c>
      <c r="BT38">
        <f t="shared" si="1"/>
        <v>23.684210526315788</v>
      </c>
      <c r="BU38">
        <f t="shared" si="2"/>
        <v>18.918918918918923</v>
      </c>
      <c r="BV38">
        <f t="shared" si="3"/>
        <v>34.065934065934066</v>
      </c>
      <c r="BW38">
        <f t="shared" si="4"/>
        <v>13.768115942028986</v>
      </c>
    </row>
    <row r="39" spans="1:75" x14ac:dyDescent="0.2">
      <c r="A39" t="s">
        <v>170</v>
      </c>
      <c r="B39" t="s">
        <v>171</v>
      </c>
      <c r="C39" t="s">
        <v>62</v>
      </c>
      <c r="D39" t="s">
        <v>63</v>
      </c>
      <c r="E39" t="s">
        <v>79</v>
      </c>
      <c r="F39" t="s">
        <v>179</v>
      </c>
      <c r="G39">
        <v>2.65</v>
      </c>
      <c r="H39">
        <v>15.9</v>
      </c>
      <c r="I39">
        <v>15.75</v>
      </c>
      <c r="J39">
        <v>1.4</v>
      </c>
      <c r="K39">
        <v>35.700000000000003</v>
      </c>
      <c r="L39">
        <v>11.943396229999999</v>
      </c>
      <c r="M39">
        <v>75</v>
      </c>
      <c r="N39">
        <v>75</v>
      </c>
      <c r="O39">
        <v>0</v>
      </c>
      <c r="P39">
        <v>79</v>
      </c>
      <c r="Q39">
        <v>4</v>
      </c>
      <c r="R39">
        <v>2</v>
      </c>
      <c r="S39">
        <v>51.1</v>
      </c>
      <c r="T39">
        <v>5.3333333329999997</v>
      </c>
      <c r="U39">
        <v>5.3333333329999997</v>
      </c>
      <c r="V39">
        <v>9</v>
      </c>
      <c r="W39">
        <v>9</v>
      </c>
      <c r="X39">
        <v>10</v>
      </c>
      <c r="Y39">
        <v>1</v>
      </c>
      <c r="Z39">
        <v>11.11111111</v>
      </c>
      <c r="AA39" t="s">
        <v>66</v>
      </c>
      <c r="AB39" t="s">
        <v>66</v>
      </c>
      <c r="AC39" t="s">
        <v>66</v>
      </c>
      <c r="AD39" t="s">
        <v>66</v>
      </c>
      <c r="AE39">
        <v>48</v>
      </c>
      <c r="AF39">
        <v>53</v>
      </c>
      <c r="AG39" t="s">
        <v>66</v>
      </c>
      <c r="AH39">
        <v>30</v>
      </c>
      <c r="AI39">
        <v>28</v>
      </c>
      <c r="AJ39" t="s">
        <v>66</v>
      </c>
      <c r="AK39">
        <v>17</v>
      </c>
      <c r="AL39">
        <v>19</v>
      </c>
      <c r="AM39">
        <v>23.5</v>
      </c>
      <c r="AN39">
        <v>23.5</v>
      </c>
      <c r="AO39">
        <v>0</v>
      </c>
      <c r="AP39">
        <v>10.41666667</v>
      </c>
      <c r="AQ39">
        <v>2.0425531910000001</v>
      </c>
      <c r="AR39">
        <v>2.255319149</v>
      </c>
      <c r="AS39">
        <v>0.21276595800000001</v>
      </c>
      <c r="AT39">
        <v>0</v>
      </c>
      <c r="AU39" t="s">
        <v>66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 t="s">
        <v>66</v>
      </c>
      <c r="BC39">
        <v>27.8</v>
      </c>
      <c r="BD39">
        <v>31.3</v>
      </c>
      <c r="BE39">
        <v>12.58992806</v>
      </c>
      <c r="BF39">
        <v>0</v>
      </c>
      <c r="BG39">
        <v>21.91</v>
      </c>
      <c r="BH39">
        <v>-21.187050360000001</v>
      </c>
      <c r="BI39">
        <v>95</v>
      </c>
      <c r="BJ39">
        <v>10.6</v>
      </c>
      <c r="BK39" t="s">
        <v>66</v>
      </c>
      <c r="BL39">
        <f>95-37</f>
        <v>58</v>
      </c>
      <c r="BM39">
        <v>39</v>
      </c>
      <c r="BN39">
        <v>23</v>
      </c>
      <c r="BO39">
        <f t="shared" si="0"/>
        <v>31</v>
      </c>
      <c r="BQ39">
        <v>1</v>
      </c>
      <c r="BS39">
        <v>0</v>
      </c>
      <c r="BT39">
        <f t="shared" si="1"/>
        <v>21.052631578947366</v>
      </c>
      <c r="BU39">
        <f t="shared" si="2"/>
        <v>15.094339622641506</v>
      </c>
      <c r="BV39">
        <f t="shared" si="3"/>
        <v>17.241379310344829</v>
      </c>
      <c r="BW39">
        <f t="shared" si="4"/>
        <v>24.193548387096776</v>
      </c>
    </row>
    <row r="40" spans="1:75" x14ac:dyDescent="0.2">
      <c r="A40" t="s">
        <v>170</v>
      </c>
      <c r="B40" t="s">
        <v>171</v>
      </c>
      <c r="C40" t="s">
        <v>62</v>
      </c>
      <c r="D40" t="s">
        <v>63</v>
      </c>
      <c r="E40" t="s">
        <v>83</v>
      </c>
      <c r="F40" t="s">
        <v>181</v>
      </c>
      <c r="G40">
        <v>2.65</v>
      </c>
      <c r="H40">
        <v>15.9</v>
      </c>
      <c r="I40">
        <v>15.75</v>
      </c>
      <c r="J40">
        <v>1.4</v>
      </c>
      <c r="K40">
        <v>35.700000000000003</v>
      </c>
      <c r="L40">
        <v>11.943396229999999</v>
      </c>
      <c r="M40">
        <v>83</v>
      </c>
      <c r="N40">
        <v>105</v>
      </c>
      <c r="O40">
        <v>22</v>
      </c>
      <c r="P40">
        <v>107</v>
      </c>
      <c r="Q40">
        <v>24</v>
      </c>
      <c r="R40">
        <v>12</v>
      </c>
      <c r="S40">
        <v>71.099999999999994</v>
      </c>
      <c r="T40">
        <v>28.915662650000002</v>
      </c>
      <c r="U40">
        <v>1.904761905</v>
      </c>
      <c r="V40">
        <v>7</v>
      </c>
      <c r="W40">
        <v>14</v>
      </c>
      <c r="X40">
        <v>10</v>
      </c>
      <c r="Y40">
        <v>3</v>
      </c>
      <c r="Z40">
        <v>42.857142860000003</v>
      </c>
      <c r="AA40" t="s">
        <v>66</v>
      </c>
      <c r="AB40" t="s">
        <v>66</v>
      </c>
      <c r="AC40" t="s">
        <v>66</v>
      </c>
      <c r="AD40" t="s">
        <v>66</v>
      </c>
      <c r="AE40">
        <v>86</v>
      </c>
      <c r="AF40">
        <v>45</v>
      </c>
      <c r="AG40" t="s">
        <v>66</v>
      </c>
      <c r="AH40">
        <v>24</v>
      </c>
      <c r="AI40">
        <v>24</v>
      </c>
      <c r="AJ40" t="s">
        <v>66</v>
      </c>
      <c r="AK40">
        <v>13</v>
      </c>
      <c r="AL40">
        <v>15</v>
      </c>
      <c r="AM40">
        <v>18.5</v>
      </c>
      <c r="AN40">
        <v>19.5</v>
      </c>
      <c r="AO40">
        <v>5.4054054049999998</v>
      </c>
      <c r="AP40">
        <v>-47.674418600000003</v>
      </c>
      <c r="AQ40">
        <v>4.6486486490000001</v>
      </c>
      <c r="AR40">
        <v>2.307692308</v>
      </c>
      <c r="AS40">
        <v>-2.3409563410000001</v>
      </c>
      <c r="AT40">
        <v>0</v>
      </c>
      <c r="AU40" t="s">
        <v>66</v>
      </c>
      <c r="AV40">
        <v>1</v>
      </c>
      <c r="AW40">
        <v>2</v>
      </c>
      <c r="AX40">
        <v>1</v>
      </c>
      <c r="AY40">
        <v>1</v>
      </c>
      <c r="AZ40">
        <v>1</v>
      </c>
      <c r="BA40">
        <v>1</v>
      </c>
      <c r="BB40" t="s">
        <v>66</v>
      </c>
      <c r="BC40">
        <v>33.6</v>
      </c>
      <c r="BD40">
        <v>43.5</v>
      </c>
      <c r="BE40">
        <v>29.464285709999999</v>
      </c>
      <c r="BF40">
        <v>0</v>
      </c>
      <c r="BG40">
        <v>30.45</v>
      </c>
      <c r="BH40">
        <v>-9.375</v>
      </c>
      <c r="BI40">
        <v>119</v>
      </c>
      <c r="BJ40">
        <v>10.3</v>
      </c>
      <c r="BK40" t="s">
        <v>66</v>
      </c>
      <c r="BL40">
        <f>119-79</f>
        <v>40</v>
      </c>
      <c r="BM40">
        <v>21</v>
      </c>
      <c r="BN40">
        <v>10</v>
      </c>
      <c r="BO40">
        <f t="shared" si="0"/>
        <v>15.5</v>
      </c>
      <c r="BP40">
        <v>3</v>
      </c>
      <c r="BQ40">
        <v>1</v>
      </c>
      <c r="BS40">
        <v>0</v>
      </c>
      <c r="BT40">
        <f t="shared" si="1"/>
        <v>30.252100840336134</v>
      </c>
      <c r="BU40">
        <f t="shared" si="2"/>
        <v>32.038834951456316</v>
      </c>
      <c r="BV40">
        <f t="shared" si="3"/>
        <v>-114.99999999999999</v>
      </c>
      <c r="BW40">
        <f t="shared" si="4"/>
        <v>-19.35483870967742</v>
      </c>
    </row>
    <row r="41" spans="1:75" x14ac:dyDescent="0.2">
      <c r="A41" t="s">
        <v>170</v>
      </c>
      <c r="B41" t="s">
        <v>171</v>
      </c>
      <c r="C41" t="s">
        <v>62</v>
      </c>
      <c r="D41" t="s">
        <v>63</v>
      </c>
      <c r="E41" t="s">
        <v>85</v>
      </c>
      <c r="F41" t="s">
        <v>182</v>
      </c>
      <c r="G41">
        <v>2.65</v>
      </c>
      <c r="H41">
        <v>15.9</v>
      </c>
      <c r="I41">
        <v>15.75</v>
      </c>
      <c r="J41">
        <v>1.4</v>
      </c>
      <c r="K41">
        <v>35.700000000000003</v>
      </c>
      <c r="L41">
        <v>11.943396229999999</v>
      </c>
      <c r="M41">
        <v>38</v>
      </c>
      <c r="N41">
        <v>51</v>
      </c>
      <c r="O41">
        <v>13</v>
      </c>
      <c r="P41">
        <v>49</v>
      </c>
      <c r="Q41">
        <v>11</v>
      </c>
      <c r="R41">
        <v>5.5</v>
      </c>
      <c r="S41">
        <v>58.1</v>
      </c>
      <c r="T41">
        <v>28.94736842</v>
      </c>
      <c r="U41">
        <v>-3.9215686270000001</v>
      </c>
      <c r="V41">
        <v>7</v>
      </c>
      <c r="W41">
        <v>8</v>
      </c>
      <c r="X41">
        <v>14</v>
      </c>
      <c r="Y41">
        <v>7</v>
      </c>
      <c r="Z41">
        <v>100</v>
      </c>
      <c r="AA41" t="s">
        <v>66</v>
      </c>
      <c r="AB41" t="s">
        <v>66</v>
      </c>
      <c r="AC41" t="s">
        <v>66</v>
      </c>
      <c r="AD41" t="s">
        <v>66</v>
      </c>
      <c r="AE41">
        <v>27</v>
      </c>
      <c r="AF41">
        <v>20</v>
      </c>
      <c r="AG41" t="s">
        <v>66</v>
      </c>
      <c r="AH41">
        <v>22</v>
      </c>
      <c r="AI41">
        <v>14</v>
      </c>
      <c r="AJ41" t="s">
        <v>66</v>
      </c>
      <c r="AK41">
        <v>10</v>
      </c>
      <c r="AL41">
        <v>12</v>
      </c>
      <c r="AM41">
        <v>16</v>
      </c>
      <c r="AN41">
        <v>13</v>
      </c>
      <c r="AO41">
        <v>-18.75</v>
      </c>
      <c r="AP41">
        <v>-25.925925929999998</v>
      </c>
      <c r="AQ41">
        <v>1.6875</v>
      </c>
      <c r="AR41">
        <v>1.538461538</v>
      </c>
      <c r="AS41">
        <v>-0.14903846200000001</v>
      </c>
      <c r="AT41">
        <v>0</v>
      </c>
      <c r="AU41" t="s">
        <v>66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 t="s">
        <v>66</v>
      </c>
      <c r="BC41">
        <v>29.2</v>
      </c>
      <c r="BD41">
        <v>35.700000000000003</v>
      </c>
      <c r="BE41">
        <v>22.26027397</v>
      </c>
      <c r="BF41">
        <v>0</v>
      </c>
      <c r="BG41">
        <v>24.99</v>
      </c>
      <c r="BH41">
        <v>-14.41780822</v>
      </c>
      <c r="BI41">
        <v>52</v>
      </c>
      <c r="BJ41">
        <v>10.6</v>
      </c>
      <c r="BK41" t="s">
        <v>66</v>
      </c>
      <c r="BL41">
        <v>6</v>
      </c>
      <c r="BM41">
        <v>15</v>
      </c>
      <c r="BN41">
        <v>11</v>
      </c>
      <c r="BO41">
        <f t="shared" si="0"/>
        <v>13</v>
      </c>
      <c r="BP41">
        <v>4</v>
      </c>
      <c r="BQ41">
        <v>1</v>
      </c>
      <c r="BS41">
        <v>0</v>
      </c>
      <c r="BT41">
        <f t="shared" si="1"/>
        <v>26.923076923076923</v>
      </c>
      <c r="BU41">
        <f t="shared" si="2"/>
        <v>33.962264150943398</v>
      </c>
      <c r="BV41">
        <f t="shared" si="3"/>
        <v>-350</v>
      </c>
      <c r="BW41">
        <f t="shared" si="4"/>
        <v>-23.076923076923077</v>
      </c>
    </row>
    <row r="42" spans="1:75" x14ac:dyDescent="0.2">
      <c r="A42" t="s">
        <v>170</v>
      </c>
      <c r="B42" t="s">
        <v>171</v>
      </c>
      <c r="C42" t="s">
        <v>62</v>
      </c>
      <c r="D42" t="s">
        <v>63</v>
      </c>
      <c r="E42" t="s">
        <v>89</v>
      </c>
      <c r="F42" t="s">
        <v>184</v>
      </c>
      <c r="G42">
        <v>2.65</v>
      </c>
      <c r="H42">
        <v>15.9</v>
      </c>
      <c r="I42">
        <v>15.75</v>
      </c>
      <c r="J42">
        <v>1.4</v>
      </c>
      <c r="K42">
        <v>35.700000000000003</v>
      </c>
      <c r="L42">
        <v>11.943396229999999</v>
      </c>
      <c r="M42">
        <v>44</v>
      </c>
      <c r="N42">
        <v>50</v>
      </c>
      <c r="O42">
        <v>6</v>
      </c>
      <c r="P42">
        <v>53</v>
      </c>
      <c r="Q42">
        <v>9</v>
      </c>
      <c r="R42">
        <v>4.5</v>
      </c>
      <c r="S42">
        <v>56.1</v>
      </c>
      <c r="T42">
        <v>20.454545450000001</v>
      </c>
      <c r="U42">
        <v>6</v>
      </c>
      <c r="V42">
        <v>9</v>
      </c>
      <c r="W42">
        <v>12</v>
      </c>
      <c r="X42">
        <v>10</v>
      </c>
      <c r="Y42">
        <v>1</v>
      </c>
      <c r="Z42">
        <v>11.11111111</v>
      </c>
      <c r="AA42" t="s">
        <v>66</v>
      </c>
      <c r="AB42" t="s">
        <v>66</v>
      </c>
      <c r="AC42" t="s">
        <v>66</v>
      </c>
      <c r="AD42" t="s">
        <v>66</v>
      </c>
      <c r="AE42">
        <v>35</v>
      </c>
      <c r="AF42">
        <v>36</v>
      </c>
      <c r="AG42" t="s">
        <v>66</v>
      </c>
      <c r="AH42">
        <v>29</v>
      </c>
      <c r="AI42">
        <v>29</v>
      </c>
      <c r="AJ42" t="s">
        <v>66</v>
      </c>
      <c r="AK42">
        <v>24</v>
      </c>
      <c r="AL42">
        <v>21</v>
      </c>
      <c r="AM42">
        <v>26.5</v>
      </c>
      <c r="AN42">
        <v>25</v>
      </c>
      <c r="AO42">
        <v>-5.6603773579999999</v>
      </c>
      <c r="AP42">
        <v>2.8571428569999999</v>
      </c>
      <c r="AQ42">
        <v>1.320754717</v>
      </c>
      <c r="AR42">
        <v>1.44</v>
      </c>
      <c r="AS42">
        <v>0.11924528299999999</v>
      </c>
      <c r="AT42">
        <v>0</v>
      </c>
      <c r="AU42" t="s">
        <v>66</v>
      </c>
      <c r="AV42">
        <v>2</v>
      </c>
      <c r="AW42">
        <v>1</v>
      </c>
      <c r="AX42">
        <v>1</v>
      </c>
      <c r="AY42">
        <v>1</v>
      </c>
      <c r="AZ42">
        <v>1</v>
      </c>
      <c r="BA42">
        <v>1</v>
      </c>
      <c r="BB42" t="s">
        <v>66</v>
      </c>
      <c r="BC42">
        <v>25.2</v>
      </c>
      <c r="BD42">
        <v>35.4</v>
      </c>
      <c r="BE42">
        <v>40.47619048</v>
      </c>
      <c r="BF42">
        <v>0</v>
      </c>
      <c r="BG42">
        <v>24.78</v>
      </c>
      <c r="BH42">
        <v>-1.6666666670000001</v>
      </c>
      <c r="BI42">
        <v>56</v>
      </c>
      <c r="BJ42">
        <v>7.9</v>
      </c>
      <c r="BK42" t="s">
        <v>66</v>
      </c>
      <c r="BL42">
        <f>56-21</f>
        <v>35</v>
      </c>
      <c r="BM42">
        <v>24</v>
      </c>
      <c r="BN42">
        <v>19</v>
      </c>
      <c r="BO42">
        <f t="shared" si="0"/>
        <v>21.5</v>
      </c>
      <c r="BP42">
        <v>4</v>
      </c>
      <c r="BQ42">
        <v>1</v>
      </c>
      <c r="BS42">
        <v>0</v>
      </c>
      <c r="BT42">
        <f t="shared" si="1"/>
        <v>21.428571428571427</v>
      </c>
      <c r="BU42">
        <f t="shared" si="2"/>
        <v>-13.924050632911387</v>
      </c>
      <c r="BV42">
        <f t="shared" si="3"/>
        <v>0</v>
      </c>
      <c r="BW42">
        <f t="shared" si="4"/>
        <v>-23.255813953488371</v>
      </c>
    </row>
    <row r="43" spans="1:75" x14ac:dyDescent="0.2">
      <c r="A43" t="s">
        <v>170</v>
      </c>
      <c r="B43" t="s">
        <v>171</v>
      </c>
      <c r="C43" t="s">
        <v>62</v>
      </c>
      <c r="D43" t="s">
        <v>63</v>
      </c>
      <c r="E43" t="s">
        <v>91</v>
      </c>
      <c r="F43" t="s">
        <v>185</v>
      </c>
      <c r="G43">
        <v>2.65</v>
      </c>
      <c r="H43">
        <v>15.9</v>
      </c>
      <c r="I43">
        <v>15.75</v>
      </c>
      <c r="J43">
        <v>1.4</v>
      </c>
      <c r="K43">
        <v>35.700000000000003</v>
      </c>
      <c r="L43">
        <v>11.943396229999999</v>
      </c>
      <c r="M43">
        <v>84</v>
      </c>
      <c r="N43">
        <v>112</v>
      </c>
      <c r="O43">
        <v>28</v>
      </c>
      <c r="P43">
        <v>121</v>
      </c>
      <c r="Q43">
        <v>37</v>
      </c>
      <c r="R43">
        <v>18.5</v>
      </c>
      <c r="S43">
        <v>84.1</v>
      </c>
      <c r="T43">
        <v>44.047619050000002</v>
      </c>
      <c r="U43">
        <v>8.0357142859999993</v>
      </c>
      <c r="V43">
        <v>9</v>
      </c>
      <c r="W43">
        <v>10</v>
      </c>
      <c r="X43">
        <v>12</v>
      </c>
      <c r="Y43">
        <v>3</v>
      </c>
      <c r="Z43">
        <v>33.333333330000002</v>
      </c>
      <c r="AA43" t="s">
        <v>66</v>
      </c>
      <c r="AB43" t="s">
        <v>66</v>
      </c>
      <c r="AC43" t="s">
        <v>66</v>
      </c>
      <c r="AD43" t="s">
        <v>66</v>
      </c>
      <c r="AE43">
        <v>61</v>
      </c>
      <c r="AF43">
        <v>51</v>
      </c>
      <c r="AG43" t="s">
        <v>66</v>
      </c>
      <c r="AH43">
        <v>38</v>
      </c>
      <c r="AI43">
        <v>25</v>
      </c>
      <c r="AJ43" t="s">
        <v>66</v>
      </c>
      <c r="AK43">
        <v>25</v>
      </c>
      <c r="AL43">
        <v>20</v>
      </c>
      <c r="AM43">
        <v>31.5</v>
      </c>
      <c r="AN43">
        <v>22.5</v>
      </c>
      <c r="AO43">
        <v>-28.571428569999998</v>
      </c>
      <c r="AP43">
        <v>-16.393442619999998</v>
      </c>
      <c r="AQ43">
        <v>1.936507937</v>
      </c>
      <c r="AR43">
        <v>2.266666667</v>
      </c>
      <c r="AS43">
        <v>0.33015873000000001</v>
      </c>
      <c r="AT43">
        <v>0</v>
      </c>
      <c r="AU43" t="s">
        <v>66</v>
      </c>
      <c r="AV43">
        <v>4</v>
      </c>
      <c r="AW43">
        <v>4</v>
      </c>
      <c r="AX43">
        <v>1</v>
      </c>
      <c r="AY43">
        <v>1</v>
      </c>
      <c r="AZ43">
        <v>1</v>
      </c>
      <c r="BA43">
        <v>1</v>
      </c>
      <c r="BB43" t="s">
        <v>66</v>
      </c>
      <c r="BC43">
        <v>33.200000000000003</v>
      </c>
      <c r="BD43">
        <v>45.5</v>
      </c>
      <c r="BE43">
        <v>37.04819277</v>
      </c>
      <c r="BF43">
        <v>0</v>
      </c>
      <c r="BG43">
        <v>31.85</v>
      </c>
      <c r="BH43">
        <v>-4.0662650600000001</v>
      </c>
      <c r="BI43">
        <v>126</v>
      </c>
      <c r="BJ43">
        <v>12.4</v>
      </c>
      <c r="BK43" t="s">
        <v>66</v>
      </c>
      <c r="BL43">
        <f>126-76</f>
        <v>50</v>
      </c>
      <c r="BM43">
        <v>38</v>
      </c>
      <c r="BN43">
        <v>28</v>
      </c>
      <c r="BO43">
        <f t="shared" si="0"/>
        <v>33</v>
      </c>
      <c r="BP43">
        <v>3</v>
      </c>
      <c r="BQ43">
        <v>1</v>
      </c>
      <c r="BS43">
        <v>0</v>
      </c>
      <c r="BT43">
        <f t="shared" si="1"/>
        <v>33.333333333333329</v>
      </c>
      <c r="BU43">
        <f t="shared" si="2"/>
        <v>27.41935483870968</v>
      </c>
      <c r="BV43">
        <f t="shared" si="3"/>
        <v>-22</v>
      </c>
      <c r="BW43">
        <f t="shared" si="4"/>
        <v>4.5454545454545459</v>
      </c>
    </row>
    <row r="44" spans="1:75" x14ac:dyDescent="0.2">
      <c r="A44" t="s">
        <v>170</v>
      </c>
      <c r="B44" t="s">
        <v>171</v>
      </c>
      <c r="C44" t="s">
        <v>62</v>
      </c>
      <c r="D44" t="s">
        <v>63</v>
      </c>
      <c r="E44" t="s">
        <v>93</v>
      </c>
      <c r="F44" t="s">
        <v>186</v>
      </c>
      <c r="G44">
        <v>2.65</v>
      </c>
      <c r="H44">
        <v>15.9</v>
      </c>
      <c r="I44">
        <v>15.75</v>
      </c>
      <c r="J44">
        <v>1.4</v>
      </c>
      <c r="K44">
        <v>35.700000000000003</v>
      </c>
      <c r="L44">
        <v>11.943396229999999</v>
      </c>
      <c r="M44">
        <v>106</v>
      </c>
      <c r="N44">
        <v>108</v>
      </c>
      <c r="O44">
        <v>2</v>
      </c>
      <c r="P44">
        <v>139</v>
      </c>
      <c r="Q44">
        <v>33</v>
      </c>
      <c r="R44">
        <v>16.5</v>
      </c>
      <c r="S44">
        <v>80.099999999999994</v>
      </c>
      <c r="T44">
        <v>31.13207547</v>
      </c>
      <c r="U44">
        <v>28.703703699999998</v>
      </c>
      <c r="V44">
        <v>14</v>
      </c>
      <c r="W44">
        <v>12</v>
      </c>
      <c r="X44">
        <v>11</v>
      </c>
      <c r="Y44">
        <v>-3</v>
      </c>
      <c r="Z44">
        <v>-21.428571430000002</v>
      </c>
      <c r="AA44" t="s">
        <v>66</v>
      </c>
      <c r="AB44" t="s">
        <v>66</v>
      </c>
      <c r="AC44" t="s">
        <v>66</v>
      </c>
      <c r="AD44" t="s">
        <v>66</v>
      </c>
      <c r="AE44">
        <v>63</v>
      </c>
      <c r="AF44">
        <v>85</v>
      </c>
      <c r="AG44" t="s">
        <v>66</v>
      </c>
      <c r="AH44">
        <v>46</v>
      </c>
      <c r="AI44">
        <v>41</v>
      </c>
      <c r="AJ44" t="s">
        <v>66</v>
      </c>
      <c r="AK44">
        <v>19</v>
      </c>
      <c r="AL44">
        <v>20</v>
      </c>
      <c r="AM44">
        <v>32.5</v>
      </c>
      <c r="AN44">
        <v>30.5</v>
      </c>
      <c r="AO44">
        <v>-6.153846154</v>
      </c>
      <c r="AP44">
        <v>34.920634919999998</v>
      </c>
      <c r="AQ44">
        <v>1.9384615380000001</v>
      </c>
      <c r="AR44">
        <v>2.7868852460000002</v>
      </c>
      <c r="AS44">
        <v>0.848423708</v>
      </c>
      <c r="AT44">
        <v>0</v>
      </c>
      <c r="AU44" t="s">
        <v>66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 t="s">
        <v>66</v>
      </c>
      <c r="BC44">
        <v>45.1</v>
      </c>
      <c r="BD44">
        <v>47.9</v>
      </c>
      <c r="BE44">
        <v>6.2084257210000002</v>
      </c>
      <c r="BF44">
        <v>0</v>
      </c>
      <c r="BG44">
        <v>33.53</v>
      </c>
      <c r="BH44">
        <v>-25.654102000000002</v>
      </c>
      <c r="BI44">
        <v>167</v>
      </c>
      <c r="BJ44">
        <v>15.7</v>
      </c>
      <c r="BK44">
        <v>3.6</v>
      </c>
      <c r="BL44">
        <f>167-81</f>
        <v>86</v>
      </c>
      <c r="BM44">
        <v>90</v>
      </c>
      <c r="BN44">
        <v>41</v>
      </c>
      <c r="BO44">
        <f t="shared" si="0"/>
        <v>65.5</v>
      </c>
      <c r="BP44">
        <v>4</v>
      </c>
      <c r="BQ44">
        <v>1</v>
      </c>
      <c r="BS44">
        <v>0</v>
      </c>
      <c r="BT44">
        <f t="shared" si="1"/>
        <v>36.526946107784433</v>
      </c>
      <c r="BU44">
        <f t="shared" si="2"/>
        <v>10.828025477707003</v>
      </c>
      <c r="BV44">
        <f t="shared" si="3"/>
        <v>26.744186046511626</v>
      </c>
      <c r="BW44">
        <f t="shared" si="4"/>
        <v>50.381679389312971</v>
      </c>
    </row>
    <row r="45" spans="1:75" x14ac:dyDescent="0.2">
      <c r="A45" t="s">
        <v>170</v>
      </c>
      <c r="B45" t="s">
        <v>171</v>
      </c>
      <c r="C45" t="s">
        <v>62</v>
      </c>
      <c r="D45" t="s">
        <v>63</v>
      </c>
      <c r="E45" t="s">
        <v>95</v>
      </c>
      <c r="F45" t="s">
        <v>187</v>
      </c>
      <c r="G45">
        <v>2.65</v>
      </c>
      <c r="H45">
        <v>15.9</v>
      </c>
      <c r="I45">
        <v>15.75</v>
      </c>
      <c r="J45">
        <v>1.4</v>
      </c>
      <c r="K45">
        <v>35.700000000000003</v>
      </c>
      <c r="L45">
        <v>11.943396229999999</v>
      </c>
      <c r="M45">
        <v>61</v>
      </c>
      <c r="N45">
        <v>59</v>
      </c>
      <c r="O45">
        <v>-2</v>
      </c>
      <c r="P45">
        <v>71</v>
      </c>
      <c r="Q45">
        <v>10</v>
      </c>
      <c r="R45">
        <v>5</v>
      </c>
      <c r="S45">
        <v>57.1</v>
      </c>
      <c r="T45">
        <v>16.393442619999998</v>
      </c>
      <c r="U45">
        <v>20.33898305</v>
      </c>
      <c r="V45">
        <v>7</v>
      </c>
      <c r="W45">
        <v>8</v>
      </c>
      <c r="X45">
        <v>9</v>
      </c>
      <c r="Y45">
        <v>2</v>
      </c>
      <c r="Z45">
        <v>28.571428569999998</v>
      </c>
      <c r="AA45" t="s">
        <v>66</v>
      </c>
      <c r="AB45" t="s">
        <v>66</v>
      </c>
      <c r="AC45" t="s">
        <v>66</v>
      </c>
      <c r="AD45" t="s">
        <v>66</v>
      </c>
      <c r="AE45">
        <v>35</v>
      </c>
      <c r="AF45">
        <v>38</v>
      </c>
      <c r="AG45" t="s">
        <v>66</v>
      </c>
      <c r="AH45">
        <v>22</v>
      </c>
      <c r="AI45">
        <v>22</v>
      </c>
      <c r="AJ45" t="s">
        <v>66</v>
      </c>
      <c r="AK45">
        <v>17</v>
      </c>
      <c r="AL45">
        <v>19</v>
      </c>
      <c r="AM45">
        <v>19.5</v>
      </c>
      <c r="AN45">
        <v>20.5</v>
      </c>
      <c r="AO45">
        <v>5.1282051280000003</v>
      </c>
      <c r="AP45">
        <v>8.5714285710000002</v>
      </c>
      <c r="AQ45">
        <v>1.7948717949999999</v>
      </c>
      <c r="AR45">
        <v>1.8536585370000001</v>
      </c>
      <c r="AS45">
        <v>5.8786742000000003E-2</v>
      </c>
      <c r="AT45">
        <v>0</v>
      </c>
      <c r="AU45" t="s">
        <v>66</v>
      </c>
      <c r="AV45">
        <v>1</v>
      </c>
      <c r="AW45">
        <v>2</v>
      </c>
      <c r="AX45">
        <v>1</v>
      </c>
      <c r="AY45">
        <v>1</v>
      </c>
      <c r="AZ45">
        <v>1</v>
      </c>
      <c r="BA45">
        <v>1</v>
      </c>
      <c r="BB45" t="s">
        <v>66</v>
      </c>
      <c r="BC45">
        <v>21.3</v>
      </c>
      <c r="BD45">
        <v>38.6</v>
      </c>
      <c r="BE45">
        <v>81.220657279999998</v>
      </c>
      <c r="BF45">
        <v>0</v>
      </c>
      <c r="BG45">
        <v>27.02</v>
      </c>
      <c r="BH45">
        <v>26.85446009</v>
      </c>
      <c r="BI45">
        <v>78</v>
      </c>
      <c r="BJ45">
        <v>9.9</v>
      </c>
      <c r="BK45" t="s">
        <v>66</v>
      </c>
      <c r="BL45">
        <v>70</v>
      </c>
      <c r="BM45">
        <v>38</v>
      </c>
      <c r="BN45">
        <v>22</v>
      </c>
      <c r="BO45">
        <f t="shared" si="0"/>
        <v>30</v>
      </c>
      <c r="BP45">
        <v>4</v>
      </c>
      <c r="BQ45">
        <v>1</v>
      </c>
      <c r="BS45">
        <v>0</v>
      </c>
      <c r="BT45">
        <f t="shared" si="1"/>
        <v>21.794871794871796</v>
      </c>
      <c r="BU45">
        <f t="shared" si="2"/>
        <v>29.292929292929294</v>
      </c>
      <c r="BV45">
        <f t="shared" si="3"/>
        <v>50</v>
      </c>
      <c r="BW45">
        <f t="shared" si="4"/>
        <v>35</v>
      </c>
    </row>
    <row r="46" spans="1:75" x14ac:dyDescent="0.2">
      <c r="A46" t="s">
        <v>213</v>
      </c>
      <c r="B46" t="s">
        <v>214</v>
      </c>
      <c r="C46" t="s">
        <v>62</v>
      </c>
      <c r="D46" t="s">
        <v>63</v>
      </c>
      <c r="E46" t="s">
        <v>81</v>
      </c>
      <c r="F46" t="s">
        <v>223</v>
      </c>
      <c r="G46">
        <v>5</v>
      </c>
      <c r="H46">
        <v>6.75</v>
      </c>
      <c r="I46">
        <v>12.5</v>
      </c>
      <c r="J46">
        <v>15.2</v>
      </c>
      <c r="K46">
        <v>39.450000000000003</v>
      </c>
      <c r="L46">
        <v>3.85</v>
      </c>
      <c r="M46">
        <v>32</v>
      </c>
      <c r="N46">
        <v>38</v>
      </c>
      <c r="O46">
        <v>6</v>
      </c>
      <c r="P46">
        <v>33</v>
      </c>
      <c r="Q46">
        <v>1</v>
      </c>
      <c r="R46">
        <v>0.5</v>
      </c>
      <c r="S46">
        <v>48.1</v>
      </c>
      <c r="T46">
        <v>3.125</v>
      </c>
      <c r="U46">
        <v>-13.15789474</v>
      </c>
      <c r="V46">
        <v>2</v>
      </c>
      <c r="W46">
        <v>3</v>
      </c>
      <c r="X46">
        <v>5</v>
      </c>
      <c r="Y46">
        <v>3</v>
      </c>
      <c r="Z46">
        <v>150</v>
      </c>
      <c r="AA46" t="s">
        <v>66</v>
      </c>
      <c r="AB46" t="s">
        <v>66</v>
      </c>
      <c r="AC46" t="s">
        <v>66</v>
      </c>
      <c r="AD46" t="s">
        <v>66</v>
      </c>
      <c r="AE46">
        <v>11</v>
      </c>
      <c r="AF46">
        <v>15</v>
      </c>
      <c r="AG46" t="s">
        <v>66</v>
      </c>
      <c r="AH46">
        <v>7</v>
      </c>
      <c r="AI46">
        <v>11</v>
      </c>
      <c r="AJ46" t="s">
        <v>66</v>
      </c>
      <c r="AK46">
        <v>6</v>
      </c>
      <c r="AL46">
        <v>8</v>
      </c>
      <c r="AM46">
        <v>6.5</v>
      </c>
      <c r="AN46">
        <v>9.5</v>
      </c>
      <c r="AO46">
        <v>46.15384615</v>
      </c>
      <c r="AP46">
        <v>36.363636360000001</v>
      </c>
      <c r="AQ46">
        <v>1.692307692</v>
      </c>
      <c r="AR46">
        <v>1.5789473679999999</v>
      </c>
      <c r="AS46">
        <v>-0.113360324</v>
      </c>
      <c r="AT46">
        <v>0</v>
      </c>
      <c r="AU46" t="s">
        <v>66</v>
      </c>
      <c r="AV46">
        <v>2</v>
      </c>
      <c r="AW46">
        <v>2</v>
      </c>
      <c r="AX46">
        <v>0</v>
      </c>
      <c r="AY46">
        <v>1</v>
      </c>
      <c r="AZ46">
        <v>1</v>
      </c>
      <c r="BA46">
        <v>1</v>
      </c>
      <c r="BB46" t="s">
        <v>66</v>
      </c>
      <c r="BC46">
        <v>19</v>
      </c>
      <c r="BD46">
        <v>31.2</v>
      </c>
      <c r="BE46">
        <v>64.21052632</v>
      </c>
      <c r="BF46">
        <v>0</v>
      </c>
      <c r="BG46">
        <v>21.84</v>
      </c>
      <c r="BH46">
        <v>14.94736842</v>
      </c>
      <c r="BI46" t="s">
        <v>66</v>
      </c>
      <c r="BJ46" t="s">
        <v>66</v>
      </c>
      <c r="BK46" t="s">
        <v>66</v>
      </c>
      <c r="BL46" t="s">
        <v>66</v>
      </c>
      <c r="BM46" t="s">
        <v>66</v>
      </c>
      <c r="BN46" t="s">
        <v>66</v>
      </c>
      <c r="BO46" t="s">
        <v>66</v>
      </c>
      <c r="BP46" t="s">
        <v>66</v>
      </c>
      <c r="BQ46">
        <v>0</v>
      </c>
      <c r="BS46">
        <v>0</v>
      </c>
      <c r="BT46" t="s">
        <v>66</v>
      </c>
      <c r="BU46" t="s">
        <v>66</v>
      </c>
      <c r="BV46" t="s">
        <v>66</v>
      </c>
      <c r="BW46" t="s">
        <v>66</v>
      </c>
    </row>
    <row r="47" spans="1:75" x14ac:dyDescent="0.2">
      <c r="A47" t="s">
        <v>213</v>
      </c>
      <c r="B47" t="s">
        <v>214</v>
      </c>
      <c r="C47" t="s">
        <v>62</v>
      </c>
      <c r="D47" t="s">
        <v>63</v>
      </c>
      <c r="E47" t="s">
        <v>85</v>
      </c>
      <c r="F47" t="s">
        <v>225</v>
      </c>
      <c r="G47">
        <v>5</v>
      </c>
      <c r="H47">
        <v>6.75</v>
      </c>
      <c r="I47">
        <v>12.5</v>
      </c>
      <c r="J47">
        <v>15.2</v>
      </c>
      <c r="K47">
        <v>39.450000000000003</v>
      </c>
      <c r="L47">
        <v>3.85</v>
      </c>
      <c r="M47">
        <v>13</v>
      </c>
      <c r="N47">
        <v>15</v>
      </c>
      <c r="O47">
        <v>2</v>
      </c>
      <c r="P47">
        <v>23</v>
      </c>
      <c r="Q47">
        <v>10</v>
      </c>
      <c r="R47">
        <v>5</v>
      </c>
      <c r="S47">
        <v>57.1</v>
      </c>
      <c r="T47">
        <v>76.92307692</v>
      </c>
      <c r="U47">
        <v>53.333333330000002</v>
      </c>
      <c r="V47">
        <v>1</v>
      </c>
      <c r="W47">
        <v>3</v>
      </c>
      <c r="X47">
        <v>4</v>
      </c>
      <c r="Y47">
        <v>3</v>
      </c>
      <c r="Z47">
        <v>300</v>
      </c>
      <c r="AA47" t="s">
        <v>66</v>
      </c>
      <c r="AB47" t="s">
        <v>66</v>
      </c>
      <c r="AC47" t="s">
        <v>66</v>
      </c>
      <c r="AD47" t="s">
        <v>66</v>
      </c>
      <c r="AE47">
        <v>4</v>
      </c>
      <c r="AF47">
        <v>10</v>
      </c>
      <c r="AG47" t="s">
        <v>66</v>
      </c>
      <c r="AH47">
        <v>7</v>
      </c>
      <c r="AI47">
        <v>9</v>
      </c>
      <c r="AJ47" t="s">
        <v>66</v>
      </c>
      <c r="AK47">
        <v>7</v>
      </c>
      <c r="AL47">
        <v>7</v>
      </c>
      <c r="AM47">
        <v>7</v>
      </c>
      <c r="AN47">
        <v>8</v>
      </c>
      <c r="AO47">
        <v>14.28571429</v>
      </c>
      <c r="AP47">
        <v>150</v>
      </c>
      <c r="AQ47">
        <v>0.571428571</v>
      </c>
      <c r="AR47">
        <v>1.25</v>
      </c>
      <c r="AS47">
        <v>0.678571429</v>
      </c>
      <c r="AT47">
        <v>0</v>
      </c>
      <c r="AU47" t="s">
        <v>66</v>
      </c>
      <c r="AV47">
        <v>2</v>
      </c>
      <c r="AW47">
        <v>2</v>
      </c>
      <c r="AX47">
        <v>0</v>
      </c>
      <c r="AY47">
        <v>1</v>
      </c>
      <c r="AZ47">
        <v>1</v>
      </c>
      <c r="BA47">
        <v>1</v>
      </c>
      <c r="BB47" t="s">
        <v>66</v>
      </c>
      <c r="BC47">
        <v>24.428571430000002</v>
      </c>
      <c r="BD47">
        <v>36.375</v>
      </c>
      <c r="BE47">
        <v>48.903508760000001</v>
      </c>
      <c r="BF47">
        <v>0</v>
      </c>
      <c r="BG47">
        <v>25.462499999999999</v>
      </c>
      <c r="BH47">
        <v>4.2324561340000004</v>
      </c>
      <c r="BI47" t="s">
        <v>66</v>
      </c>
      <c r="BJ47" t="s">
        <v>66</v>
      </c>
      <c r="BK47" t="s">
        <v>66</v>
      </c>
      <c r="BL47" t="s">
        <v>66</v>
      </c>
      <c r="BM47" t="s">
        <v>66</v>
      </c>
      <c r="BN47" t="s">
        <v>66</v>
      </c>
      <c r="BO47" t="s">
        <v>66</v>
      </c>
      <c r="BP47" t="s">
        <v>66</v>
      </c>
      <c r="BQ47">
        <v>0</v>
      </c>
      <c r="BR47" t="s">
        <v>877</v>
      </c>
      <c r="BS47">
        <v>0</v>
      </c>
      <c r="BT47" t="s">
        <v>66</v>
      </c>
      <c r="BU47" t="s">
        <v>66</v>
      </c>
      <c r="BV47" t="s">
        <v>66</v>
      </c>
      <c r="BW47" t="s">
        <v>66</v>
      </c>
    </row>
    <row r="48" spans="1:75" x14ac:dyDescent="0.2">
      <c r="A48" t="s">
        <v>213</v>
      </c>
      <c r="B48" t="s">
        <v>214</v>
      </c>
      <c r="C48" t="s">
        <v>62</v>
      </c>
      <c r="D48" t="s">
        <v>63</v>
      </c>
      <c r="E48" t="s">
        <v>67</v>
      </c>
      <c r="F48" t="s">
        <v>216</v>
      </c>
      <c r="G48">
        <v>5</v>
      </c>
      <c r="H48">
        <v>6.75</v>
      </c>
      <c r="I48">
        <v>12.5</v>
      </c>
      <c r="J48">
        <v>15.2</v>
      </c>
      <c r="K48">
        <v>39.450000000000003</v>
      </c>
      <c r="L48">
        <v>3.85</v>
      </c>
      <c r="M48">
        <v>34</v>
      </c>
      <c r="N48">
        <v>38</v>
      </c>
      <c r="O48">
        <v>4</v>
      </c>
      <c r="P48">
        <v>36</v>
      </c>
      <c r="Q48">
        <v>2</v>
      </c>
      <c r="R48">
        <v>1</v>
      </c>
      <c r="S48">
        <v>49.1</v>
      </c>
      <c r="T48">
        <v>5.8823529409999997</v>
      </c>
      <c r="U48">
        <v>-5.263157895</v>
      </c>
      <c r="V48">
        <v>3</v>
      </c>
      <c r="W48">
        <v>4</v>
      </c>
      <c r="X48">
        <v>5</v>
      </c>
      <c r="Y48">
        <v>2</v>
      </c>
      <c r="Z48">
        <v>66.666666669999998</v>
      </c>
      <c r="AA48" t="s">
        <v>66</v>
      </c>
      <c r="AB48" t="s">
        <v>66</v>
      </c>
      <c r="AC48" t="s">
        <v>66</v>
      </c>
      <c r="AD48" t="s">
        <v>66</v>
      </c>
      <c r="AE48">
        <v>21</v>
      </c>
      <c r="AF48">
        <v>21</v>
      </c>
      <c r="AG48" t="s">
        <v>66</v>
      </c>
      <c r="AH48">
        <v>15</v>
      </c>
      <c r="AI48">
        <v>12</v>
      </c>
      <c r="AJ48" t="s">
        <v>66</v>
      </c>
      <c r="AK48">
        <v>12</v>
      </c>
      <c r="AL48">
        <v>9</v>
      </c>
      <c r="AM48">
        <v>13.5</v>
      </c>
      <c r="AN48">
        <v>10.5</v>
      </c>
      <c r="AO48">
        <v>-22.222222219999999</v>
      </c>
      <c r="AP48">
        <v>0</v>
      </c>
      <c r="AQ48">
        <v>1.5555555560000001</v>
      </c>
      <c r="AR48">
        <v>2</v>
      </c>
      <c r="AS48">
        <v>0.44444444399999999</v>
      </c>
      <c r="AT48">
        <v>0</v>
      </c>
      <c r="AU48" t="s">
        <v>66</v>
      </c>
      <c r="AV48">
        <v>1</v>
      </c>
      <c r="AW48">
        <v>3</v>
      </c>
      <c r="AX48">
        <v>0</v>
      </c>
      <c r="AY48">
        <v>1</v>
      </c>
      <c r="AZ48">
        <v>1</v>
      </c>
      <c r="BA48">
        <v>1</v>
      </c>
      <c r="BB48" t="s">
        <v>66</v>
      </c>
      <c r="BC48">
        <v>24.1</v>
      </c>
      <c r="BD48">
        <v>38.9</v>
      </c>
      <c r="BE48">
        <v>61.41078838</v>
      </c>
      <c r="BF48">
        <v>0</v>
      </c>
      <c r="BG48">
        <v>27.23</v>
      </c>
      <c r="BH48">
        <v>12.987551870000001</v>
      </c>
      <c r="BI48">
        <v>42</v>
      </c>
      <c r="BJ48">
        <v>4.0999999999999996</v>
      </c>
      <c r="BK48" t="s">
        <v>66</v>
      </c>
      <c r="BL48">
        <f>42-26</f>
        <v>16</v>
      </c>
      <c r="BM48">
        <v>11</v>
      </c>
      <c r="BN48">
        <v>4</v>
      </c>
      <c r="BO48">
        <f t="shared" ref="BO48:BO79" si="5">AVERAGE(BM48,BN48)</f>
        <v>7.5</v>
      </c>
      <c r="BP48">
        <v>4</v>
      </c>
      <c r="BQ48">
        <v>1</v>
      </c>
      <c r="BS48">
        <v>0</v>
      </c>
      <c r="BT48">
        <f t="shared" ref="BT48:BT79" si="6">(BI48-M48)/BI48*100</f>
        <v>19.047619047619047</v>
      </c>
      <c r="BU48">
        <f t="shared" ref="BU48:BU79" si="7">(BJ48-V48)/BJ48*100</f>
        <v>26.829268292682922</v>
      </c>
      <c r="BV48">
        <f t="shared" ref="BV48:BV60" si="8">(BL48-AE48)/BL48*100</f>
        <v>-31.25</v>
      </c>
      <c r="BW48">
        <f t="shared" ref="BW48:BW60" si="9">(BO48-AM48)/BO48*100</f>
        <v>-80</v>
      </c>
    </row>
    <row r="49" spans="1:75" x14ac:dyDescent="0.2">
      <c r="A49" t="s">
        <v>213</v>
      </c>
      <c r="B49" t="s">
        <v>214</v>
      </c>
      <c r="C49" t="s">
        <v>62</v>
      </c>
      <c r="D49" t="s">
        <v>63</v>
      </c>
      <c r="E49" t="s">
        <v>69</v>
      </c>
      <c r="F49" t="s">
        <v>217</v>
      </c>
      <c r="G49">
        <v>5</v>
      </c>
      <c r="H49">
        <v>6.75</v>
      </c>
      <c r="I49">
        <v>12.5</v>
      </c>
      <c r="J49">
        <v>15.2</v>
      </c>
      <c r="K49">
        <v>39.450000000000003</v>
      </c>
      <c r="L49">
        <v>3.85</v>
      </c>
      <c r="M49">
        <v>18</v>
      </c>
      <c r="N49">
        <v>25</v>
      </c>
      <c r="O49">
        <v>7</v>
      </c>
      <c r="P49">
        <v>33</v>
      </c>
      <c r="Q49">
        <v>15</v>
      </c>
      <c r="R49">
        <v>7.5</v>
      </c>
      <c r="S49">
        <v>62.1</v>
      </c>
      <c r="T49">
        <v>83.333333330000002</v>
      </c>
      <c r="U49">
        <v>32</v>
      </c>
      <c r="V49">
        <v>3</v>
      </c>
      <c r="W49">
        <v>4</v>
      </c>
      <c r="X49">
        <v>5</v>
      </c>
      <c r="Y49">
        <v>2</v>
      </c>
      <c r="Z49">
        <v>66.666666669999998</v>
      </c>
      <c r="AA49" t="s">
        <v>66</v>
      </c>
      <c r="AB49" t="s">
        <v>66</v>
      </c>
      <c r="AC49" t="s">
        <v>66</v>
      </c>
      <c r="AD49" t="s">
        <v>66</v>
      </c>
      <c r="AE49">
        <v>10</v>
      </c>
      <c r="AF49">
        <v>13</v>
      </c>
      <c r="AG49" t="s">
        <v>66</v>
      </c>
      <c r="AH49">
        <v>8</v>
      </c>
      <c r="AI49">
        <v>12</v>
      </c>
      <c r="AJ49" t="s">
        <v>66</v>
      </c>
      <c r="AK49">
        <v>6</v>
      </c>
      <c r="AL49">
        <v>8</v>
      </c>
      <c r="AM49">
        <v>7</v>
      </c>
      <c r="AN49">
        <v>10</v>
      </c>
      <c r="AO49">
        <v>42.857142860000003</v>
      </c>
      <c r="AP49">
        <v>30</v>
      </c>
      <c r="AQ49">
        <v>1.428571429</v>
      </c>
      <c r="AR49">
        <v>1.3</v>
      </c>
      <c r="AS49">
        <v>-0.12857142899999999</v>
      </c>
      <c r="AT49">
        <v>0</v>
      </c>
      <c r="AU49" t="s">
        <v>66</v>
      </c>
      <c r="AV49">
        <v>2</v>
      </c>
      <c r="AW49">
        <v>3</v>
      </c>
      <c r="AX49">
        <v>0</v>
      </c>
      <c r="AY49">
        <v>1</v>
      </c>
      <c r="AZ49">
        <v>1</v>
      </c>
      <c r="BA49">
        <v>1</v>
      </c>
      <c r="BB49" t="s">
        <v>66</v>
      </c>
      <c r="BC49">
        <v>27.2</v>
      </c>
      <c r="BD49">
        <v>36.299999999999997</v>
      </c>
      <c r="BE49">
        <v>33.455882350000003</v>
      </c>
      <c r="BF49">
        <v>0</v>
      </c>
      <c r="BG49">
        <v>25.41</v>
      </c>
      <c r="BH49">
        <v>-6.5808823529999998</v>
      </c>
      <c r="BI49">
        <v>27</v>
      </c>
      <c r="BJ49">
        <v>5.0999999999999996</v>
      </c>
      <c r="BK49" t="s">
        <v>66</v>
      </c>
      <c r="BL49">
        <v>15</v>
      </c>
      <c r="BM49">
        <v>10</v>
      </c>
      <c r="BN49">
        <v>4</v>
      </c>
      <c r="BO49">
        <f t="shared" si="5"/>
        <v>7</v>
      </c>
      <c r="BP49">
        <v>4</v>
      </c>
      <c r="BQ49">
        <v>1</v>
      </c>
      <c r="BS49">
        <v>0</v>
      </c>
      <c r="BT49">
        <f t="shared" si="6"/>
        <v>33.333333333333329</v>
      </c>
      <c r="BU49">
        <f t="shared" si="7"/>
        <v>41.17647058823529</v>
      </c>
      <c r="BV49">
        <f t="shared" si="8"/>
        <v>33.333333333333329</v>
      </c>
      <c r="BW49">
        <f t="shared" si="9"/>
        <v>0</v>
      </c>
    </row>
    <row r="50" spans="1:75" x14ac:dyDescent="0.2">
      <c r="A50" t="s">
        <v>213</v>
      </c>
      <c r="B50" t="s">
        <v>214</v>
      </c>
      <c r="C50" t="s">
        <v>62</v>
      </c>
      <c r="D50" t="s">
        <v>63</v>
      </c>
      <c r="E50" t="s">
        <v>71</v>
      </c>
      <c r="F50" t="s">
        <v>218</v>
      </c>
      <c r="G50">
        <v>5</v>
      </c>
      <c r="H50">
        <v>6.75</v>
      </c>
      <c r="I50">
        <v>12.5</v>
      </c>
      <c r="J50">
        <v>15.2</v>
      </c>
      <c r="K50">
        <v>39.450000000000003</v>
      </c>
      <c r="L50">
        <v>3.85</v>
      </c>
      <c r="M50">
        <v>17</v>
      </c>
      <c r="N50">
        <v>7</v>
      </c>
      <c r="O50">
        <v>-10</v>
      </c>
      <c r="P50">
        <v>12</v>
      </c>
      <c r="Q50">
        <v>-5</v>
      </c>
      <c r="R50">
        <v>-2.5</v>
      </c>
      <c r="S50">
        <v>42.1</v>
      </c>
      <c r="T50">
        <v>-29.41176471</v>
      </c>
      <c r="U50">
        <v>71.428571430000005</v>
      </c>
      <c r="V50">
        <v>2</v>
      </c>
      <c r="W50">
        <v>3</v>
      </c>
      <c r="X50">
        <v>2</v>
      </c>
      <c r="Y50">
        <v>0</v>
      </c>
      <c r="Z50">
        <v>0</v>
      </c>
      <c r="AA50" t="s">
        <v>66</v>
      </c>
      <c r="AB50" t="s">
        <v>66</v>
      </c>
      <c r="AC50" t="s">
        <v>66</v>
      </c>
      <c r="AD50" t="s">
        <v>66</v>
      </c>
      <c r="AE50">
        <v>5</v>
      </c>
      <c r="AF50">
        <v>7</v>
      </c>
      <c r="AG50" t="s">
        <v>66</v>
      </c>
      <c r="AH50">
        <v>6</v>
      </c>
      <c r="AI50">
        <v>8</v>
      </c>
      <c r="AJ50" t="s">
        <v>66</v>
      </c>
      <c r="AK50">
        <v>4</v>
      </c>
      <c r="AL50">
        <v>5</v>
      </c>
      <c r="AM50">
        <v>5</v>
      </c>
      <c r="AN50">
        <v>6.5</v>
      </c>
      <c r="AO50">
        <v>30</v>
      </c>
      <c r="AP50">
        <v>40</v>
      </c>
      <c r="AQ50">
        <v>1</v>
      </c>
      <c r="AR50">
        <v>1.076923077</v>
      </c>
      <c r="AS50">
        <v>7.6923077000000006E-2</v>
      </c>
      <c r="AT50">
        <v>0</v>
      </c>
      <c r="AU50" t="s">
        <v>66</v>
      </c>
      <c r="AV50">
        <v>2</v>
      </c>
      <c r="AW50">
        <v>2</v>
      </c>
      <c r="AX50">
        <v>0</v>
      </c>
      <c r="AY50">
        <v>1</v>
      </c>
      <c r="AZ50">
        <v>1</v>
      </c>
      <c r="BA50">
        <v>1</v>
      </c>
      <c r="BB50" t="s">
        <v>66</v>
      </c>
      <c r="BC50">
        <v>23.14285714</v>
      </c>
      <c r="BD50">
        <v>35</v>
      </c>
      <c r="BE50">
        <v>51.234567920000003</v>
      </c>
      <c r="BF50">
        <v>0</v>
      </c>
      <c r="BG50">
        <v>24.5</v>
      </c>
      <c r="BH50">
        <v>5.8641975439999996</v>
      </c>
      <c r="BI50">
        <v>20</v>
      </c>
      <c r="BJ50">
        <v>4.5</v>
      </c>
      <c r="BK50" t="s">
        <v>66</v>
      </c>
      <c r="BL50">
        <v>15</v>
      </c>
      <c r="BM50">
        <v>7</v>
      </c>
      <c r="BN50">
        <v>4</v>
      </c>
      <c r="BO50">
        <f t="shared" si="5"/>
        <v>5.5</v>
      </c>
      <c r="BP50">
        <v>4</v>
      </c>
      <c r="BQ50">
        <v>1</v>
      </c>
      <c r="BS50">
        <v>0</v>
      </c>
      <c r="BT50">
        <f t="shared" si="6"/>
        <v>15</v>
      </c>
      <c r="BU50">
        <f t="shared" si="7"/>
        <v>55.555555555555557</v>
      </c>
      <c r="BV50">
        <f t="shared" si="8"/>
        <v>66.666666666666657</v>
      </c>
      <c r="BW50">
        <f t="shared" si="9"/>
        <v>9.0909090909090917</v>
      </c>
    </row>
    <row r="51" spans="1:75" x14ac:dyDescent="0.2">
      <c r="A51" t="s">
        <v>213</v>
      </c>
      <c r="B51" t="s">
        <v>214</v>
      </c>
      <c r="C51" t="s">
        <v>62</v>
      </c>
      <c r="D51" t="s">
        <v>63</v>
      </c>
      <c r="E51" t="s">
        <v>73</v>
      </c>
      <c r="F51" t="s">
        <v>219</v>
      </c>
      <c r="G51">
        <v>5</v>
      </c>
      <c r="H51">
        <v>6.75</v>
      </c>
      <c r="I51">
        <v>12.5</v>
      </c>
      <c r="J51">
        <v>15.2</v>
      </c>
      <c r="K51">
        <v>39.450000000000003</v>
      </c>
      <c r="L51">
        <v>3.85</v>
      </c>
      <c r="M51">
        <v>30</v>
      </c>
      <c r="N51">
        <v>36</v>
      </c>
      <c r="O51">
        <v>6</v>
      </c>
      <c r="P51">
        <v>41</v>
      </c>
      <c r="Q51">
        <v>11</v>
      </c>
      <c r="R51">
        <v>5.5</v>
      </c>
      <c r="S51">
        <v>58.1</v>
      </c>
      <c r="T51">
        <v>36.666666669999998</v>
      </c>
      <c r="U51">
        <v>13.88888889</v>
      </c>
      <c r="V51">
        <v>3</v>
      </c>
      <c r="W51">
        <v>4</v>
      </c>
      <c r="X51">
        <v>5</v>
      </c>
      <c r="Y51">
        <v>2</v>
      </c>
      <c r="Z51">
        <v>66.666666669999998</v>
      </c>
      <c r="AA51" t="s">
        <v>66</v>
      </c>
      <c r="AB51" t="s">
        <v>66</v>
      </c>
      <c r="AC51" t="s">
        <v>66</v>
      </c>
      <c r="AD51" t="s">
        <v>66</v>
      </c>
      <c r="AE51">
        <v>17</v>
      </c>
      <c r="AF51">
        <v>22</v>
      </c>
      <c r="AG51" t="s">
        <v>66</v>
      </c>
      <c r="AH51">
        <v>14</v>
      </c>
      <c r="AI51">
        <v>13</v>
      </c>
      <c r="AJ51" t="s">
        <v>66</v>
      </c>
      <c r="AK51">
        <v>6</v>
      </c>
      <c r="AL51">
        <v>10</v>
      </c>
      <c r="AM51">
        <v>10</v>
      </c>
      <c r="AN51">
        <v>11.5</v>
      </c>
      <c r="AO51">
        <v>15</v>
      </c>
      <c r="AP51">
        <v>29.41176471</v>
      </c>
      <c r="AQ51">
        <v>1.7</v>
      </c>
      <c r="AR51">
        <v>1.9130434780000001</v>
      </c>
      <c r="AS51">
        <v>0.21304347800000001</v>
      </c>
      <c r="AT51">
        <v>0</v>
      </c>
      <c r="AU51" t="s">
        <v>66</v>
      </c>
      <c r="AV51">
        <v>2</v>
      </c>
      <c r="AW51">
        <v>2</v>
      </c>
      <c r="AX51">
        <v>0</v>
      </c>
      <c r="AY51">
        <v>1</v>
      </c>
      <c r="AZ51">
        <v>1</v>
      </c>
      <c r="BA51">
        <v>1</v>
      </c>
      <c r="BB51" t="s">
        <v>66</v>
      </c>
      <c r="BC51">
        <v>27.9</v>
      </c>
      <c r="BD51">
        <v>38</v>
      </c>
      <c r="BE51">
        <v>36.200716849999999</v>
      </c>
      <c r="BF51">
        <v>0</v>
      </c>
      <c r="BG51">
        <v>26.6</v>
      </c>
      <c r="BH51">
        <v>-4.6594982079999996</v>
      </c>
      <c r="BI51">
        <v>46</v>
      </c>
      <c r="BJ51">
        <v>5.9</v>
      </c>
      <c r="BK51" t="s">
        <v>66</v>
      </c>
      <c r="BL51">
        <f>46-27</f>
        <v>19</v>
      </c>
      <c r="BM51">
        <v>9</v>
      </c>
      <c r="BN51">
        <v>5</v>
      </c>
      <c r="BO51">
        <f t="shared" si="5"/>
        <v>7</v>
      </c>
      <c r="BP51">
        <v>4</v>
      </c>
      <c r="BQ51">
        <v>1</v>
      </c>
      <c r="BS51">
        <v>0</v>
      </c>
      <c r="BT51">
        <f t="shared" si="6"/>
        <v>34.782608695652172</v>
      </c>
      <c r="BU51">
        <f t="shared" si="7"/>
        <v>49.152542372881356</v>
      </c>
      <c r="BV51">
        <f t="shared" si="8"/>
        <v>10.526315789473683</v>
      </c>
      <c r="BW51">
        <f t="shared" si="9"/>
        <v>-42.857142857142854</v>
      </c>
    </row>
    <row r="52" spans="1:75" x14ac:dyDescent="0.2">
      <c r="A52" t="s">
        <v>213</v>
      </c>
      <c r="B52" t="s">
        <v>214</v>
      </c>
      <c r="C52" t="s">
        <v>62</v>
      </c>
      <c r="D52" t="s">
        <v>63</v>
      </c>
      <c r="E52" t="s">
        <v>79</v>
      </c>
      <c r="F52" t="s">
        <v>222</v>
      </c>
      <c r="G52">
        <v>5</v>
      </c>
      <c r="H52">
        <v>6.75</v>
      </c>
      <c r="I52">
        <v>12.5</v>
      </c>
      <c r="J52">
        <v>15.2</v>
      </c>
      <c r="K52">
        <v>39.450000000000003</v>
      </c>
      <c r="L52">
        <v>3.85</v>
      </c>
      <c r="M52">
        <v>11</v>
      </c>
      <c r="N52">
        <v>30</v>
      </c>
      <c r="O52">
        <v>19</v>
      </c>
      <c r="P52">
        <v>29</v>
      </c>
      <c r="Q52">
        <v>18</v>
      </c>
      <c r="R52">
        <v>9</v>
      </c>
      <c r="S52">
        <v>65.099999999999994</v>
      </c>
      <c r="T52">
        <v>163.63636360000001</v>
      </c>
      <c r="U52">
        <v>-3.3333333330000001</v>
      </c>
      <c r="V52">
        <v>3</v>
      </c>
      <c r="W52">
        <v>3</v>
      </c>
      <c r="X52">
        <v>4</v>
      </c>
      <c r="Y52">
        <v>1</v>
      </c>
      <c r="Z52">
        <v>33.333333330000002</v>
      </c>
      <c r="AA52" t="s">
        <v>66</v>
      </c>
      <c r="AB52" t="s">
        <v>66</v>
      </c>
      <c r="AC52" t="s">
        <v>66</v>
      </c>
      <c r="AD52" t="s">
        <v>66</v>
      </c>
      <c r="AE52">
        <v>9</v>
      </c>
      <c r="AF52">
        <v>13</v>
      </c>
      <c r="AG52" t="s">
        <v>66</v>
      </c>
      <c r="AH52">
        <v>6</v>
      </c>
      <c r="AI52">
        <v>8</v>
      </c>
      <c r="AJ52" t="s">
        <v>66</v>
      </c>
      <c r="AK52">
        <v>4</v>
      </c>
      <c r="AL52">
        <v>8</v>
      </c>
      <c r="AM52">
        <v>5</v>
      </c>
      <c r="AN52">
        <v>8</v>
      </c>
      <c r="AO52">
        <v>60</v>
      </c>
      <c r="AP52">
        <v>44.444444439999998</v>
      </c>
      <c r="AQ52">
        <v>1.8</v>
      </c>
      <c r="AR52">
        <v>1.625</v>
      </c>
      <c r="AS52">
        <v>-0.17499999999999999</v>
      </c>
      <c r="AT52">
        <v>0</v>
      </c>
      <c r="AU52" t="s">
        <v>66</v>
      </c>
      <c r="AV52">
        <v>3</v>
      </c>
      <c r="AW52">
        <v>2</v>
      </c>
      <c r="AX52">
        <v>0</v>
      </c>
      <c r="AY52">
        <v>1</v>
      </c>
      <c r="AZ52">
        <v>1</v>
      </c>
      <c r="BA52">
        <v>1</v>
      </c>
      <c r="BB52" t="s">
        <v>66</v>
      </c>
      <c r="BC52">
        <v>17.399999999999999</v>
      </c>
      <c r="BD52">
        <v>36.200000000000003</v>
      </c>
      <c r="BE52">
        <v>108.04597699999999</v>
      </c>
      <c r="BF52">
        <v>0</v>
      </c>
      <c r="BG52">
        <v>25.34</v>
      </c>
      <c r="BH52">
        <v>45.632183910000002</v>
      </c>
      <c r="BI52">
        <v>33</v>
      </c>
      <c r="BJ52">
        <v>3.8</v>
      </c>
      <c r="BK52" t="s">
        <v>66</v>
      </c>
      <c r="BL52">
        <v>13</v>
      </c>
      <c r="BM52">
        <v>9</v>
      </c>
      <c r="BN52">
        <v>3</v>
      </c>
      <c r="BO52">
        <f t="shared" si="5"/>
        <v>6</v>
      </c>
      <c r="BP52">
        <v>4</v>
      </c>
      <c r="BQ52">
        <v>1</v>
      </c>
      <c r="BS52">
        <v>0</v>
      </c>
      <c r="BT52">
        <f t="shared" si="6"/>
        <v>66.666666666666657</v>
      </c>
      <c r="BU52">
        <f t="shared" si="7"/>
        <v>21.052631578947363</v>
      </c>
      <c r="BV52">
        <f t="shared" si="8"/>
        <v>30.76923076923077</v>
      </c>
      <c r="BW52">
        <f t="shared" si="9"/>
        <v>16.666666666666664</v>
      </c>
    </row>
    <row r="53" spans="1:75" x14ac:dyDescent="0.2">
      <c r="A53" t="s">
        <v>213</v>
      </c>
      <c r="B53" t="s">
        <v>214</v>
      </c>
      <c r="C53" t="s">
        <v>62</v>
      </c>
      <c r="D53" t="s">
        <v>63</v>
      </c>
      <c r="E53" t="s">
        <v>87</v>
      </c>
      <c r="F53" t="s">
        <v>226</v>
      </c>
      <c r="G53">
        <v>5</v>
      </c>
      <c r="H53">
        <v>6.75</v>
      </c>
      <c r="I53">
        <v>12.5</v>
      </c>
      <c r="J53">
        <v>15.2</v>
      </c>
      <c r="K53">
        <v>39.450000000000003</v>
      </c>
      <c r="L53">
        <v>3.85</v>
      </c>
      <c r="M53">
        <v>52</v>
      </c>
      <c r="N53">
        <v>53</v>
      </c>
      <c r="O53">
        <v>1</v>
      </c>
      <c r="P53">
        <v>55</v>
      </c>
      <c r="Q53">
        <v>3</v>
      </c>
      <c r="R53">
        <v>1.5</v>
      </c>
      <c r="S53">
        <v>50.1</v>
      </c>
      <c r="T53">
        <v>5.769230769</v>
      </c>
      <c r="U53">
        <v>3.773584906</v>
      </c>
      <c r="V53">
        <v>4</v>
      </c>
      <c r="W53">
        <v>6</v>
      </c>
      <c r="X53">
        <v>7</v>
      </c>
      <c r="Y53">
        <v>3</v>
      </c>
      <c r="Z53">
        <v>75</v>
      </c>
      <c r="AA53" t="s">
        <v>66</v>
      </c>
      <c r="AB53" t="s">
        <v>66</v>
      </c>
      <c r="AC53" t="s">
        <v>66</v>
      </c>
      <c r="AD53" t="s">
        <v>66</v>
      </c>
      <c r="AE53">
        <v>28</v>
      </c>
      <c r="AF53">
        <v>18</v>
      </c>
      <c r="AG53" t="s">
        <v>66</v>
      </c>
      <c r="AH53">
        <v>16</v>
      </c>
      <c r="AI53">
        <v>15</v>
      </c>
      <c r="AJ53" t="s">
        <v>66</v>
      </c>
      <c r="AK53">
        <v>12</v>
      </c>
      <c r="AL53">
        <v>11</v>
      </c>
      <c r="AM53">
        <v>14</v>
      </c>
      <c r="AN53">
        <v>13</v>
      </c>
      <c r="AO53">
        <v>-7.1428571429999996</v>
      </c>
      <c r="AP53">
        <v>-35.714285709999999</v>
      </c>
      <c r="AQ53">
        <v>2</v>
      </c>
      <c r="AR53">
        <v>1.384615385</v>
      </c>
      <c r="AS53">
        <v>-0.61538461499999997</v>
      </c>
      <c r="AT53">
        <v>0</v>
      </c>
      <c r="AU53" t="s">
        <v>66</v>
      </c>
      <c r="AV53">
        <v>1</v>
      </c>
      <c r="AW53">
        <v>1</v>
      </c>
      <c r="AX53">
        <v>0</v>
      </c>
      <c r="AY53">
        <v>1</v>
      </c>
      <c r="AZ53">
        <v>1</v>
      </c>
      <c r="BA53">
        <v>1</v>
      </c>
      <c r="BB53" t="s">
        <v>66</v>
      </c>
      <c r="BC53">
        <v>27.2</v>
      </c>
      <c r="BD53">
        <v>41.4</v>
      </c>
      <c r="BE53">
        <v>52.205882350000003</v>
      </c>
      <c r="BF53">
        <v>0</v>
      </c>
      <c r="BG53">
        <v>28.98</v>
      </c>
      <c r="BH53">
        <v>6.5441176470000002</v>
      </c>
      <c r="BI53">
        <v>120</v>
      </c>
      <c r="BJ53">
        <v>7.8</v>
      </c>
      <c r="BK53" t="s">
        <v>66</v>
      </c>
      <c r="BL53">
        <f>120-46</f>
        <v>74</v>
      </c>
      <c r="BM53">
        <v>30</v>
      </c>
      <c r="BN53">
        <v>26</v>
      </c>
      <c r="BO53">
        <f t="shared" si="5"/>
        <v>28</v>
      </c>
      <c r="BP53">
        <v>3</v>
      </c>
      <c r="BQ53">
        <v>1</v>
      </c>
      <c r="BS53">
        <v>0</v>
      </c>
      <c r="BT53">
        <f t="shared" si="6"/>
        <v>56.666666666666664</v>
      </c>
      <c r="BU53">
        <f t="shared" si="7"/>
        <v>48.717948717948715</v>
      </c>
      <c r="BV53">
        <f t="shared" si="8"/>
        <v>62.162162162162161</v>
      </c>
      <c r="BW53">
        <f t="shared" si="9"/>
        <v>50</v>
      </c>
    </row>
    <row r="54" spans="1:75" x14ac:dyDescent="0.2">
      <c r="A54" t="s">
        <v>213</v>
      </c>
      <c r="B54" t="s">
        <v>214</v>
      </c>
      <c r="C54" t="s">
        <v>62</v>
      </c>
      <c r="D54" t="s">
        <v>63</v>
      </c>
      <c r="E54" t="s">
        <v>89</v>
      </c>
      <c r="F54" t="s">
        <v>227</v>
      </c>
      <c r="G54">
        <v>5</v>
      </c>
      <c r="H54">
        <v>6.75</v>
      </c>
      <c r="I54">
        <v>12.5</v>
      </c>
      <c r="J54">
        <v>15.2</v>
      </c>
      <c r="K54">
        <v>39.450000000000003</v>
      </c>
      <c r="L54">
        <v>3.85</v>
      </c>
      <c r="M54">
        <v>55</v>
      </c>
      <c r="N54">
        <v>58</v>
      </c>
      <c r="O54">
        <v>3</v>
      </c>
      <c r="P54">
        <v>66</v>
      </c>
      <c r="Q54">
        <v>11</v>
      </c>
      <c r="R54">
        <v>5.5</v>
      </c>
      <c r="S54">
        <v>58.1</v>
      </c>
      <c r="T54">
        <v>20</v>
      </c>
      <c r="U54">
        <v>13.79310345</v>
      </c>
      <c r="V54">
        <v>3</v>
      </c>
      <c r="W54">
        <v>4</v>
      </c>
      <c r="X54">
        <v>6</v>
      </c>
      <c r="Y54">
        <v>3</v>
      </c>
      <c r="Z54">
        <v>100</v>
      </c>
      <c r="AA54" t="s">
        <v>66</v>
      </c>
      <c r="AB54" t="s">
        <v>66</v>
      </c>
      <c r="AC54" t="s">
        <v>66</v>
      </c>
      <c r="AD54" t="s">
        <v>66</v>
      </c>
      <c r="AE54">
        <v>21</v>
      </c>
      <c r="AF54">
        <v>26</v>
      </c>
      <c r="AG54" t="s">
        <v>66</v>
      </c>
      <c r="AH54">
        <v>8</v>
      </c>
      <c r="AI54">
        <v>12</v>
      </c>
      <c r="AJ54" t="s">
        <v>66</v>
      </c>
      <c r="AK54">
        <v>7</v>
      </c>
      <c r="AL54">
        <v>10</v>
      </c>
      <c r="AM54">
        <v>7.5</v>
      </c>
      <c r="AN54">
        <v>11</v>
      </c>
      <c r="AO54">
        <v>46.666666669999998</v>
      </c>
      <c r="AP54">
        <v>23.809523810000002</v>
      </c>
      <c r="AQ54">
        <v>2.8</v>
      </c>
      <c r="AR54">
        <v>2.363636364</v>
      </c>
      <c r="AS54">
        <v>-0.436363636</v>
      </c>
      <c r="AT54">
        <v>0</v>
      </c>
      <c r="AU54" t="s">
        <v>66</v>
      </c>
      <c r="AV54">
        <v>2</v>
      </c>
      <c r="AW54">
        <v>1</v>
      </c>
      <c r="AX54">
        <v>0</v>
      </c>
      <c r="AY54">
        <v>1</v>
      </c>
      <c r="AZ54">
        <v>1</v>
      </c>
      <c r="BA54">
        <v>1</v>
      </c>
      <c r="BB54" t="s">
        <v>66</v>
      </c>
      <c r="BC54">
        <v>31.1</v>
      </c>
      <c r="BD54">
        <v>43.6</v>
      </c>
      <c r="BE54">
        <v>40.192926049999997</v>
      </c>
      <c r="BF54">
        <v>0</v>
      </c>
      <c r="BG54">
        <v>30.52</v>
      </c>
      <c r="BH54">
        <v>-1.8649517680000001</v>
      </c>
      <c r="BI54">
        <v>64</v>
      </c>
      <c r="BJ54">
        <v>5.6</v>
      </c>
      <c r="BK54" t="s">
        <v>66</v>
      </c>
      <c r="BL54">
        <f>64-42</f>
        <v>22</v>
      </c>
      <c r="BM54">
        <v>14</v>
      </c>
      <c r="BN54">
        <v>8</v>
      </c>
      <c r="BO54">
        <f t="shared" si="5"/>
        <v>11</v>
      </c>
      <c r="BP54">
        <v>4</v>
      </c>
      <c r="BQ54">
        <v>1</v>
      </c>
      <c r="BS54">
        <v>0</v>
      </c>
      <c r="BT54">
        <f t="shared" si="6"/>
        <v>14.0625</v>
      </c>
      <c r="BU54">
        <f t="shared" si="7"/>
        <v>46.428571428571423</v>
      </c>
      <c r="BV54">
        <f t="shared" si="8"/>
        <v>4.5454545454545459</v>
      </c>
      <c r="BW54">
        <f t="shared" si="9"/>
        <v>31.818181818181817</v>
      </c>
    </row>
    <row r="55" spans="1:75" x14ac:dyDescent="0.2">
      <c r="A55" t="s">
        <v>213</v>
      </c>
      <c r="B55" t="s">
        <v>214</v>
      </c>
      <c r="C55" t="s">
        <v>62</v>
      </c>
      <c r="D55" t="s">
        <v>63</v>
      </c>
      <c r="E55" t="s">
        <v>91</v>
      </c>
      <c r="F55" t="s">
        <v>228</v>
      </c>
      <c r="G55">
        <v>5</v>
      </c>
      <c r="H55">
        <v>6.75</v>
      </c>
      <c r="I55">
        <v>12.5</v>
      </c>
      <c r="J55">
        <v>15.2</v>
      </c>
      <c r="K55">
        <v>39.450000000000003</v>
      </c>
      <c r="L55">
        <v>3.85</v>
      </c>
      <c r="M55">
        <v>25</v>
      </c>
      <c r="N55">
        <v>13</v>
      </c>
      <c r="O55">
        <v>-12</v>
      </c>
      <c r="P55">
        <v>15</v>
      </c>
      <c r="Q55">
        <v>-10</v>
      </c>
      <c r="R55">
        <v>-5</v>
      </c>
      <c r="S55">
        <v>37.1</v>
      </c>
      <c r="T55">
        <v>-40</v>
      </c>
      <c r="U55">
        <v>15.38461538</v>
      </c>
      <c r="V55">
        <v>3</v>
      </c>
      <c r="W55">
        <v>4</v>
      </c>
      <c r="X55">
        <v>3</v>
      </c>
      <c r="Y55">
        <v>0</v>
      </c>
      <c r="Z55">
        <v>0</v>
      </c>
      <c r="AA55" t="s">
        <v>66</v>
      </c>
      <c r="AB55" t="s">
        <v>66</v>
      </c>
      <c r="AC55" t="s">
        <v>66</v>
      </c>
      <c r="AD55" t="s">
        <v>66</v>
      </c>
      <c r="AE55">
        <v>10</v>
      </c>
      <c r="AF55">
        <v>5</v>
      </c>
      <c r="AG55" t="s">
        <v>66</v>
      </c>
      <c r="AH55">
        <v>5</v>
      </c>
      <c r="AI55">
        <v>4</v>
      </c>
      <c r="AJ55" t="s">
        <v>66</v>
      </c>
      <c r="AK55">
        <v>4</v>
      </c>
      <c r="AL55">
        <v>4</v>
      </c>
      <c r="AM55">
        <v>4.5</v>
      </c>
      <c r="AN55">
        <v>4</v>
      </c>
      <c r="AO55">
        <v>-11.11111111</v>
      </c>
      <c r="AP55">
        <v>-50</v>
      </c>
      <c r="AQ55">
        <v>2.2222222220000001</v>
      </c>
      <c r="AR55">
        <v>1.25</v>
      </c>
      <c r="AS55">
        <v>-0.97222222199999997</v>
      </c>
      <c r="AT55">
        <v>0</v>
      </c>
      <c r="AU55" t="s">
        <v>66</v>
      </c>
      <c r="AV55">
        <v>1</v>
      </c>
      <c r="AW55">
        <v>1</v>
      </c>
      <c r="AX55">
        <v>0</v>
      </c>
      <c r="AY55">
        <v>1</v>
      </c>
      <c r="AZ55">
        <v>1</v>
      </c>
      <c r="BA55">
        <v>1</v>
      </c>
      <c r="BB55" t="s">
        <v>66</v>
      </c>
      <c r="BC55">
        <v>18.5</v>
      </c>
      <c r="BD55">
        <v>26.9</v>
      </c>
      <c r="BE55">
        <v>45.40540541</v>
      </c>
      <c r="BF55">
        <v>0</v>
      </c>
      <c r="BG55">
        <v>18.829999999999998</v>
      </c>
      <c r="BH55">
        <v>1.7837837839999999</v>
      </c>
      <c r="BI55">
        <v>15</v>
      </c>
      <c r="BJ55">
        <v>3.5</v>
      </c>
      <c r="BK55" t="s">
        <v>66</v>
      </c>
      <c r="BL55">
        <f>15-7</f>
        <v>8</v>
      </c>
      <c r="BM55">
        <v>9</v>
      </c>
      <c r="BN55">
        <v>6</v>
      </c>
      <c r="BO55">
        <f t="shared" si="5"/>
        <v>7.5</v>
      </c>
      <c r="BP55">
        <v>3</v>
      </c>
      <c r="BQ55">
        <v>1</v>
      </c>
      <c r="BS55">
        <v>0</v>
      </c>
      <c r="BT55">
        <f t="shared" si="6"/>
        <v>-66.666666666666657</v>
      </c>
      <c r="BU55">
        <f t="shared" si="7"/>
        <v>14.285714285714285</v>
      </c>
      <c r="BV55">
        <f t="shared" si="8"/>
        <v>-25</v>
      </c>
      <c r="BW55">
        <f t="shared" si="9"/>
        <v>40</v>
      </c>
    </row>
    <row r="56" spans="1:75" x14ac:dyDescent="0.2">
      <c r="A56" t="s">
        <v>213</v>
      </c>
      <c r="B56" t="s">
        <v>214</v>
      </c>
      <c r="C56" t="s">
        <v>62</v>
      </c>
      <c r="D56" t="s">
        <v>63</v>
      </c>
      <c r="E56" t="s">
        <v>95</v>
      </c>
      <c r="F56" t="s">
        <v>230</v>
      </c>
      <c r="G56">
        <v>5</v>
      </c>
      <c r="H56">
        <v>6.75</v>
      </c>
      <c r="I56">
        <v>12.5</v>
      </c>
      <c r="J56">
        <v>15.2</v>
      </c>
      <c r="K56">
        <v>39.450000000000003</v>
      </c>
      <c r="L56">
        <v>3.85</v>
      </c>
      <c r="M56">
        <v>31</v>
      </c>
      <c r="N56">
        <v>42</v>
      </c>
      <c r="O56">
        <v>11</v>
      </c>
      <c r="P56">
        <v>44</v>
      </c>
      <c r="Q56">
        <v>13</v>
      </c>
      <c r="R56">
        <v>6.5</v>
      </c>
      <c r="S56">
        <v>60.1</v>
      </c>
      <c r="T56">
        <v>41.935483869999999</v>
      </c>
      <c r="U56">
        <v>4.7619047620000003</v>
      </c>
      <c r="V56">
        <v>3</v>
      </c>
      <c r="W56">
        <v>6</v>
      </c>
      <c r="X56">
        <v>5</v>
      </c>
      <c r="Y56">
        <v>2</v>
      </c>
      <c r="Z56">
        <v>66.666666669999998</v>
      </c>
      <c r="AA56" t="s">
        <v>66</v>
      </c>
      <c r="AB56" t="s">
        <v>66</v>
      </c>
      <c r="AC56" t="s">
        <v>66</v>
      </c>
      <c r="AD56" t="s">
        <v>66</v>
      </c>
      <c r="AE56">
        <v>13</v>
      </c>
      <c r="AF56">
        <v>18</v>
      </c>
      <c r="AG56" t="s">
        <v>66</v>
      </c>
      <c r="AH56">
        <v>12</v>
      </c>
      <c r="AI56">
        <v>12</v>
      </c>
      <c r="AJ56" t="s">
        <v>66</v>
      </c>
      <c r="AK56">
        <v>9</v>
      </c>
      <c r="AL56">
        <v>8</v>
      </c>
      <c r="AM56">
        <v>10.5</v>
      </c>
      <c r="AN56">
        <v>10</v>
      </c>
      <c r="AO56">
        <v>-4.7619047620000003</v>
      </c>
      <c r="AP56">
        <v>38.46153846</v>
      </c>
      <c r="AQ56">
        <v>1.2380952380000001</v>
      </c>
      <c r="AR56">
        <v>1.8</v>
      </c>
      <c r="AS56">
        <v>0.56190476199999995</v>
      </c>
      <c r="AT56">
        <v>0</v>
      </c>
      <c r="AU56" t="s">
        <v>66</v>
      </c>
      <c r="AV56">
        <v>1</v>
      </c>
      <c r="AW56">
        <v>1</v>
      </c>
      <c r="AX56">
        <v>0</v>
      </c>
      <c r="AY56">
        <v>1</v>
      </c>
      <c r="AZ56">
        <v>1</v>
      </c>
      <c r="BA56">
        <v>1</v>
      </c>
      <c r="BB56" t="s">
        <v>66</v>
      </c>
      <c r="BC56">
        <v>25.2</v>
      </c>
      <c r="BD56">
        <v>36.6</v>
      </c>
      <c r="BE56">
        <v>45.23809524</v>
      </c>
      <c r="BF56">
        <v>0</v>
      </c>
      <c r="BG56">
        <v>25.62</v>
      </c>
      <c r="BH56">
        <v>1.6666666670000001</v>
      </c>
      <c r="BI56">
        <v>52</v>
      </c>
      <c r="BJ56">
        <v>5.8</v>
      </c>
      <c r="BK56" t="s">
        <v>66</v>
      </c>
      <c r="BL56">
        <v>22</v>
      </c>
      <c r="BM56">
        <v>16</v>
      </c>
      <c r="BN56">
        <v>12</v>
      </c>
      <c r="BO56">
        <f t="shared" si="5"/>
        <v>14</v>
      </c>
      <c r="BP56">
        <v>3</v>
      </c>
      <c r="BQ56">
        <v>1</v>
      </c>
      <c r="BS56">
        <v>0</v>
      </c>
      <c r="BT56">
        <f t="shared" si="6"/>
        <v>40.384615384615387</v>
      </c>
      <c r="BU56">
        <f t="shared" si="7"/>
        <v>48.275862068965516</v>
      </c>
      <c r="BV56">
        <f t="shared" si="8"/>
        <v>40.909090909090914</v>
      </c>
      <c r="BW56">
        <f t="shared" si="9"/>
        <v>25</v>
      </c>
    </row>
    <row r="57" spans="1:75" x14ac:dyDescent="0.2">
      <c r="A57" t="s">
        <v>213</v>
      </c>
      <c r="B57" t="s">
        <v>214</v>
      </c>
      <c r="C57" t="s">
        <v>62</v>
      </c>
      <c r="D57" t="s">
        <v>63</v>
      </c>
      <c r="E57" t="s">
        <v>99</v>
      </c>
      <c r="F57" t="s">
        <v>232</v>
      </c>
      <c r="G57">
        <v>5</v>
      </c>
      <c r="H57">
        <v>6.75</v>
      </c>
      <c r="I57">
        <v>12.5</v>
      </c>
      <c r="J57">
        <v>15.2</v>
      </c>
      <c r="K57">
        <v>39.450000000000003</v>
      </c>
      <c r="L57">
        <v>3.85</v>
      </c>
      <c r="M57">
        <v>16</v>
      </c>
      <c r="N57">
        <v>13</v>
      </c>
      <c r="O57">
        <v>-3</v>
      </c>
      <c r="P57">
        <v>11</v>
      </c>
      <c r="Q57">
        <v>-5</v>
      </c>
      <c r="R57">
        <v>-2.5</v>
      </c>
      <c r="S57">
        <v>42.1</v>
      </c>
      <c r="T57">
        <v>-31.25</v>
      </c>
      <c r="U57">
        <v>-15.38461538</v>
      </c>
      <c r="V57">
        <v>2</v>
      </c>
      <c r="W57">
        <v>2</v>
      </c>
      <c r="X57">
        <v>4</v>
      </c>
      <c r="Y57">
        <v>2</v>
      </c>
      <c r="Z57">
        <v>100</v>
      </c>
      <c r="AA57" t="s">
        <v>66</v>
      </c>
      <c r="AB57" t="s">
        <v>66</v>
      </c>
      <c r="AC57" t="s">
        <v>66</v>
      </c>
      <c r="AD57" t="s">
        <v>66</v>
      </c>
      <c r="AE57">
        <v>12</v>
      </c>
      <c r="AF57">
        <v>4</v>
      </c>
      <c r="AG57" t="s">
        <v>66</v>
      </c>
      <c r="AH57">
        <v>8</v>
      </c>
      <c r="AI57">
        <v>6</v>
      </c>
      <c r="AJ57" t="s">
        <v>66</v>
      </c>
      <c r="AK57">
        <v>5</v>
      </c>
      <c r="AL57">
        <v>3</v>
      </c>
      <c r="AM57">
        <v>6.5</v>
      </c>
      <c r="AN57">
        <v>4.5</v>
      </c>
      <c r="AO57">
        <v>-30.76923077</v>
      </c>
      <c r="AP57">
        <v>-66.666666669999998</v>
      </c>
      <c r="AQ57">
        <v>1.846153846</v>
      </c>
      <c r="AR57">
        <v>0.88888888899999996</v>
      </c>
      <c r="AS57">
        <v>-0.95726495700000003</v>
      </c>
      <c r="AT57">
        <v>0</v>
      </c>
      <c r="AU57" t="s">
        <v>66</v>
      </c>
      <c r="AV57">
        <v>1</v>
      </c>
      <c r="AW57">
        <v>1</v>
      </c>
      <c r="AX57">
        <v>0</v>
      </c>
      <c r="AY57">
        <v>1</v>
      </c>
      <c r="AZ57">
        <v>1</v>
      </c>
      <c r="BA57">
        <v>1</v>
      </c>
      <c r="BB57" t="s">
        <v>66</v>
      </c>
      <c r="BC57">
        <v>27.625</v>
      </c>
      <c r="BD57">
        <v>14.5</v>
      </c>
      <c r="BE57">
        <v>-47.511312220000001</v>
      </c>
      <c r="BF57">
        <v>0</v>
      </c>
      <c r="BG57">
        <v>10.15</v>
      </c>
      <c r="BH57">
        <v>-63.257918549999999</v>
      </c>
      <c r="BI57">
        <v>10</v>
      </c>
      <c r="BJ57">
        <v>3.8</v>
      </c>
      <c r="BK57" t="s">
        <v>66</v>
      </c>
      <c r="BL57">
        <v>4</v>
      </c>
      <c r="BM57">
        <v>6</v>
      </c>
      <c r="BN57">
        <v>5</v>
      </c>
      <c r="BO57">
        <f t="shared" si="5"/>
        <v>5.5</v>
      </c>
      <c r="BP57">
        <v>4</v>
      </c>
      <c r="BQ57">
        <v>1</v>
      </c>
      <c r="BS57">
        <v>0</v>
      </c>
      <c r="BT57">
        <f t="shared" si="6"/>
        <v>-60</v>
      </c>
      <c r="BU57">
        <f t="shared" si="7"/>
        <v>47.368421052631575</v>
      </c>
      <c r="BV57">
        <f t="shared" si="8"/>
        <v>-200</v>
      </c>
      <c r="BW57">
        <f t="shared" si="9"/>
        <v>-18.181818181818183</v>
      </c>
    </row>
    <row r="58" spans="1:75" x14ac:dyDescent="0.2">
      <c r="A58" t="s">
        <v>213</v>
      </c>
      <c r="B58" t="s">
        <v>214</v>
      </c>
      <c r="C58" t="s">
        <v>62</v>
      </c>
      <c r="D58" t="s">
        <v>63</v>
      </c>
      <c r="E58" t="s">
        <v>101</v>
      </c>
      <c r="F58" t="s">
        <v>233</v>
      </c>
      <c r="G58">
        <v>5</v>
      </c>
      <c r="H58">
        <v>6.75</v>
      </c>
      <c r="I58">
        <v>12.5</v>
      </c>
      <c r="J58">
        <v>15.2</v>
      </c>
      <c r="K58">
        <v>39.450000000000003</v>
      </c>
      <c r="L58">
        <v>3.85</v>
      </c>
      <c r="M58">
        <v>43</v>
      </c>
      <c r="N58">
        <v>69</v>
      </c>
      <c r="O58">
        <v>26</v>
      </c>
      <c r="P58">
        <v>73</v>
      </c>
      <c r="Q58">
        <v>30</v>
      </c>
      <c r="R58">
        <v>15</v>
      </c>
      <c r="S58">
        <v>77.099999999999994</v>
      </c>
      <c r="T58">
        <v>69.767441860000005</v>
      </c>
      <c r="U58">
        <v>5.7971014490000004</v>
      </c>
      <c r="V58">
        <v>4</v>
      </c>
      <c r="W58">
        <v>7</v>
      </c>
      <c r="X58">
        <v>8</v>
      </c>
      <c r="Y58">
        <v>4</v>
      </c>
      <c r="Z58">
        <v>100</v>
      </c>
      <c r="AA58" t="s">
        <v>66</v>
      </c>
      <c r="AB58" t="s">
        <v>66</v>
      </c>
      <c r="AC58" t="s">
        <v>66</v>
      </c>
      <c r="AD58" t="s">
        <v>66</v>
      </c>
      <c r="AE58">
        <v>47</v>
      </c>
      <c r="AF58">
        <v>42</v>
      </c>
      <c r="AG58" t="s">
        <v>66</v>
      </c>
      <c r="AH58">
        <v>22</v>
      </c>
      <c r="AI58">
        <v>15</v>
      </c>
      <c r="AJ58" t="s">
        <v>66</v>
      </c>
      <c r="AK58">
        <v>13</v>
      </c>
      <c r="AL58">
        <v>12</v>
      </c>
      <c r="AM58">
        <v>17.5</v>
      </c>
      <c r="AN58">
        <v>13.5</v>
      </c>
      <c r="AO58">
        <v>-22.85714286</v>
      </c>
      <c r="AP58">
        <v>-10.638297870000001</v>
      </c>
      <c r="AQ58">
        <v>2.6857142860000001</v>
      </c>
      <c r="AR58">
        <v>3.111111111</v>
      </c>
      <c r="AS58">
        <v>0.42539682499999998</v>
      </c>
      <c r="AT58">
        <v>0</v>
      </c>
      <c r="AU58" t="s">
        <v>66</v>
      </c>
      <c r="AV58">
        <v>1</v>
      </c>
      <c r="AW58">
        <v>2</v>
      </c>
      <c r="AX58">
        <v>0</v>
      </c>
      <c r="AY58">
        <v>1</v>
      </c>
      <c r="AZ58">
        <v>1</v>
      </c>
      <c r="BA58">
        <v>1</v>
      </c>
      <c r="BB58" t="s">
        <v>66</v>
      </c>
      <c r="BC58">
        <v>34</v>
      </c>
      <c r="BD58">
        <v>49.1</v>
      </c>
      <c r="BE58">
        <v>44.41176471</v>
      </c>
      <c r="BF58">
        <v>0</v>
      </c>
      <c r="BG58">
        <v>34.369999999999997</v>
      </c>
      <c r="BH58">
        <v>1.088235294</v>
      </c>
      <c r="BI58">
        <v>82</v>
      </c>
      <c r="BJ58">
        <v>8.5</v>
      </c>
      <c r="BK58" t="s">
        <v>66</v>
      </c>
      <c r="BL58">
        <v>42</v>
      </c>
      <c r="BM58">
        <v>12</v>
      </c>
      <c r="BN58">
        <v>15</v>
      </c>
      <c r="BO58">
        <f t="shared" si="5"/>
        <v>13.5</v>
      </c>
      <c r="BP58">
        <v>4</v>
      </c>
      <c r="BQ58">
        <v>1</v>
      </c>
      <c r="BS58">
        <v>0</v>
      </c>
      <c r="BT58">
        <f t="shared" si="6"/>
        <v>47.560975609756099</v>
      </c>
      <c r="BU58">
        <f t="shared" si="7"/>
        <v>52.941176470588239</v>
      </c>
      <c r="BV58">
        <f t="shared" si="8"/>
        <v>-11.904761904761903</v>
      </c>
      <c r="BW58">
        <f t="shared" si="9"/>
        <v>-29.629629629629626</v>
      </c>
    </row>
    <row r="59" spans="1:75" x14ac:dyDescent="0.2">
      <c r="A59" t="s">
        <v>213</v>
      </c>
      <c r="B59" t="s">
        <v>214</v>
      </c>
      <c r="C59" t="s">
        <v>62</v>
      </c>
      <c r="D59" t="s">
        <v>63</v>
      </c>
      <c r="E59" t="s">
        <v>103</v>
      </c>
      <c r="F59" t="s">
        <v>234</v>
      </c>
      <c r="G59">
        <v>5</v>
      </c>
      <c r="H59">
        <v>6.75</v>
      </c>
      <c r="I59">
        <v>12.5</v>
      </c>
      <c r="J59">
        <v>15.2</v>
      </c>
      <c r="K59">
        <v>39.450000000000003</v>
      </c>
      <c r="L59">
        <v>3.85</v>
      </c>
      <c r="M59">
        <v>31</v>
      </c>
      <c r="N59">
        <v>37</v>
      </c>
      <c r="O59">
        <v>6</v>
      </c>
      <c r="P59">
        <v>36</v>
      </c>
      <c r="Q59">
        <v>5</v>
      </c>
      <c r="R59">
        <v>2.5</v>
      </c>
      <c r="S59">
        <v>52.1</v>
      </c>
      <c r="T59">
        <v>16.129032259999999</v>
      </c>
      <c r="U59">
        <v>-2.7027027029999999</v>
      </c>
      <c r="V59">
        <v>2</v>
      </c>
      <c r="W59">
        <v>4</v>
      </c>
      <c r="X59">
        <v>5</v>
      </c>
      <c r="Y59">
        <v>3</v>
      </c>
      <c r="Z59">
        <v>150</v>
      </c>
      <c r="AA59" t="s">
        <v>66</v>
      </c>
      <c r="AB59" t="s">
        <v>66</v>
      </c>
      <c r="AC59" t="s">
        <v>66</v>
      </c>
      <c r="AD59" t="s">
        <v>66</v>
      </c>
      <c r="AE59">
        <v>10</v>
      </c>
      <c r="AF59">
        <v>13</v>
      </c>
      <c r="AG59" t="s">
        <v>66</v>
      </c>
      <c r="AH59">
        <v>9</v>
      </c>
      <c r="AI59">
        <v>11</v>
      </c>
      <c r="AJ59" t="s">
        <v>66</v>
      </c>
      <c r="AK59">
        <v>8</v>
      </c>
      <c r="AL59">
        <v>9</v>
      </c>
      <c r="AM59">
        <v>8.5</v>
      </c>
      <c r="AN59">
        <v>10</v>
      </c>
      <c r="AO59">
        <v>17.647058820000002</v>
      </c>
      <c r="AP59">
        <v>30</v>
      </c>
      <c r="AQ59">
        <v>1.1764705879999999</v>
      </c>
      <c r="AR59">
        <v>1.3</v>
      </c>
      <c r="AS59">
        <v>0.12352941200000001</v>
      </c>
      <c r="AT59">
        <v>0</v>
      </c>
      <c r="AU59" t="s">
        <v>66</v>
      </c>
      <c r="AV59">
        <v>1</v>
      </c>
      <c r="AW59">
        <v>1</v>
      </c>
      <c r="AX59">
        <v>0</v>
      </c>
      <c r="AY59">
        <v>1</v>
      </c>
      <c r="AZ59">
        <v>1</v>
      </c>
      <c r="BA59">
        <v>1</v>
      </c>
      <c r="BB59" t="s">
        <v>66</v>
      </c>
      <c r="BC59">
        <v>28.75</v>
      </c>
      <c r="BD59">
        <v>45.6</v>
      </c>
      <c r="BE59">
        <v>58.608695650000001</v>
      </c>
      <c r="BF59">
        <v>0</v>
      </c>
      <c r="BG59">
        <v>31.92</v>
      </c>
      <c r="BH59">
        <v>11.026086960000001</v>
      </c>
      <c r="BI59">
        <v>43</v>
      </c>
      <c r="BJ59">
        <v>5.9</v>
      </c>
      <c r="BK59" t="s">
        <v>66</v>
      </c>
      <c r="BL59">
        <f>43-29</f>
        <v>14</v>
      </c>
      <c r="BM59">
        <v>15</v>
      </c>
      <c r="BN59">
        <v>12</v>
      </c>
      <c r="BO59">
        <f t="shared" si="5"/>
        <v>13.5</v>
      </c>
      <c r="BP59">
        <v>4</v>
      </c>
      <c r="BQ59">
        <v>1</v>
      </c>
      <c r="BS59">
        <v>0</v>
      </c>
      <c r="BT59">
        <f t="shared" si="6"/>
        <v>27.906976744186046</v>
      </c>
      <c r="BU59">
        <f t="shared" si="7"/>
        <v>66.101694915254242</v>
      </c>
      <c r="BV59">
        <f t="shared" si="8"/>
        <v>28.571428571428569</v>
      </c>
      <c r="BW59">
        <f t="shared" si="9"/>
        <v>37.037037037037038</v>
      </c>
    </row>
    <row r="60" spans="1:75" x14ac:dyDescent="0.2">
      <c r="A60" t="s">
        <v>213</v>
      </c>
      <c r="B60" t="s">
        <v>214</v>
      </c>
      <c r="C60" t="s">
        <v>62</v>
      </c>
      <c r="D60" t="s">
        <v>63</v>
      </c>
      <c r="E60" t="s">
        <v>93</v>
      </c>
      <c r="F60" t="s">
        <v>229</v>
      </c>
      <c r="G60">
        <v>5</v>
      </c>
      <c r="H60">
        <v>6.75</v>
      </c>
      <c r="I60">
        <v>12.5</v>
      </c>
      <c r="J60">
        <v>15.2</v>
      </c>
      <c r="K60">
        <v>39.450000000000003</v>
      </c>
      <c r="L60">
        <v>3.85</v>
      </c>
      <c r="M60">
        <v>67</v>
      </c>
      <c r="N60">
        <v>95</v>
      </c>
      <c r="O60">
        <v>28</v>
      </c>
      <c r="P60">
        <v>99</v>
      </c>
      <c r="Q60">
        <v>32</v>
      </c>
      <c r="R60">
        <v>16</v>
      </c>
      <c r="S60">
        <v>79.099999999999994</v>
      </c>
      <c r="T60">
        <v>47.761194029999999</v>
      </c>
      <c r="U60">
        <v>4.2105263160000002</v>
      </c>
      <c r="V60">
        <v>7</v>
      </c>
      <c r="W60">
        <v>7</v>
      </c>
      <c r="X60">
        <v>10</v>
      </c>
      <c r="Y60">
        <v>3</v>
      </c>
      <c r="Z60">
        <v>42.857142860000003</v>
      </c>
      <c r="AA60" t="s">
        <v>66</v>
      </c>
      <c r="AB60" t="s">
        <v>66</v>
      </c>
      <c r="AC60" t="s">
        <v>66</v>
      </c>
      <c r="AD60" t="s">
        <v>66</v>
      </c>
      <c r="AE60">
        <v>74</v>
      </c>
      <c r="AF60">
        <v>64</v>
      </c>
      <c r="AG60" t="s">
        <v>66</v>
      </c>
      <c r="AH60">
        <v>22</v>
      </c>
      <c r="AI60">
        <v>16</v>
      </c>
      <c r="AJ60" t="s">
        <v>66</v>
      </c>
      <c r="AK60">
        <v>19</v>
      </c>
      <c r="AL60">
        <v>16</v>
      </c>
      <c r="AM60">
        <v>20.5</v>
      </c>
      <c r="AN60">
        <v>16</v>
      </c>
      <c r="AO60">
        <v>-21.951219510000001</v>
      </c>
      <c r="AP60">
        <v>-13.513513509999999</v>
      </c>
      <c r="AQ60">
        <v>3.6097560980000001</v>
      </c>
      <c r="AR60">
        <v>4</v>
      </c>
      <c r="AS60">
        <v>0.39024390199999998</v>
      </c>
      <c r="AT60">
        <v>0</v>
      </c>
      <c r="AU60" t="s">
        <v>66</v>
      </c>
      <c r="AV60">
        <v>3</v>
      </c>
      <c r="AW60">
        <v>3</v>
      </c>
      <c r="AX60">
        <v>1</v>
      </c>
      <c r="AY60">
        <v>1</v>
      </c>
      <c r="AZ60">
        <v>1</v>
      </c>
      <c r="BA60">
        <v>1</v>
      </c>
      <c r="BB60" t="s">
        <v>66</v>
      </c>
      <c r="BC60">
        <v>30.1</v>
      </c>
      <c r="BD60">
        <v>39.1</v>
      </c>
      <c r="BE60">
        <v>29.90033223</v>
      </c>
      <c r="BF60">
        <v>0</v>
      </c>
      <c r="BG60">
        <v>27.37</v>
      </c>
      <c r="BH60">
        <v>-9.0697674419999998</v>
      </c>
      <c r="BI60">
        <v>110</v>
      </c>
      <c r="BJ60">
        <v>10.4</v>
      </c>
      <c r="BK60" t="s">
        <v>66</v>
      </c>
      <c r="BL60">
        <f>110-82</f>
        <v>28</v>
      </c>
      <c r="BM60">
        <v>75</v>
      </c>
      <c r="BN60">
        <v>53</v>
      </c>
      <c r="BO60">
        <f t="shared" si="5"/>
        <v>64</v>
      </c>
      <c r="BP60">
        <v>2</v>
      </c>
      <c r="BQ60">
        <v>1</v>
      </c>
      <c r="BS60">
        <v>0</v>
      </c>
      <c r="BT60">
        <f t="shared" si="6"/>
        <v>39.090909090909093</v>
      </c>
      <c r="BU60">
        <f t="shared" si="7"/>
        <v>32.692307692307693</v>
      </c>
      <c r="BV60">
        <f t="shared" si="8"/>
        <v>-164.28571428571428</v>
      </c>
      <c r="BW60">
        <f t="shared" si="9"/>
        <v>67.96875</v>
      </c>
    </row>
    <row r="61" spans="1:75" x14ac:dyDescent="0.2">
      <c r="A61" t="s">
        <v>256</v>
      </c>
      <c r="B61" t="s">
        <v>257</v>
      </c>
      <c r="C61" t="s">
        <v>62</v>
      </c>
      <c r="D61" t="s">
        <v>63</v>
      </c>
      <c r="E61" t="s">
        <v>95</v>
      </c>
      <c r="F61" t="s">
        <v>273</v>
      </c>
      <c r="G61">
        <v>5.0999999999999996</v>
      </c>
      <c r="H61">
        <v>1.55</v>
      </c>
      <c r="I61">
        <v>1.85</v>
      </c>
      <c r="J61">
        <v>0.3</v>
      </c>
      <c r="K61">
        <v>8.8000000000000007</v>
      </c>
      <c r="L61">
        <v>0.66666666699999999</v>
      </c>
      <c r="M61">
        <v>12</v>
      </c>
      <c r="N61" t="s">
        <v>66</v>
      </c>
      <c r="O61" t="s">
        <v>66</v>
      </c>
      <c r="P61">
        <v>14</v>
      </c>
      <c r="Q61">
        <v>2</v>
      </c>
      <c r="R61">
        <v>1</v>
      </c>
      <c r="S61">
        <v>49.1</v>
      </c>
      <c r="T61">
        <v>16.666666670000001</v>
      </c>
      <c r="U61" t="s">
        <v>66</v>
      </c>
      <c r="V61">
        <v>3</v>
      </c>
      <c r="W61" t="s">
        <v>66</v>
      </c>
      <c r="X61">
        <v>2</v>
      </c>
      <c r="Y61">
        <v>-1</v>
      </c>
      <c r="Z61">
        <v>-33.333333330000002</v>
      </c>
      <c r="AA61" t="s">
        <v>66</v>
      </c>
      <c r="AB61" t="s">
        <v>66</v>
      </c>
      <c r="AC61" t="s">
        <v>66</v>
      </c>
      <c r="AD61" t="s">
        <v>66</v>
      </c>
      <c r="AE61" t="s">
        <v>66</v>
      </c>
      <c r="AF61">
        <v>3</v>
      </c>
      <c r="AG61" t="s">
        <v>66</v>
      </c>
      <c r="AH61" t="s">
        <v>66</v>
      </c>
      <c r="AI61">
        <v>3.5</v>
      </c>
      <c r="AJ61" t="s">
        <v>66</v>
      </c>
      <c r="AK61" t="s">
        <v>66</v>
      </c>
      <c r="AL61">
        <v>2</v>
      </c>
      <c r="AM61" t="s">
        <v>66</v>
      </c>
      <c r="AN61">
        <v>2.75</v>
      </c>
      <c r="AO61" t="s">
        <v>66</v>
      </c>
      <c r="AP61" t="s">
        <v>66</v>
      </c>
      <c r="AQ61" t="s">
        <v>66</v>
      </c>
      <c r="AR61">
        <v>1.0909090910000001</v>
      </c>
      <c r="AS61" t="s">
        <v>66</v>
      </c>
      <c r="AT61" t="s">
        <v>66</v>
      </c>
      <c r="AU61" t="s">
        <v>66</v>
      </c>
      <c r="AV61" t="s">
        <v>66</v>
      </c>
      <c r="AW61">
        <v>0</v>
      </c>
      <c r="AX61">
        <v>0</v>
      </c>
      <c r="AY61">
        <v>1</v>
      </c>
      <c r="AZ61">
        <v>0</v>
      </c>
      <c r="BA61">
        <v>1</v>
      </c>
      <c r="BB61" t="s">
        <v>66</v>
      </c>
      <c r="BC61" t="s">
        <v>66</v>
      </c>
      <c r="BD61">
        <v>19</v>
      </c>
      <c r="BE61" t="s">
        <v>66</v>
      </c>
      <c r="BF61">
        <v>0</v>
      </c>
      <c r="BG61">
        <v>13.3</v>
      </c>
      <c r="BH61" t="s">
        <v>66</v>
      </c>
      <c r="BI61">
        <v>12</v>
      </c>
      <c r="BJ61">
        <v>2.5</v>
      </c>
      <c r="BK61" t="s">
        <v>66</v>
      </c>
      <c r="BL61">
        <v>2</v>
      </c>
      <c r="BM61">
        <v>7</v>
      </c>
      <c r="BN61">
        <v>6</v>
      </c>
      <c r="BO61">
        <f t="shared" si="5"/>
        <v>6.5</v>
      </c>
      <c r="BP61">
        <v>3</v>
      </c>
      <c r="BQ61">
        <v>1</v>
      </c>
      <c r="BS61">
        <v>0</v>
      </c>
      <c r="BT61">
        <f t="shared" si="6"/>
        <v>0</v>
      </c>
      <c r="BU61">
        <f t="shared" si="7"/>
        <v>-20</v>
      </c>
      <c r="BV61" t="s">
        <v>66</v>
      </c>
      <c r="BW61" t="s">
        <v>66</v>
      </c>
    </row>
    <row r="62" spans="1:75" x14ac:dyDescent="0.2">
      <c r="A62" t="s">
        <v>256</v>
      </c>
      <c r="B62" t="s">
        <v>257</v>
      </c>
      <c r="C62" t="s">
        <v>62</v>
      </c>
      <c r="D62" t="s">
        <v>63</v>
      </c>
      <c r="E62" t="s">
        <v>64</v>
      </c>
      <c r="F62" t="s">
        <v>258</v>
      </c>
      <c r="G62">
        <v>5.0999999999999996</v>
      </c>
      <c r="H62">
        <v>1.55</v>
      </c>
      <c r="I62">
        <v>1.85</v>
      </c>
      <c r="J62">
        <v>0.3</v>
      </c>
      <c r="K62">
        <v>8.8000000000000007</v>
      </c>
      <c r="L62">
        <v>0.66666666699999999</v>
      </c>
      <c r="M62">
        <v>37</v>
      </c>
      <c r="N62">
        <v>38</v>
      </c>
      <c r="O62">
        <v>1</v>
      </c>
      <c r="P62">
        <v>43</v>
      </c>
      <c r="Q62">
        <v>6</v>
      </c>
      <c r="R62">
        <v>3</v>
      </c>
      <c r="S62">
        <v>53.1</v>
      </c>
      <c r="T62">
        <v>16.21621622</v>
      </c>
      <c r="U62">
        <v>13.15789474</v>
      </c>
      <c r="V62">
        <v>4</v>
      </c>
      <c r="W62">
        <v>4</v>
      </c>
      <c r="X62">
        <v>5</v>
      </c>
      <c r="Y62">
        <v>1</v>
      </c>
      <c r="Z62">
        <v>25</v>
      </c>
      <c r="AA62" t="s">
        <v>66</v>
      </c>
      <c r="AB62" t="s">
        <v>66</v>
      </c>
      <c r="AC62" t="s">
        <v>66</v>
      </c>
      <c r="AD62" t="s">
        <v>66</v>
      </c>
      <c r="AE62">
        <v>17</v>
      </c>
      <c r="AF62">
        <v>20</v>
      </c>
      <c r="AG62" t="s">
        <v>66</v>
      </c>
      <c r="AH62">
        <v>9</v>
      </c>
      <c r="AI62">
        <v>9</v>
      </c>
      <c r="AJ62" t="s">
        <v>66</v>
      </c>
      <c r="AK62">
        <v>7</v>
      </c>
      <c r="AL62">
        <v>7</v>
      </c>
      <c r="AM62">
        <v>8</v>
      </c>
      <c r="AN62">
        <v>8</v>
      </c>
      <c r="AO62">
        <v>0</v>
      </c>
      <c r="AP62">
        <v>17.647058820000002</v>
      </c>
      <c r="AQ62">
        <v>2.125</v>
      </c>
      <c r="AR62">
        <v>2.5</v>
      </c>
      <c r="AS62">
        <v>0.375</v>
      </c>
      <c r="AT62">
        <v>0</v>
      </c>
      <c r="AU62" t="s">
        <v>66</v>
      </c>
      <c r="AV62">
        <v>0</v>
      </c>
      <c r="AW62">
        <v>1</v>
      </c>
      <c r="AX62">
        <v>0</v>
      </c>
      <c r="AY62">
        <v>1</v>
      </c>
      <c r="AZ62">
        <v>1</v>
      </c>
      <c r="BA62">
        <v>1</v>
      </c>
      <c r="BB62" t="s">
        <v>66</v>
      </c>
      <c r="BC62">
        <v>18</v>
      </c>
      <c r="BD62">
        <v>30.4</v>
      </c>
      <c r="BE62">
        <v>68.888888890000004</v>
      </c>
      <c r="BF62">
        <v>0</v>
      </c>
      <c r="BG62">
        <v>21.28</v>
      </c>
      <c r="BH62">
        <v>18.222222219999999</v>
      </c>
      <c r="BI62">
        <v>41</v>
      </c>
      <c r="BJ62">
        <v>5.5</v>
      </c>
      <c r="BK62" t="s">
        <v>66</v>
      </c>
      <c r="BL62">
        <f>41-24</f>
        <v>17</v>
      </c>
      <c r="BM62">
        <v>7</v>
      </c>
      <c r="BN62">
        <v>5</v>
      </c>
      <c r="BO62">
        <f t="shared" si="5"/>
        <v>6</v>
      </c>
      <c r="BP62">
        <v>3</v>
      </c>
      <c r="BQ62">
        <v>1</v>
      </c>
      <c r="BS62">
        <v>0</v>
      </c>
      <c r="BT62">
        <f t="shared" si="6"/>
        <v>9.7560975609756095</v>
      </c>
      <c r="BU62">
        <f t="shared" si="7"/>
        <v>27.27272727272727</v>
      </c>
      <c r="BV62">
        <f t="shared" ref="BV62:BV79" si="10">(BL62-AE62)/BL62*100</f>
        <v>0</v>
      </c>
      <c r="BW62">
        <f t="shared" ref="BW62:BW79" si="11">(BO62-AM62)/BO62*100</f>
        <v>-33.333333333333329</v>
      </c>
    </row>
    <row r="63" spans="1:75" x14ac:dyDescent="0.2">
      <c r="A63" t="s">
        <v>256</v>
      </c>
      <c r="B63" t="s">
        <v>257</v>
      </c>
      <c r="C63" t="s">
        <v>62</v>
      </c>
      <c r="D63" t="s">
        <v>63</v>
      </c>
      <c r="E63" t="s">
        <v>67</v>
      </c>
      <c r="F63" t="s">
        <v>259</v>
      </c>
      <c r="G63">
        <v>5.0999999999999996</v>
      </c>
      <c r="H63">
        <v>1.55</v>
      </c>
      <c r="I63">
        <v>1.85</v>
      </c>
      <c r="J63">
        <v>0.3</v>
      </c>
      <c r="K63">
        <v>8.8000000000000007</v>
      </c>
      <c r="L63">
        <v>0.66666666699999999</v>
      </c>
      <c r="M63">
        <v>17</v>
      </c>
      <c r="N63">
        <v>21</v>
      </c>
      <c r="O63">
        <v>4</v>
      </c>
      <c r="P63">
        <v>21</v>
      </c>
      <c r="Q63">
        <v>4</v>
      </c>
      <c r="R63">
        <v>2</v>
      </c>
      <c r="S63">
        <v>51.1</v>
      </c>
      <c r="T63">
        <v>23.529411759999999</v>
      </c>
      <c r="U63">
        <v>0</v>
      </c>
      <c r="V63">
        <v>2</v>
      </c>
      <c r="W63">
        <v>3</v>
      </c>
      <c r="X63">
        <v>3</v>
      </c>
      <c r="Y63">
        <v>1</v>
      </c>
      <c r="Z63">
        <v>50</v>
      </c>
      <c r="AA63" t="s">
        <v>66</v>
      </c>
      <c r="AB63" t="s">
        <v>66</v>
      </c>
      <c r="AC63" t="s">
        <v>66</v>
      </c>
      <c r="AD63" t="s">
        <v>66</v>
      </c>
      <c r="AE63">
        <v>7</v>
      </c>
      <c r="AF63">
        <v>4</v>
      </c>
      <c r="AG63" t="s">
        <v>66</v>
      </c>
      <c r="AH63">
        <v>5</v>
      </c>
      <c r="AI63">
        <v>4</v>
      </c>
      <c r="AJ63" t="s">
        <v>66</v>
      </c>
      <c r="AK63">
        <v>5</v>
      </c>
      <c r="AL63">
        <v>3</v>
      </c>
      <c r="AM63">
        <v>5</v>
      </c>
      <c r="AN63">
        <v>3.5</v>
      </c>
      <c r="AO63">
        <v>-30</v>
      </c>
      <c r="AP63">
        <v>-42.857142860000003</v>
      </c>
      <c r="AQ63">
        <v>1.4</v>
      </c>
      <c r="AR63">
        <v>1.1428571430000001</v>
      </c>
      <c r="AS63">
        <v>-0.257142857</v>
      </c>
      <c r="AT63">
        <v>0</v>
      </c>
      <c r="AU63" t="s">
        <v>66</v>
      </c>
      <c r="AV63">
        <v>0</v>
      </c>
      <c r="AW63">
        <v>4</v>
      </c>
      <c r="AX63">
        <v>0</v>
      </c>
      <c r="AY63">
        <v>1</v>
      </c>
      <c r="AZ63">
        <v>1</v>
      </c>
      <c r="BA63">
        <v>1</v>
      </c>
      <c r="BB63" t="s">
        <v>66</v>
      </c>
      <c r="BC63">
        <v>17.444444440000002</v>
      </c>
      <c r="BD63">
        <v>23.5</v>
      </c>
      <c r="BE63">
        <v>34.713375829999997</v>
      </c>
      <c r="BF63">
        <v>0</v>
      </c>
      <c r="BG63">
        <v>16.45</v>
      </c>
      <c r="BH63">
        <v>-5.7006369189999999</v>
      </c>
      <c r="BI63">
        <v>25</v>
      </c>
      <c r="BJ63">
        <v>4.2</v>
      </c>
      <c r="BK63" t="s">
        <v>66</v>
      </c>
      <c r="BL63">
        <v>4</v>
      </c>
      <c r="BM63">
        <v>4</v>
      </c>
      <c r="BN63">
        <v>4</v>
      </c>
      <c r="BO63">
        <f t="shared" si="5"/>
        <v>4</v>
      </c>
      <c r="BP63">
        <v>4</v>
      </c>
      <c r="BQ63">
        <v>1</v>
      </c>
      <c r="BS63">
        <v>0</v>
      </c>
      <c r="BT63">
        <f t="shared" si="6"/>
        <v>32</v>
      </c>
      <c r="BU63">
        <f t="shared" si="7"/>
        <v>52.380952380952387</v>
      </c>
      <c r="BV63">
        <f t="shared" si="10"/>
        <v>-75</v>
      </c>
      <c r="BW63">
        <f t="shared" si="11"/>
        <v>-25</v>
      </c>
    </row>
    <row r="64" spans="1:75" x14ac:dyDescent="0.2">
      <c r="A64" t="s">
        <v>256</v>
      </c>
      <c r="B64" t="s">
        <v>257</v>
      </c>
      <c r="C64" t="s">
        <v>62</v>
      </c>
      <c r="D64" t="s">
        <v>63</v>
      </c>
      <c r="E64" t="s">
        <v>69</v>
      </c>
      <c r="F64" t="s">
        <v>260</v>
      </c>
      <c r="G64">
        <v>5.0999999999999996</v>
      </c>
      <c r="H64">
        <v>1.55</v>
      </c>
      <c r="I64">
        <v>1.85</v>
      </c>
      <c r="J64">
        <v>0.3</v>
      </c>
      <c r="K64">
        <v>8.8000000000000007</v>
      </c>
      <c r="L64">
        <v>0.66666666699999999</v>
      </c>
      <c r="M64">
        <v>31</v>
      </c>
      <c r="N64">
        <v>29</v>
      </c>
      <c r="O64">
        <v>-2</v>
      </c>
      <c r="P64">
        <v>28</v>
      </c>
      <c r="Q64">
        <v>-3</v>
      </c>
      <c r="R64">
        <v>-1.5</v>
      </c>
      <c r="S64">
        <v>44.1</v>
      </c>
      <c r="T64">
        <v>-9.6774193549999996</v>
      </c>
      <c r="U64">
        <v>-3.448275862</v>
      </c>
      <c r="V64">
        <v>3</v>
      </c>
      <c r="W64">
        <v>5</v>
      </c>
      <c r="X64">
        <v>4</v>
      </c>
      <c r="Y64">
        <v>1</v>
      </c>
      <c r="Z64">
        <v>33.333333330000002</v>
      </c>
      <c r="AA64" t="s">
        <v>66</v>
      </c>
      <c r="AB64" t="s">
        <v>66</v>
      </c>
      <c r="AC64" t="s">
        <v>66</v>
      </c>
      <c r="AD64" t="s">
        <v>66</v>
      </c>
      <c r="AE64">
        <v>15</v>
      </c>
      <c r="AF64">
        <v>14</v>
      </c>
      <c r="AG64" t="s">
        <v>66</v>
      </c>
      <c r="AH64">
        <v>9</v>
      </c>
      <c r="AI64">
        <v>7</v>
      </c>
      <c r="AJ64" t="s">
        <v>66</v>
      </c>
      <c r="AK64">
        <v>8</v>
      </c>
      <c r="AL64">
        <v>5</v>
      </c>
      <c r="AM64">
        <v>8.5</v>
      </c>
      <c r="AN64">
        <v>6</v>
      </c>
      <c r="AO64">
        <v>-29.41176471</v>
      </c>
      <c r="AP64">
        <v>-6.6666666670000003</v>
      </c>
      <c r="AQ64">
        <v>1.7647058819999999</v>
      </c>
      <c r="AR64">
        <v>2.3333333330000001</v>
      </c>
      <c r="AS64">
        <v>0.56862745100000001</v>
      </c>
      <c r="AT64">
        <v>0</v>
      </c>
      <c r="AU64" t="s">
        <v>66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1</v>
      </c>
      <c r="BB64" t="s">
        <v>66</v>
      </c>
      <c r="BC64">
        <v>20.100000000000001</v>
      </c>
      <c r="BD64">
        <v>26.4</v>
      </c>
      <c r="BE64">
        <v>31.343283580000001</v>
      </c>
      <c r="BF64">
        <v>0</v>
      </c>
      <c r="BG64">
        <v>18.48</v>
      </c>
      <c r="BH64">
        <v>-8.0597014930000004</v>
      </c>
      <c r="BI64">
        <v>30</v>
      </c>
      <c r="BJ64">
        <v>6.2</v>
      </c>
      <c r="BK64" t="s">
        <v>66</v>
      </c>
      <c r="BL64">
        <v>8</v>
      </c>
      <c r="BM64">
        <v>7</v>
      </c>
      <c r="BN64">
        <v>5</v>
      </c>
      <c r="BO64">
        <f t="shared" si="5"/>
        <v>6</v>
      </c>
      <c r="BP64">
        <v>4</v>
      </c>
      <c r="BQ64">
        <v>1</v>
      </c>
      <c r="BS64">
        <v>0</v>
      </c>
      <c r="BT64">
        <f t="shared" si="6"/>
        <v>-3.3333333333333335</v>
      </c>
      <c r="BU64">
        <f t="shared" si="7"/>
        <v>51.612903225806448</v>
      </c>
      <c r="BV64">
        <f t="shared" si="10"/>
        <v>-87.5</v>
      </c>
      <c r="BW64">
        <f t="shared" si="11"/>
        <v>-41.666666666666671</v>
      </c>
    </row>
    <row r="65" spans="1:75" x14ac:dyDescent="0.2">
      <c r="A65" t="s">
        <v>256</v>
      </c>
      <c r="B65" t="s">
        <v>257</v>
      </c>
      <c r="C65" t="s">
        <v>62</v>
      </c>
      <c r="D65" t="s">
        <v>63</v>
      </c>
      <c r="E65" t="s">
        <v>71</v>
      </c>
      <c r="F65" t="s">
        <v>261</v>
      </c>
      <c r="G65">
        <v>5.0999999999999996</v>
      </c>
      <c r="H65">
        <v>1.55</v>
      </c>
      <c r="I65">
        <v>1.85</v>
      </c>
      <c r="J65">
        <v>0.3</v>
      </c>
      <c r="K65">
        <v>8.8000000000000007</v>
      </c>
      <c r="L65">
        <v>0.66666666699999999</v>
      </c>
      <c r="M65">
        <v>30</v>
      </c>
      <c r="N65">
        <v>40</v>
      </c>
      <c r="O65">
        <v>10</v>
      </c>
      <c r="P65">
        <v>40</v>
      </c>
      <c r="Q65">
        <v>10</v>
      </c>
      <c r="R65">
        <v>5</v>
      </c>
      <c r="S65">
        <v>57.1</v>
      </c>
      <c r="T65">
        <v>33.333333330000002</v>
      </c>
      <c r="U65">
        <v>0</v>
      </c>
      <c r="V65">
        <v>5</v>
      </c>
      <c r="W65">
        <v>5</v>
      </c>
      <c r="X65">
        <v>5</v>
      </c>
      <c r="Y65">
        <v>0</v>
      </c>
      <c r="Z65">
        <v>0</v>
      </c>
      <c r="AA65" t="s">
        <v>66</v>
      </c>
      <c r="AB65" t="s">
        <v>66</v>
      </c>
      <c r="AC65" t="s">
        <v>66</v>
      </c>
      <c r="AD65" t="s">
        <v>66</v>
      </c>
      <c r="AE65">
        <v>21</v>
      </c>
      <c r="AF65">
        <v>11</v>
      </c>
      <c r="AG65" t="s">
        <v>66</v>
      </c>
      <c r="AH65">
        <v>13</v>
      </c>
      <c r="AI65">
        <v>12</v>
      </c>
      <c r="AJ65" t="s">
        <v>66</v>
      </c>
      <c r="AK65">
        <v>10</v>
      </c>
      <c r="AL65">
        <v>9</v>
      </c>
      <c r="AM65">
        <v>11.5</v>
      </c>
      <c r="AN65">
        <v>10.5</v>
      </c>
      <c r="AO65">
        <v>-8.6956521739999992</v>
      </c>
      <c r="AP65">
        <v>-47.619047620000003</v>
      </c>
      <c r="AQ65">
        <v>1.826086957</v>
      </c>
      <c r="AR65">
        <v>1.0476190480000001</v>
      </c>
      <c r="AS65">
        <v>-0.77846790899999996</v>
      </c>
      <c r="AT65">
        <v>0</v>
      </c>
      <c r="AU65" t="s">
        <v>66</v>
      </c>
      <c r="AV65">
        <v>2</v>
      </c>
      <c r="AW65">
        <v>2</v>
      </c>
      <c r="AX65">
        <v>0</v>
      </c>
      <c r="AY65">
        <v>1</v>
      </c>
      <c r="AZ65">
        <v>1</v>
      </c>
      <c r="BA65">
        <v>1</v>
      </c>
      <c r="BB65" t="s">
        <v>66</v>
      </c>
      <c r="BC65">
        <v>24.7</v>
      </c>
      <c r="BD65">
        <v>43.3</v>
      </c>
      <c r="BE65">
        <v>75.303643719999997</v>
      </c>
      <c r="BF65">
        <v>0</v>
      </c>
      <c r="BG65">
        <v>30.31</v>
      </c>
      <c r="BH65">
        <v>22.712550610000001</v>
      </c>
      <c r="BI65">
        <v>14</v>
      </c>
      <c r="BJ65">
        <v>2.9</v>
      </c>
      <c r="BK65" t="s">
        <v>66</v>
      </c>
      <c r="BL65">
        <v>5</v>
      </c>
      <c r="BM65">
        <v>3</v>
      </c>
      <c r="BN65">
        <v>2</v>
      </c>
      <c r="BO65">
        <f t="shared" si="5"/>
        <v>2.5</v>
      </c>
      <c r="BP65">
        <v>4</v>
      </c>
      <c r="BQ65">
        <v>1</v>
      </c>
      <c r="BS65">
        <v>0</v>
      </c>
      <c r="BT65">
        <f t="shared" si="6"/>
        <v>-114.28571428571428</v>
      </c>
      <c r="BU65">
        <f t="shared" si="7"/>
        <v>-72.41379310344827</v>
      </c>
      <c r="BV65">
        <f t="shared" si="10"/>
        <v>-320</v>
      </c>
      <c r="BW65">
        <f t="shared" si="11"/>
        <v>-360</v>
      </c>
    </row>
    <row r="66" spans="1:75" x14ac:dyDescent="0.2">
      <c r="A66" t="s">
        <v>256</v>
      </c>
      <c r="B66" t="s">
        <v>257</v>
      </c>
      <c r="C66" t="s">
        <v>62</v>
      </c>
      <c r="D66" t="s">
        <v>63</v>
      </c>
      <c r="E66" t="s">
        <v>73</v>
      </c>
      <c r="F66" t="s">
        <v>262</v>
      </c>
      <c r="G66">
        <v>5.0999999999999996</v>
      </c>
      <c r="H66">
        <v>1.55</v>
      </c>
      <c r="I66">
        <v>1.85</v>
      </c>
      <c r="J66">
        <v>0.3</v>
      </c>
      <c r="K66">
        <v>8.8000000000000007</v>
      </c>
      <c r="L66">
        <v>0.66666666699999999</v>
      </c>
      <c r="M66">
        <v>33</v>
      </c>
      <c r="N66">
        <v>41</v>
      </c>
      <c r="O66">
        <v>8</v>
      </c>
      <c r="P66">
        <v>41</v>
      </c>
      <c r="Q66">
        <v>8</v>
      </c>
      <c r="R66">
        <v>4</v>
      </c>
      <c r="S66">
        <v>55.1</v>
      </c>
      <c r="T66">
        <v>24.242424239999998</v>
      </c>
      <c r="U66">
        <v>0</v>
      </c>
      <c r="V66">
        <v>4</v>
      </c>
      <c r="W66">
        <v>5</v>
      </c>
      <c r="X66">
        <v>5</v>
      </c>
      <c r="Y66">
        <v>1</v>
      </c>
      <c r="Z66">
        <v>25</v>
      </c>
      <c r="AA66" t="s">
        <v>66</v>
      </c>
      <c r="AB66" t="s">
        <v>66</v>
      </c>
      <c r="AC66" t="s">
        <v>66</v>
      </c>
      <c r="AD66" t="s">
        <v>66</v>
      </c>
      <c r="AE66">
        <v>18</v>
      </c>
      <c r="AF66">
        <v>9</v>
      </c>
      <c r="AG66" t="s">
        <v>66</v>
      </c>
      <c r="AH66">
        <v>11</v>
      </c>
      <c r="AI66">
        <v>10</v>
      </c>
      <c r="AJ66" t="s">
        <v>66</v>
      </c>
      <c r="AK66">
        <v>7</v>
      </c>
      <c r="AL66">
        <v>5</v>
      </c>
      <c r="AM66">
        <v>9</v>
      </c>
      <c r="AN66">
        <v>7.5</v>
      </c>
      <c r="AO66">
        <v>-16.666666670000001</v>
      </c>
      <c r="AP66">
        <v>-50</v>
      </c>
      <c r="AQ66">
        <v>2</v>
      </c>
      <c r="AR66">
        <v>1.2</v>
      </c>
      <c r="AS66">
        <v>-0.8</v>
      </c>
      <c r="AT66">
        <v>0</v>
      </c>
      <c r="AU66" t="s">
        <v>66</v>
      </c>
      <c r="AV66">
        <v>1</v>
      </c>
      <c r="AW66">
        <v>1</v>
      </c>
      <c r="AX66">
        <v>0</v>
      </c>
      <c r="AY66">
        <v>1</v>
      </c>
      <c r="AZ66">
        <v>1</v>
      </c>
      <c r="BA66">
        <v>1</v>
      </c>
      <c r="BB66" t="s">
        <v>66</v>
      </c>
      <c r="BC66">
        <v>17.399999999999999</v>
      </c>
      <c r="BD66">
        <v>26.2</v>
      </c>
      <c r="BE66">
        <v>50.574712640000001</v>
      </c>
      <c r="BF66">
        <v>0</v>
      </c>
      <c r="BG66">
        <v>18.34</v>
      </c>
      <c r="BH66">
        <v>5.4022988510000003</v>
      </c>
      <c r="BI66">
        <v>40</v>
      </c>
      <c r="BJ66">
        <v>5.7</v>
      </c>
      <c r="BK66" t="s">
        <v>66</v>
      </c>
      <c r="BL66">
        <v>6</v>
      </c>
      <c r="BM66">
        <v>11</v>
      </c>
      <c r="BN66">
        <v>6</v>
      </c>
      <c r="BO66">
        <f t="shared" si="5"/>
        <v>8.5</v>
      </c>
      <c r="BP66">
        <v>4</v>
      </c>
      <c r="BQ66">
        <v>1</v>
      </c>
      <c r="BS66">
        <v>0</v>
      </c>
      <c r="BT66">
        <f t="shared" si="6"/>
        <v>17.5</v>
      </c>
      <c r="BU66">
        <f t="shared" si="7"/>
        <v>29.824561403508774</v>
      </c>
      <c r="BV66">
        <f t="shared" si="10"/>
        <v>-200</v>
      </c>
      <c r="BW66">
        <f t="shared" si="11"/>
        <v>-5.8823529411764701</v>
      </c>
    </row>
    <row r="67" spans="1:75" x14ac:dyDescent="0.2">
      <c r="A67" t="s">
        <v>256</v>
      </c>
      <c r="B67" t="s">
        <v>257</v>
      </c>
      <c r="C67" t="s">
        <v>62</v>
      </c>
      <c r="D67" t="s">
        <v>63</v>
      </c>
      <c r="E67" t="s">
        <v>75</v>
      </c>
      <c r="F67" t="s">
        <v>263</v>
      </c>
      <c r="G67">
        <v>5.0999999999999996</v>
      </c>
      <c r="H67">
        <v>1.55</v>
      </c>
      <c r="I67">
        <v>1.85</v>
      </c>
      <c r="J67">
        <v>0.3</v>
      </c>
      <c r="K67">
        <v>8.8000000000000007</v>
      </c>
      <c r="L67">
        <v>0.66666666699999999</v>
      </c>
      <c r="M67">
        <v>20</v>
      </c>
      <c r="N67">
        <v>20</v>
      </c>
      <c r="O67">
        <v>0</v>
      </c>
      <c r="P67">
        <v>18</v>
      </c>
      <c r="Q67">
        <v>-2</v>
      </c>
      <c r="R67">
        <v>-1</v>
      </c>
      <c r="S67">
        <v>45.1</v>
      </c>
      <c r="T67">
        <v>-10</v>
      </c>
      <c r="U67">
        <v>-10</v>
      </c>
      <c r="V67">
        <v>3</v>
      </c>
      <c r="W67">
        <v>3</v>
      </c>
      <c r="X67">
        <v>3</v>
      </c>
      <c r="Y67">
        <v>0</v>
      </c>
      <c r="Z67">
        <v>0</v>
      </c>
      <c r="AA67" t="s">
        <v>66</v>
      </c>
      <c r="AB67" t="s">
        <v>66</v>
      </c>
      <c r="AC67" t="s">
        <v>66</v>
      </c>
      <c r="AD67" t="s">
        <v>66</v>
      </c>
      <c r="AE67">
        <v>8</v>
      </c>
      <c r="AF67">
        <v>5</v>
      </c>
      <c r="AG67" t="s">
        <v>66</v>
      </c>
      <c r="AH67">
        <v>8</v>
      </c>
      <c r="AI67">
        <v>5</v>
      </c>
      <c r="AJ67" t="s">
        <v>66</v>
      </c>
      <c r="AK67">
        <v>6</v>
      </c>
      <c r="AL67">
        <v>5</v>
      </c>
      <c r="AM67">
        <v>7</v>
      </c>
      <c r="AN67">
        <v>5</v>
      </c>
      <c r="AO67">
        <v>-28.571428569999998</v>
      </c>
      <c r="AP67">
        <v>-37.5</v>
      </c>
      <c r="AQ67">
        <v>1.1428571430000001</v>
      </c>
      <c r="AR67">
        <v>1</v>
      </c>
      <c r="AS67">
        <v>-0.14285714299999999</v>
      </c>
      <c r="AT67">
        <v>0</v>
      </c>
      <c r="AU67" t="s">
        <v>66</v>
      </c>
      <c r="AV67">
        <v>1</v>
      </c>
      <c r="AW67">
        <v>3</v>
      </c>
      <c r="AX67">
        <v>0</v>
      </c>
      <c r="AY67">
        <v>1</v>
      </c>
      <c r="AZ67">
        <v>1</v>
      </c>
      <c r="BA67">
        <v>1</v>
      </c>
      <c r="BB67" t="s">
        <v>66</v>
      </c>
      <c r="BC67">
        <v>19.2</v>
      </c>
      <c r="BD67">
        <v>38.833333330000002</v>
      </c>
      <c r="BE67">
        <v>102.25694439999999</v>
      </c>
      <c r="BF67">
        <v>0</v>
      </c>
      <c r="BG67">
        <v>27.18333333</v>
      </c>
      <c r="BH67">
        <v>41.579861100000002</v>
      </c>
      <c r="BI67">
        <v>20</v>
      </c>
      <c r="BJ67">
        <v>4.9000000000000004</v>
      </c>
      <c r="BK67" t="s">
        <v>66</v>
      </c>
      <c r="BL67">
        <v>4</v>
      </c>
      <c r="BM67">
        <v>7</v>
      </c>
      <c r="BN67">
        <v>6</v>
      </c>
      <c r="BO67">
        <f t="shared" si="5"/>
        <v>6.5</v>
      </c>
      <c r="BP67">
        <v>4</v>
      </c>
      <c r="BQ67">
        <v>1</v>
      </c>
      <c r="BS67">
        <v>0</v>
      </c>
      <c r="BT67">
        <f t="shared" si="6"/>
        <v>0</v>
      </c>
      <c r="BU67">
        <f t="shared" si="7"/>
        <v>38.775510204081634</v>
      </c>
      <c r="BV67">
        <f t="shared" si="10"/>
        <v>-100</v>
      </c>
      <c r="BW67">
        <f t="shared" si="11"/>
        <v>-7.6923076923076925</v>
      </c>
    </row>
    <row r="68" spans="1:75" x14ac:dyDescent="0.2">
      <c r="A68" t="s">
        <v>256</v>
      </c>
      <c r="B68" t="s">
        <v>257</v>
      </c>
      <c r="C68" t="s">
        <v>62</v>
      </c>
      <c r="D68" t="s">
        <v>63</v>
      </c>
      <c r="E68" t="s">
        <v>77</v>
      </c>
      <c r="F68" t="s">
        <v>264</v>
      </c>
      <c r="G68">
        <v>5.0999999999999996</v>
      </c>
      <c r="H68">
        <v>1.55</v>
      </c>
      <c r="I68">
        <v>1.85</v>
      </c>
      <c r="J68">
        <v>0.3</v>
      </c>
      <c r="K68">
        <v>8.8000000000000007</v>
      </c>
      <c r="L68">
        <v>0.66666666699999999</v>
      </c>
      <c r="M68">
        <v>24</v>
      </c>
      <c r="N68">
        <v>29</v>
      </c>
      <c r="O68">
        <v>5</v>
      </c>
      <c r="P68">
        <v>28</v>
      </c>
      <c r="Q68">
        <v>4</v>
      </c>
      <c r="R68">
        <v>2</v>
      </c>
      <c r="S68">
        <v>51.1</v>
      </c>
      <c r="T68">
        <v>16.666666670000001</v>
      </c>
      <c r="U68">
        <v>-3.448275862</v>
      </c>
      <c r="V68">
        <v>3</v>
      </c>
      <c r="W68">
        <v>4</v>
      </c>
      <c r="X68">
        <v>4</v>
      </c>
      <c r="Y68">
        <v>1</v>
      </c>
      <c r="Z68">
        <v>33.333333330000002</v>
      </c>
      <c r="AA68" t="s">
        <v>66</v>
      </c>
      <c r="AB68" t="s">
        <v>66</v>
      </c>
      <c r="AC68" t="s">
        <v>66</v>
      </c>
      <c r="AD68" t="s">
        <v>66</v>
      </c>
      <c r="AE68">
        <v>11</v>
      </c>
      <c r="AF68">
        <v>9</v>
      </c>
      <c r="AG68" t="s">
        <v>66</v>
      </c>
      <c r="AH68">
        <v>10</v>
      </c>
      <c r="AI68">
        <v>6</v>
      </c>
      <c r="AJ68" t="s">
        <v>66</v>
      </c>
      <c r="AK68">
        <v>5</v>
      </c>
      <c r="AL68">
        <v>3</v>
      </c>
      <c r="AM68">
        <v>7.5</v>
      </c>
      <c r="AN68">
        <v>4.5</v>
      </c>
      <c r="AO68">
        <v>-40</v>
      </c>
      <c r="AP68">
        <v>-18.18181818</v>
      </c>
      <c r="AQ68">
        <v>1.4666666669999999</v>
      </c>
      <c r="AR68">
        <v>2</v>
      </c>
      <c r="AS68">
        <v>0.53333333299999997</v>
      </c>
      <c r="AT68">
        <v>0</v>
      </c>
      <c r="AU68" t="s">
        <v>66</v>
      </c>
      <c r="AV68">
        <v>0</v>
      </c>
      <c r="AW68">
        <v>1</v>
      </c>
      <c r="AX68">
        <v>0</v>
      </c>
      <c r="AY68">
        <v>1</v>
      </c>
      <c r="AZ68">
        <v>1</v>
      </c>
      <c r="BA68">
        <v>1</v>
      </c>
      <c r="BB68" t="s">
        <v>66</v>
      </c>
      <c r="BC68">
        <v>14.6</v>
      </c>
      <c r="BD68">
        <v>23.6</v>
      </c>
      <c r="BE68">
        <v>61.643835619999997</v>
      </c>
      <c r="BF68">
        <v>0</v>
      </c>
      <c r="BG68">
        <v>16.52</v>
      </c>
      <c r="BH68">
        <v>13.150684930000001</v>
      </c>
      <c r="BI68">
        <v>31</v>
      </c>
      <c r="BJ68">
        <v>3.4</v>
      </c>
      <c r="BK68" t="s">
        <v>66</v>
      </c>
      <c r="BL68">
        <v>25</v>
      </c>
      <c r="BM68">
        <v>5</v>
      </c>
      <c r="BN68">
        <v>4</v>
      </c>
      <c r="BO68">
        <f t="shared" si="5"/>
        <v>4.5</v>
      </c>
      <c r="BP68">
        <v>1</v>
      </c>
      <c r="BQ68">
        <v>1</v>
      </c>
      <c r="BS68">
        <v>0</v>
      </c>
      <c r="BT68">
        <f t="shared" si="6"/>
        <v>22.58064516129032</v>
      </c>
      <c r="BU68">
        <f t="shared" si="7"/>
        <v>11.764705882352938</v>
      </c>
      <c r="BV68">
        <f t="shared" si="10"/>
        <v>56.000000000000007</v>
      </c>
      <c r="BW68">
        <f t="shared" si="11"/>
        <v>-66.666666666666657</v>
      </c>
    </row>
    <row r="69" spans="1:75" x14ac:dyDescent="0.2">
      <c r="A69" t="s">
        <v>256</v>
      </c>
      <c r="B69" t="s">
        <v>257</v>
      </c>
      <c r="C69" t="s">
        <v>62</v>
      </c>
      <c r="D69" t="s">
        <v>63</v>
      </c>
      <c r="E69" t="s">
        <v>79</v>
      </c>
      <c r="F69" t="s">
        <v>265</v>
      </c>
      <c r="G69">
        <v>5.0999999999999996</v>
      </c>
      <c r="H69">
        <v>1.55</v>
      </c>
      <c r="I69">
        <v>1.85</v>
      </c>
      <c r="J69">
        <v>0.3</v>
      </c>
      <c r="K69">
        <v>8.8000000000000007</v>
      </c>
      <c r="L69">
        <v>0.66666666699999999</v>
      </c>
      <c r="M69">
        <v>23</v>
      </c>
      <c r="N69">
        <v>34</v>
      </c>
      <c r="O69">
        <v>11</v>
      </c>
      <c r="P69">
        <v>38</v>
      </c>
      <c r="Q69">
        <v>15</v>
      </c>
      <c r="R69">
        <v>7.5</v>
      </c>
      <c r="S69">
        <v>62.1</v>
      </c>
      <c r="T69">
        <v>65.217391300000003</v>
      </c>
      <c r="U69">
        <v>11.764705879999999</v>
      </c>
      <c r="V69">
        <v>3</v>
      </c>
      <c r="W69">
        <v>4</v>
      </c>
      <c r="X69">
        <v>4</v>
      </c>
      <c r="Y69">
        <v>1</v>
      </c>
      <c r="Z69">
        <v>33.333333330000002</v>
      </c>
      <c r="AA69" t="s">
        <v>66</v>
      </c>
      <c r="AB69" t="s">
        <v>66</v>
      </c>
      <c r="AC69" t="s">
        <v>66</v>
      </c>
      <c r="AD69" t="s">
        <v>66</v>
      </c>
      <c r="AE69">
        <v>10</v>
      </c>
      <c r="AF69">
        <v>9</v>
      </c>
      <c r="AG69" t="s">
        <v>66</v>
      </c>
      <c r="AH69">
        <v>12</v>
      </c>
      <c r="AI69">
        <v>10</v>
      </c>
      <c r="AJ69" t="s">
        <v>66</v>
      </c>
      <c r="AK69">
        <v>8</v>
      </c>
      <c r="AL69">
        <v>7</v>
      </c>
      <c r="AM69">
        <v>10</v>
      </c>
      <c r="AN69">
        <v>8.5</v>
      </c>
      <c r="AO69">
        <v>-15</v>
      </c>
      <c r="AP69">
        <v>-10</v>
      </c>
      <c r="AQ69">
        <v>1</v>
      </c>
      <c r="AR69">
        <v>1.0588235290000001</v>
      </c>
      <c r="AS69">
        <v>5.8823528999999999E-2</v>
      </c>
      <c r="AT69">
        <v>0</v>
      </c>
      <c r="AU69" t="s">
        <v>66</v>
      </c>
      <c r="AV69">
        <v>1</v>
      </c>
      <c r="AW69">
        <v>1</v>
      </c>
      <c r="AX69">
        <v>0</v>
      </c>
      <c r="AY69">
        <v>1</v>
      </c>
      <c r="AZ69">
        <v>1</v>
      </c>
      <c r="BA69">
        <v>1</v>
      </c>
      <c r="BB69" t="s">
        <v>66</v>
      </c>
      <c r="BC69">
        <v>22.9</v>
      </c>
      <c r="BD69">
        <v>30.4</v>
      </c>
      <c r="BE69">
        <v>32.751091700000003</v>
      </c>
      <c r="BF69">
        <v>0</v>
      </c>
      <c r="BG69">
        <v>21.28</v>
      </c>
      <c r="BH69">
        <v>-7.0742358080000001</v>
      </c>
      <c r="BI69">
        <v>42</v>
      </c>
      <c r="BJ69">
        <v>6.1</v>
      </c>
      <c r="BK69" t="s">
        <v>66</v>
      </c>
      <c r="BL69">
        <v>7</v>
      </c>
      <c r="BM69">
        <v>16</v>
      </c>
      <c r="BN69">
        <v>9</v>
      </c>
      <c r="BO69">
        <f t="shared" si="5"/>
        <v>12.5</v>
      </c>
      <c r="BP69">
        <v>4</v>
      </c>
      <c r="BQ69">
        <v>1</v>
      </c>
      <c r="BS69">
        <v>0</v>
      </c>
      <c r="BT69">
        <f t="shared" si="6"/>
        <v>45.238095238095241</v>
      </c>
      <c r="BU69">
        <f t="shared" si="7"/>
        <v>50.819672131147541</v>
      </c>
      <c r="BV69">
        <f t="shared" si="10"/>
        <v>-42.857142857142854</v>
      </c>
      <c r="BW69">
        <f t="shared" si="11"/>
        <v>20</v>
      </c>
    </row>
    <row r="70" spans="1:75" x14ac:dyDescent="0.2">
      <c r="A70" t="s">
        <v>256</v>
      </c>
      <c r="B70" t="s">
        <v>257</v>
      </c>
      <c r="C70" t="s">
        <v>62</v>
      </c>
      <c r="D70" t="s">
        <v>63</v>
      </c>
      <c r="E70" t="s">
        <v>81</v>
      </c>
      <c r="F70" t="s">
        <v>266</v>
      </c>
      <c r="G70">
        <v>5.0999999999999996</v>
      </c>
      <c r="H70">
        <v>1.55</v>
      </c>
      <c r="I70">
        <v>1.85</v>
      </c>
      <c r="J70">
        <v>0.3</v>
      </c>
      <c r="K70">
        <v>8.8000000000000007</v>
      </c>
      <c r="L70">
        <v>0.66666666699999999</v>
      </c>
      <c r="M70">
        <v>35</v>
      </c>
      <c r="N70">
        <v>35</v>
      </c>
      <c r="O70">
        <v>0</v>
      </c>
      <c r="P70">
        <v>19</v>
      </c>
      <c r="Q70">
        <v>-16</v>
      </c>
      <c r="R70">
        <v>-8</v>
      </c>
      <c r="S70">
        <v>31.1</v>
      </c>
      <c r="T70">
        <v>-45.714285709999999</v>
      </c>
      <c r="U70">
        <v>-45.714285709999999</v>
      </c>
      <c r="V70">
        <v>5</v>
      </c>
      <c r="W70">
        <v>5</v>
      </c>
      <c r="X70">
        <v>6</v>
      </c>
      <c r="Y70">
        <v>1</v>
      </c>
      <c r="Z70">
        <v>20</v>
      </c>
      <c r="AA70" t="s">
        <v>66</v>
      </c>
      <c r="AB70" t="s">
        <v>66</v>
      </c>
      <c r="AC70" t="s">
        <v>66</v>
      </c>
      <c r="AD70" t="s">
        <v>66</v>
      </c>
      <c r="AE70">
        <v>9</v>
      </c>
      <c r="AF70">
        <v>6</v>
      </c>
      <c r="AG70" t="s">
        <v>66</v>
      </c>
      <c r="AH70">
        <v>9</v>
      </c>
      <c r="AI70">
        <v>9</v>
      </c>
      <c r="AJ70" t="s">
        <v>66</v>
      </c>
      <c r="AK70">
        <v>6</v>
      </c>
      <c r="AL70">
        <v>6</v>
      </c>
      <c r="AM70">
        <v>7.5</v>
      </c>
      <c r="AN70">
        <v>7.5</v>
      </c>
      <c r="AO70">
        <v>0</v>
      </c>
      <c r="AP70">
        <v>-33.333333330000002</v>
      </c>
      <c r="AQ70">
        <v>1.2</v>
      </c>
      <c r="AR70">
        <v>0.8</v>
      </c>
      <c r="AS70">
        <v>-0.4</v>
      </c>
      <c r="AT70">
        <v>0</v>
      </c>
      <c r="AU70" t="s">
        <v>66</v>
      </c>
      <c r="AV70">
        <v>1</v>
      </c>
      <c r="AW70">
        <v>2</v>
      </c>
      <c r="AX70">
        <v>0</v>
      </c>
      <c r="AY70">
        <v>1</v>
      </c>
      <c r="AZ70">
        <v>1</v>
      </c>
      <c r="BA70">
        <v>1</v>
      </c>
      <c r="BB70" t="s">
        <v>66</v>
      </c>
      <c r="BC70">
        <v>27.6</v>
      </c>
      <c r="BD70">
        <v>33.700000000000003</v>
      </c>
      <c r="BE70">
        <v>22.101449280000001</v>
      </c>
      <c r="BF70">
        <v>0</v>
      </c>
      <c r="BG70">
        <v>23.59</v>
      </c>
      <c r="BH70">
        <v>-14.52898551</v>
      </c>
      <c r="BI70">
        <v>32</v>
      </c>
      <c r="BJ70">
        <v>7</v>
      </c>
      <c r="BK70" t="s">
        <v>66</v>
      </c>
      <c r="BL70">
        <v>10</v>
      </c>
      <c r="BM70">
        <v>16</v>
      </c>
      <c r="BN70">
        <v>10</v>
      </c>
      <c r="BO70">
        <f t="shared" si="5"/>
        <v>13</v>
      </c>
      <c r="BP70">
        <v>4</v>
      </c>
      <c r="BQ70">
        <v>1</v>
      </c>
      <c r="BS70">
        <v>0</v>
      </c>
      <c r="BT70">
        <f t="shared" si="6"/>
        <v>-9.375</v>
      </c>
      <c r="BU70">
        <f t="shared" si="7"/>
        <v>28.571428571428569</v>
      </c>
      <c r="BV70">
        <f t="shared" si="10"/>
        <v>10</v>
      </c>
      <c r="BW70">
        <f t="shared" si="11"/>
        <v>42.307692307692307</v>
      </c>
    </row>
    <row r="71" spans="1:75" x14ac:dyDescent="0.2">
      <c r="A71" t="s">
        <v>256</v>
      </c>
      <c r="B71" t="s">
        <v>257</v>
      </c>
      <c r="C71" t="s">
        <v>62</v>
      </c>
      <c r="D71" t="s">
        <v>63</v>
      </c>
      <c r="E71" t="s">
        <v>83</v>
      </c>
      <c r="F71" t="s">
        <v>267</v>
      </c>
      <c r="G71">
        <v>5.0999999999999996</v>
      </c>
      <c r="H71">
        <v>1.55</v>
      </c>
      <c r="I71">
        <v>1.85</v>
      </c>
      <c r="J71">
        <v>0.3</v>
      </c>
      <c r="K71">
        <v>8.8000000000000007</v>
      </c>
      <c r="L71">
        <v>0.66666666699999999</v>
      </c>
      <c r="M71">
        <v>23</v>
      </c>
      <c r="N71">
        <v>31</v>
      </c>
      <c r="O71">
        <v>8</v>
      </c>
      <c r="P71">
        <v>28</v>
      </c>
      <c r="Q71">
        <v>5</v>
      </c>
      <c r="R71">
        <v>2.5</v>
      </c>
      <c r="S71">
        <v>52.1</v>
      </c>
      <c r="T71">
        <v>21.739130429999999</v>
      </c>
      <c r="U71">
        <v>-9.6774193549999996</v>
      </c>
      <c r="V71">
        <v>3</v>
      </c>
      <c r="W71">
        <v>5</v>
      </c>
      <c r="X71">
        <v>4</v>
      </c>
      <c r="Y71">
        <v>1</v>
      </c>
      <c r="Z71">
        <v>33.333333330000002</v>
      </c>
      <c r="AA71" t="s">
        <v>66</v>
      </c>
      <c r="AB71" t="s">
        <v>66</v>
      </c>
      <c r="AC71" t="s">
        <v>66</v>
      </c>
      <c r="AD71" t="s">
        <v>66</v>
      </c>
      <c r="AE71">
        <v>15</v>
      </c>
      <c r="AF71">
        <v>14</v>
      </c>
      <c r="AG71" t="s">
        <v>66</v>
      </c>
      <c r="AH71">
        <v>10</v>
      </c>
      <c r="AI71">
        <v>9</v>
      </c>
      <c r="AJ71" t="s">
        <v>66</v>
      </c>
      <c r="AK71">
        <v>7</v>
      </c>
      <c r="AL71">
        <v>4</v>
      </c>
      <c r="AM71">
        <v>8.5</v>
      </c>
      <c r="AN71">
        <v>6.5</v>
      </c>
      <c r="AO71">
        <v>-23.529411759999999</v>
      </c>
      <c r="AP71">
        <v>-6.6666666670000003</v>
      </c>
      <c r="AQ71">
        <v>1.7647058819999999</v>
      </c>
      <c r="AR71">
        <v>2.153846154</v>
      </c>
      <c r="AS71">
        <v>0.38914027200000001</v>
      </c>
      <c r="AT71">
        <v>0</v>
      </c>
      <c r="AU71" t="s">
        <v>66</v>
      </c>
      <c r="AV71">
        <v>1</v>
      </c>
      <c r="AW71">
        <v>1</v>
      </c>
      <c r="AX71">
        <v>0</v>
      </c>
      <c r="AY71">
        <v>1</v>
      </c>
      <c r="AZ71">
        <v>1</v>
      </c>
      <c r="BA71">
        <v>1</v>
      </c>
      <c r="BB71" t="s">
        <v>66</v>
      </c>
      <c r="BC71">
        <v>18.2</v>
      </c>
      <c r="BD71">
        <v>27.8</v>
      </c>
      <c r="BE71">
        <v>52.747252750000001</v>
      </c>
      <c r="BF71">
        <v>0</v>
      </c>
      <c r="BG71">
        <v>19.46</v>
      </c>
      <c r="BH71">
        <v>6.923076923</v>
      </c>
      <c r="BI71">
        <v>36</v>
      </c>
      <c r="BJ71">
        <v>47</v>
      </c>
      <c r="BK71" t="s">
        <v>66</v>
      </c>
      <c r="BL71">
        <v>27</v>
      </c>
      <c r="BM71">
        <v>9</v>
      </c>
      <c r="BN71">
        <v>6</v>
      </c>
      <c r="BO71">
        <f t="shared" si="5"/>
        <v>7.5</v>
      </c>
      <c r="BP71">
        <v>3</v>
      </c>
      <c r="BQ71">
        <v>1</v>
      </c>
      <c r="BS71">
        <v>0</v>
      </c>
      <c r="BT71">
        <f t="shared" si="6"/>
        <v>36.111111111111107</v>
      </c>
      <c r="BU71">
        <f t="shared" si="7"/>
        <v>93.61702127659575</v>
      </c>
      <c r="BV71">
        <f t="shared" si="10"/>
        <v>44.444444444444443</v>
      </c>
      <c r="BW71">
        <f t="shared" si="11"/>
        <v>-13.333333333333334</v>
      </c>
    </row>
    <row r="72" spans="1:75" x14ac:dyDescent="0.2">
      <c r="A72" t="s">
        <v>256</v>
      </c>
      <c r="B72" t="s">
        <v>257</v>
      </c>
      <c r="C72" t="s">
        <v>62</v>
      </c>
      <c r="D72" t="s">
        <v>63</v>
      </c>
      <c r="E72" t="s">
        <v>85</v>
      </c>
      <c r="F72" t="s">
        <v>268</v>
      </c>
      <c r="G72">
        <v>5.0999999999999996</v>
      </c>
      <c r="H72">
        <v>1.55</v>
      </c>
      <c r="I72">
        <v>1.85</v>
      </c>
      <c r="J72">
        <v>0.3</v>
      </c>
      <c r="K72">
        <v>8.8000000000000007</v>
      </c>
      <c r="L72">
        <v>0.66666666699999999</v>
      </c>
      <c r="M72">
        <v>42</v>
      </c>
      <c r="N72">
        <v>44</v>
      </c>
      <c r="O72">
        <v>2</v>
      </c>
      <c r="P72">
        <v>43</v>
      </c>
      <c r="Q72">
        <v>1</v>
      </c>
      <c r="R72">
        <v>0.5</v>
      </c>
      <c r="S72">
        <v>48.1</v>
      </c>
      <c r="T72">
        <v>2.3809523810000002</v>
      </c>
      <c r="U72">
        <v>-2.2727272730000001</v>
      </c>
      <c r="V72">
        <v>4</v>
      </c>
      <c r="W72">
        <v>5</v>
      </c>
      <c r="X72">
        <v>5</v>
      </c>
      <c r="Y72">
        <v>1</v>
      </c>
      <c r="Z72">
        <v>25</v>
      </c>
      <c r="AA72" t="s">
        <v>66</v>
      </c>
      <c r="AB72" t="s">
        <v>66</v>
      </c>
      <c r="AC72" t="s">
        <v>66</v>
      </c>
      <c r="AD72" t="s">
        <v>66</v>
      </c>
      <c r="AE72">
        <v>29</v>
      </c>
      <c r="AF72">
        <v>28</v>
      </c>
      <c r="AG72" t="s">
        <v>66</v>
      </c>
      <c r="AH72">
        <v>10</v>
      </c>
      <c r="AI72">
        <v>12</v>
      </c>
      <c r="AJ72" t="s">
        <v>66</v>
      </c>
      <c r="AK72">
        <v>10</v>
      </c>
      <c r="AL72">
        <v>8</v>
      </c>
      <c r="AM72">
        <v>10</v>
      </c>
      <c r="AN72">
        <v>10</v>
      </c>
      <c r="AO72">
        <v>0</v>
      </c>
      <c r="AP72">
        <v>-3.448275862</v>
      </c>
      <c r="AQ72">
        <v>2.9</v>
      </c>
      <c r="AR72">
        <v>2.8</v>
      </c>
      <c r="AS72">
        <v>-0.1</v>
      </c>
      <c r="AT72">
        <v>0</v>
      </c>
      <c r="AU72" t="s">
        <v>66</v>
      </c>
      <c r="AV72">
        <v>0</v>
      </c>
      <c r="AW72">
        <v>2</v>
      </c>
      <c r="AX72">
        <v>0</v>
      </c>
      <c r="AY72">
        <v>1</v>
      </c>
      <c r="AZ72">
        <v>1</v>
      </c>
      <c r="BA72">
        <v>1</v>
      </c>
      <c r="BB72" t="s">
        <v>66</v>
      </c>
      <c r="BC72">
        <v>23</v>
      </c>
      <c r="BD72">
        <v>27.8</v>
      </c>
      <c r="BE72">
        <v>20.869565219999998</v>
      </c>
      <c r="BF72">
        <v>0</v>
      </c>
      <c r="BG72">
        <v>19.46</v>
      </c>
      <c r="BH72">
        <v>-15.39130435</v>
      </c>
      <c r="BI72">
        <v>25</v>
      </c>
      <c r="BJ72">
        <v>3.8</v>
      </c>
      <c r="BK72" t="s">
        <v>66</v>
      </c>
      <c r="BL72">
        <v>22</v>
      </c>
      <c r="BM72">
        <v>19</v>
      </c>
      <c r="BN72">
        <v>11</v>
      </c>
      <c r="BO72">
        <f t="shared" si="5"/>
        <v>15</v>
      </c>
      <c r="BP72">
        <v>4</v>
      </c>
      <c r="BQ72">
        <v>1</v>
      </c>
      <c r="BS72">
        <v>0</v>
      </c>
      <c r="BT72">
        <f t="shared" si="6"/>
        <v>-68</v>
      </c>
      <c r="BU72">
        <f t="shared" si="7"/>
        <v>-5.2631578947368478</v>
      </c>
      <c r="BV72">
        <f t="shared" si="10"/>
        <v>-31.818181818181817</v>
      </c>
      <c r="BW72">
        <f t="shared" si="11"/>
        <v>33.333333333333329</v>
      </c>
    </row>
    <row r="73" spans="1:75" x14ac:dyDescent="0.2">
      <c r="A73" t="s">
        <v>256</v>
      </c>
      <c r="B73" t="s">
        <v>257</v>
      </c>
      <c r="C73" t="s">
        <v>62</v>
      </c>
      <c r="D73" t="s">
        <v>63</v>
      </c>
      <c r="E73" t="s">
        <v>87</v>
      </c>
      <c r="F73" t="s">
        <v>269</v>
      </c>
      <c r="G73">
        <v>5.0999999999999996</v>
      </c>
      <c r="H73">
        <v>1.55</v>
      </c>
      <c r="I73">
        <v>1.85</v>
      </c>
      <c r="J73">
        <v>0.3</v>
      </c>
      <c r="K73">
        <v>8.8000000000000007</v>
      </c>
      <c r="L73">
        <v>0.66666666699999999</v>
      </c>
      <c r="M73">
        <v>22</v>
      </c>
      <c r="N73">
        <v>26</v>
      </c>
      <c r="O73">
        <v>4</v>
      </c>
      <c r="P73">
        <v>25</v>
      </c>
      <c r="Q73">
        <v>3</v>
      </c>
      <c r="R73">
        <v>1.5</v>
      </c>
      <c r="S73">
        <v>50.1</v>
      </c>
      <c r="T73">
        <v>13.636363640000001</v>
      </c>
      <c r="U73">
        <v>-3.846153846</v>
      </c>
      <c r="V73">
        <v>5</v>
      </c>
      <c r="W73">
        <v>4</v>
      </c>
      <c r="X73">
        <v>5</v>
      </c>
      <c r="Y73">
        <v>0</v>
      </c>
      <c r="Z73">
        <v>0</v>
      </c>
      <c r="AA73" t="s">
        <v>66</v>
      </c>
      <c r="AB73" t="s">
        <v>66</v>
      </c>
      <c r="AC73" t="s">
        <v>66</v>
      </c>
      <c r="AD73" t="s">
        <v>66</v>
      </c>
      <c r="AE73">
        <v>16</v>
      </c>
      <c r="AF73">
        <v>13</v>
      </c>
      <c r="AG73" t="s">
        <v>66</v>
      </c>
      <c r="AH73">
        <v>8</v>
      </c>
      <c r="AI73">
        <v>7</v>
      </c>
      <c r="AJ73" t="s">
        <v>66</v>
      </c>
      <c r="AK73">
        <v>6</v>
      </c>
      <c r="AL73">
        <v>7</v>
      </c>
      <c r="AM73">
        <v>7</v>
      </c>
      <c r="AN73">
        <v>7</v>
      </c>
      <c r="AO73">
        <v>0</v>
      </c>
      <c r="AP73">
        <v>-18.75</v>
      </c>
      <c r="AQ73">
        <v>2.2857142860000002</v>
      </c>
      <c r="AR73">
        <v>1.8571428569999999</v>
      </c>
      <c r="AS73">
        <v>-0.428571429</v>
      </c>
      <c r="AT73">
        <v>0</v>
      </c>
      <c r="AU73" t="s">
        <v>66</v>
      </c>
      <c r="AV73">
        <v>1</v>
      </c>
      <c r="AW73">
        <v>0</v>
      </c>
      <c r="AX73">
        <v>0</v>
      </c>
      <c r="AY73">
        <v>1</v>
      </c>
      <c r="AZ73">
        <v>1</v>
      </c>
      <c r="BA73">
        <v>1</v>
      </c>
      <c r="BB73" t="s">
        <v>66</v>
      </c>
      <c r="BC73">
        <v>24</v>
      </c>
      <c r="BD73">
        <v>38</v>
      </c>
      <c r="BE73">
        <v>58.333333330000002</v>
      </c>
      <c r="BF73">
        <v>0</v>
      </c>
      <c r="BG73">
        <v>26.6</v>
      </c>
      <c r="BH73">
        <v>10.83333333</v>
      </c>
      <c r="BI73">
        <v>20</v>
      </c>
      <c r="BJ73">
        <v>11.5</v>
      </c>
      <c r="BK73" t="s">
        <v>66</v>
      </c>
      <c r="BL73">
        <v>11</v>
      </c>
      <c r="BM73">
        <v>11</v>
      </c>
      <c r="BN73">
        <v>8</v>
      </c>
      <c r="BO73">
        <f t="shared" si="5"/>
        <v>9.5</v>
      </c>
      <c r="BP73">
        <v>4</v>
      </c>
      <c r="BQ73">
        <v>1</v>
      </c>
      <c r="BS73">
        <v>0</v>
      </c>
      <c r="BT73">
        <f t="shared" si="6"/>
        <v>-10</v>
      </c>
      <c r="BU73">
        <f t="shared" si="7"/>
        <v>56.521739130434781</v>
      </c>
      <c r="BV73">
        <f t="shared" si="10"/>
        <v>-45.454545454545453</v>
      </c>
      <c r="BW73">
        <f t="shared" si="11"/>
        <v>26.315789473684209</v>
      </c>
    </row>
    <row r="74" spans="1:75" x14ac:dyDescent="0.2">
      <c r="A74" t="s">
        <v>256</v>
      </c>
      <c r="B74" t="s">
        <v>257</v>
      </c>
      <c r="C74" t="s">
        <v>62</v>
      </c>
      <c r="D74" t="s">
        <v>63</v>
      </c>
      <c r="E74" t="s">
        <v>89</v>
      </c>
      <c r="F74" t="s">
        <v>270</v>
      </c>
      <c r="G74">
        <v>5.0999999999999996</v>
      </c>
      <c r="H74">
        <v>1.55</v>
      </c>
      <c r="I74">
        <v>1.85</v>
      </c>
      <c r="J74">
        <v>0.3</v>
      </c>
      <c r="K74">
        <v>8.8000000000000007</v>
      </c>
      <c r="L74">
        <v>0.66666666699999999</v>
      </c>
      <c r="M74">
        <v>22</v>
      </c>
      <c r="N74">
        <v>33</v>
      </c>
      <c r="O74">
        <v>11</v>
      </c>
      <c r="P74">
        <v>36</v>
      </c>
      <c r="Q74">
        <v>14</v>
      </c>
      <c r="R74">
        <v>7</v>
      </c>
      <c r="S74">
        <v>61.1</v>
      </c>
      <c r="T74">
        <v>63.636363639999999</v>
      </c>
      <c r="U74">
        <v>9.0909090910000003</v>
      </c>
      <c r="V74">
        <v>4</v>
      </c>
      <c r="W74">
        <v>6</v>
      </c>
      <c r="X74">
        <v>5</v>
      </c>
      <c r="Y74">
        <v>1</v>
      </c>
      <c r="Z74">
        <v>25</v>
      </c>
      <c r="AA74" t="s">
        <v>66</v>
      </c>
      <c r="AB74" t="s">
        <v>66</v>
      </c>
      <c r="AC74" t="s">
        <v>66</v>
      </c>
      <c r="AD74" t="s">
        <v>66</v>
      </c>
      <c r="AE74">
        <v>16</v>
      </c>
      <c r="AF74">
        <v>18</v>
      </c>
      <c r="AG74" t="s">
        <v>66</v>
      </c>
      <c r="AH74">
        <v>12</v>
      </c>
      <c r="AI74">
        <v>11</v>
      </c>
      <c r="AJ74" t="s">
        <v>66</v>
      </c>
      <c r="AK74">
        <v>8</v>
      </c>
      <c r="AL74">
        <v>5</v>
      </c>
      <c r="AM74">
        <v>10</v>
      </c>
      <c r="AN74">
        <v>8</v>
      </c>
      <c r="AO74">
        <v>-20</v>
      </c>
      <c r="AP74">
        <v>12.5</v>
      </c>
      <c r="AQ74">
        <v>1.6</v>
      </c>
      <c r="AR74">
        <v>2.25</v>
      </c>
      <c r="AS74">
        <v>0.65</v>
      </c>
      <c r="AT74">
        <v>0</v>
      </c>
      <c r="AU74" t="s">
        <v>66</v>
      </c>
      <c r="AV74">
        <v>0</v>
      </c>
      <c r="AW74">
        <v>4</v>
      </c>
      <c r="AX74">
        <v>0</v>
      </c>
      <c r="AY74">
        <v>1</v>
      </c>
      <c r="AZ74">
        <v>1</v>
      </c>
      <c r="BA74">
        <v>1</v>
      </c>
      <c r="BB74" t="s">
        <v>66</v>
      </c>
      <c r="BC74">
        <v>23</v>
      </c>
      <c r="BD74">
        <v>33.299999999999997</v>
      </c>
      <c r="BE74">
        <v>44.782608699999997</v>
      </c>
      <c r="BF74">
        <v>0</v>
      </c>
      <c r="BG74">
        <v>23.31</v>
      </c>
      <c r="BH74">
        <v>1.3478260870000001</v>
      </c>
      <c r="BI74">
        <v>25</v>
      </c>
      <c r="BJ74">
        <v>6.5</v>
      </c>
      <c r="BK74" t="s">
        <v>66</v>
      </c>
      <c r="BL74">
        <v>13</v>
      </c>
      <c r="BM74">
        <v>12</v>
      </c>
      <c r="BN74">
        <v>9</v>
      </c>
      <c r="BO74">
        <f t="shared" si="5"/>
        <v>10.5</v>
      </c>
      <c r="BP74">
        <v>4</v>
      </c>
      <c r="BQ74">
        <v>1</v>
      </c>
      <c r="BS74">
        <v>0</v>
      </c>
      <c r="BT74">
        <f t="shared" si="6"/>
        <v>12</v>
      </c>
      <c r="BU74">
        <f t="shared" si="7"/>
        <v>38.461538461538467</v>
      </c>
      <c r="BV74">
        <f t="shared" si="10"/>
        <v>-23.076923076923077</v>
      </c>
      <c r="BW74">
        <f t="shared" si="11"/>
        <v>4.7619047619047619</v>
      </c>
    </row>
    <row r="75" spans="1:75" x14ac:dyDescent="0.2">
      <c r="A75" t="s">
        <v>256</v>
      </c>
      <c r="B75" t="s">
        <v>257</v>
      </c>
      <c r="C75" t="s">
        <v>62</v>
      </c>
      <c r="D75" t="s">
        <v>63</v>
      </c>
      <c r="E75" t="s">
        <v>93</v>
      </c>
      <c r="F75" t="s">
        <v>272</v>
      </c>
      <c r="G75">
        <v>5.0999999999999996</v>
      </c>
      <c r="H75">
        <v>1.55</v>
      </c>
      <c r="I75">
        <v>1.85</v>
      </c>
      <c r="J75">
        <v>0.3</v>
      </c>
      <c r="K75">
        <v>8.8000000000000007</v>
      </c>
      <c r="L75">
        <v>0.66666666699999999</v>
      </c>
      <c r="M75">
        <v>28</v>
      </c>
      <c r="N75">
        <v>32</v>
      </c>
      <c r="O75">
        <v>4</v>
      </c>
      <c r="P75">
        <v>33</v>
      </c>
      <c r="Q75">
        <v>5</v>
      </c>
      <c r="R75">
        <v>2.5</v>
      </c>
      <c r="S75">
        <v>52.1</v>
      </c>
      <c r="T75">
        <v>17.85714286</v>
      </c>
      <c r="U75">
        <v>3.125</v>
      </c>
      <c r="V75">
        <v>4</v>
      </c>
      <c r="W75">
        <v>4</v>
      </c>
      <c r="X75">
        <v>5</v>
      </c>
      <c r="Y75">
        <v>1</v>
      </c>
      <c r="Z75">
        <v>25</v>
      </c>
      <c r="AA75" t="s">
        <v>66</v>
      </c>
      <c r="AB75" t="s">
        <v>66</v>
      </c>
      <c r="AC75" t="s">
        <v>66</v>
      </c>
      <c r="AD75" t="s">
        <v>66</v>
      </c>
      <c r="AE75">
        <v>14</v>
      </c>
      <c r="AF75">
        <v>15</v>
      </c>
      <c r="AG75" t="s">
        <v>66</v>
      </c>
      <c r="AH75">
        <v>8</v>
      </c>
      <c r="AI75">
        <v>6</v>
      </c>
      <c r="AJ75" t="s">
        <v>66</v>
      </c>
      <c r="AK75">
        <v>4</v>
      </c>
      <c r="AL75">
        <v>6</v>
      </c>
      <c r="AM75">
        <v>6</v>
      </c>
      <c r="AN75">
        <v>6</v>
      </c>
      <c r="AO75">
        <v>0</v>
      </c>
      <c r="AP75">
        <v>7.1428571429999996</v>
      </c>
      <c r="AQ75">
        <v>2.3333333330000001</v>
      </c>
      <c r="AR75">
        <v>2.5</v>
      </c>
      <c r="AS75">
        <v>0.16666666699999999</v>
      </c>
      <c r="AT75">
        <v>0</v>
      </c>
      <c r="AU75" t="s">
        <v>66</v>
      </c>
      <c r="AV75">
        <v>1</v>
      </c>
      <c r="AW75">
        <v>0</v>
      </c>
      <c r="AX75">
        <v>0</v>
      </c>
      <c r="AY75">
        <v>1</v>
      </c>
      <c r="AZ75">
        <v>1</v>
      </c>
      <c r="BA75">
        <v>1</v>
      </c>
      <c r="BB75" t="s">
        <v>66</v>
      </c>
      <c r="BC75">
        <v>16.399999999999999</v>
      </c>
      <c r="BD75">
        <v>22.3</v>
      </c>
      <c r="BE75">
        <v>35.975609759999998</v>
      </c>
      <c r="BF75">
        <v>0</v>
      </c>
      <c r="BG75">
        <v>15.61</v>
      </c>
      <c r="BH75">
        <v>-4.8170731709999997</v>
      </c>
      <c r="BI75">
        <v>34</v>
      </c>
      <c r="BJ75">
        <v>5.9</v>
      </c>
      <c r="BK75" t="s">
        <v>66</v>
      </c>
      <c r="BL75">
        <v>25</v>
      </c>
      <c r="BM75">
        <v>13</v>
      </c>
      <c r="BN75">
        <v>8</v>
      </c>
      <c r="BO75">
        <f t="shared" si="5"/>
        <v>10.5</v>
      </c>
      <c r="BP75">
        <v>3</v>
      </c>
      <c r="BQ75">
        <v>1</v>
      </c>
      <c r="BS75">
        <v>0</v>
      </c>
      <c r="BT75">
        <f t="shared" si="6"/>
        <v>17.647058823529413</v>
      </c>
      <c r="BU75">
        <f t="shared" si="7"/>
        <v>32.203389830508478</v>
      </c>
      <c r="BV75">
        <f t="shared" si="10"/>
        <v>44</v>
      </c>
      <c r="BW75">
        <f t="shared" si="11"/>
        <v>42.857142857142854</v>
      </c>
    </row>
    <row r="76" spans="1:75" x14ac:dyDescent="0.2">
      <c r="A76" t="s">
        <v>256</v>
      </c>
      <c r="B76" t="s">
        <v>257</v>
      </c>
      <c r="C76" t="s">
        <v>62</v>
      </c>
      <c r="D76" t="s">
        <v>63</v>
      </c>
      <c r="E76" t="s">
        <v>97</v>
      </c>
      <c r="F76" t="s">
        <v>274</v>
      </c>
      <c r="G76">
        <v>5.0999999999999996</v>
      </c>
      <c r="H76">
        <v>1.55</v>
      </c>
      <c r="I76">
        <v>1.85</v>
      </c>
      <c r="J76">
        <v>0.3</v>
      </c>
      <c r="K76">
        <v>8.8000000000000007</v>
      </c>
      <c r="L76">
        <v>0.66666666699999999</v>
      </c>
      <c r="M76">
        <v>14</v>
      </c>
      <c r="N76">
        <v>18</v>
      </c>
      <c r="O76">
        <v>4</v>
      </c>
      <c r="P76">
        <v>19</v>
      </c>
      <c r="Q76">
        <v>5</v>
      </c>
      <c r="R76">
        <v>2.5</v>
      </c>
      <c r="S76">
        <v>52.1</v>
      </c>
      <c r="T76">
        <v>35.714285709999999</v>
      </c>
      <c r="U76">
        <v>5.5555555559999998</v>
      </c>
      <c r="V76">
        <v>2</v>
      </c>
      <c r="W76">
        <v>2</v>
      </c>
      <c r="X76">
        <v>2</v>
      </c>
      <c r="Y76">
        <v>0</v>
      </c>
      <c r="Z76">
        <v>0</v>
      </c>
      <c r="AA76" t="s">
        <v>66</v>
      </c>
      <c r="AB76" t="s">
        <v>66</v>
      </c>
      <c r="AC76" t="s">
        <v>66</v>
      </c>
      <c r="AD76" t="s">
        <v>66</v>
      </c>
      <c r="AE76">
        <v>4</v>
      </c>
      <c r="AF76">
        <v>5</v>
      </c>
      <c r="AG76" t="s">
        <v>66</v>
      </c>
      <c r="AH76">
        <v>6</v>
      </c>
      <c r="AI76">
        <v>5</v>
      </c>
      <c r="AJ76" t="s">
        <v>66</v>
      </c>
      <c r="AK76">
        <v>3</v>
      </c>
      <c r="AL76">
        <v>4</v>
      </c>
      <c r="AM76">
        <v>4.5</v>
      </c>
      <c r="AN76">
        <v>4.5</v>
      </c>
      <c r="AO76">
        <v>0</v>
      </c>
      <c r="AP76">
        <v>25</v>
      </c>
      <c r="AQ76">
        <v>0.88888888899999996</v>
      </c>
      <c r="AR76">
        <v>1.111111111</v>
      </c>
      <c r="AS76">
        <v>0.222222222</v>
      </c>
      <c r="AT76">
        <v>0</v>
      </c>
      <c r="AU76" t="s">
        <v>66</v>
      </c>
      <c r="AV76">
        <v>0</v>
      </c>
      <c r="AW76">
        <v>0</v>
      </c>
      <c r="AX76">
        <v>0</v>
      </c>
      <c r="AY76">
        <v>1</v>
      </c>
      <c r="AZ76">
        <v>1</v>
      </c>
      <c r="BA76">
        <v>1</v>
      </c>
      <c r="BB76" t="s">
        <v>66</v>
      </c>
      <c r="BC76">
        <v>19.5</v>
      </c>
      <c r="BD76">
        <v>27.833333329999999</v>
      </c>
      <c r="BE76">
        <v>42.735042720000003</v>
      </c>
      <c r="BF76">
        <v>0</v>
      </c>
      <c r="BG76">
        <v>19.483333330000001</v>
      </c>
      <c r="BH76">
        <v>-8.5470096999999995E-2</v>
      </c>
      <c r="BI76">
        <v>15</v>
      </c>
      <c r="BJ76">
        <v>3.5</v>
      </c>
      <c r="BK76" t="s">
        <v>66</v>
      </c>
      <c r="BL76">
        <v>5</v>
      </c>
      <c r="BM76">
        <v>5</v>
      </c>
      <c r="BN76">
        <v>3</v>
      </c>
      <c r="BO76">
        <f t="shared" si="5"/>
        <v>4</v>
      </c>
      <c r="BP76" t="s">
        <v>66</v>
      </c>
      <c r="BQ76">
        <v>1</v>
      </c>
      <c r="BS76">
        <v>0</v>
      </c>
      <c r="BT76">
        <f t="shared" si="6"/>
        <v>6.666666666666667</v>
      </c>
      <c r="BU76">
        <f t="shared" si="7"/>
        <v>42.857142857142854</v>
      </c>
      <c r="BV76">
        <f t="shared" si="10"/>
        <v>20</v>
      </c>
      <c r="BW76">
        <f t="shared" si="11"/>
        <v>-12.5</v>
      </c>
    </row>
    <row r="77" spans="1:75" x14ac:dyDescent="0.2">
      <c r="A77" t="s">
        <v>256</v>
      </c>
      <c r="B77" t="s">
        <v>257</v>
      </c>
      <c r="C77" t="s">
        <v>62</v>
      </c>
      <c r="D77" t="s">
        <v>63</v>
      </c>
      <c r="E77" t="s">
        <v>99</v>
      </c>
      <c r="F77" t="s">
        <v>275</v>
      </c>
      <c r="G77">
        <v>5.0999999999999996</v>
      </c>
      <c r="H77">
        <v>1.55</v>
      </c>
      <c r="I77">
        <v>1.85</v>
      </c>
      <c r="J77">
        <v>0.3</v>
      </c>
      <c r="K77">
        <v>8.8000000000000007</v>
      </c>
      <c r="L77">
        <v>0.66666666699999999</v>
      </c>
      <c r="M77">
        <v>17</v>
      </c>
      <c r="N77">
        <v>17</v>
      </c>
      <c r="O77">
        <v>0</v>
      </c>
      <c r="P77">
        <v>21</v>
      </c>
      <c r="Q77">
        <v>4</v>
      </c>
      <c r="R77">
        <v>2</v>
      </c>
      <c r="S77">
        <v>51.1</v>
      </c>
      <c r="T77">
        <v>23.529411759999999</v>
      </c>
      <c r="U77">
        <v>23.529411759999999</v>
      </c>
      <c r="V77">
        <v>3</v>
      </c>
      <c r="W77">
        <v>3</v>
      </c>
      <c r="X77">
        <v>4</v>
      </c>
      <c r="Y77">
        <v>1</v>
      </c>
      <c r="Z77">
        <v>33.333333330000002</v>
      </c>
      <c r="AA77" t="s">
        <v>66</v>
      </c>
      <c r="AB77" t="s">
        <v>66</v>
      </c>
      <c r="AC77" t="s">
        <v>66</v>
      </c>
      <c r="AD77" t="s">
        <v>66</v>
      </c>
      <c r="AE77">
        <v>10</v>
      </c>
      <c r="AF77">
        <v>13</v>
      </c>
      <c r="AG77" t="s">
        <v>66</v>
      </c>
      <c r="AH77">
        <v>10</v>
      </c>
      <c r="AI77">
        <v>9</v>
      </c>
      <c r="AJ77" t="s">
        <v>66</v>
      </c>
      <c r="AK77">
        <v>6</v>
      </c>
      <c r="AL77">
        <v>5</v>
      </c>
      <c r="AM77">
        <v>8</v>
      </c>
      <c r="AN77">
        <v>7</v>
      </c>
      <c r="AO77">
        <v>-12.5</v>
      </c>
      <c r="AP77">
        <v>30</v>
      </c>
      <c r="AQ77">
        <v>1.25</v>
      </c>
      <c r="AR77">
        <v>1.8571428569999999</v>
      </c>
      <c r="AS77">
        <v>0.60714285700000004</v>
      </c>
      <c r="AT77">
        <v>0</v>
      </c>
      <c r="AU77" t="s">
        <v>66</v>
      </c>
      <c r="AV77">
        <v>1</v>
      </c>
      <c r="AW77">
        <v>0</v>
      </c>
      <c r="AX77">
        <v>0</v>
      </c>
      <c r="AY77">
        <v>1</v>
      </c>
      <c r="AZ77">
        <v>1</v>
      </c>
      <c r="BA77">
        <v>1</v>
      </c>
      <c r="BB77" t="s">
        <v>66</v>
      </c>
      <c r="BC77">
        <v>21.2</v>
      </c>
      <c r="BD77">
        <v>23.6</v>
      </c>
      <c r="BE77">
        <v>11.32075472</v>
      </c>
      <c r="BF77">
        <v>0</v>
      </c>
      <c r="BG77">
        <v>16.52</v>
      </c>
      <c r="BH77">
        <v>-22.075471700000001</v>
      </c>
      <c r="BI77">
        <v>20</v>
      </c>
      <c r="BJ77">
        <v>4.8</v>
      </c>
      <c r="BK77" t="s">
        <v>66</v>
      </c>
      <c r="BL77">
        <v>14</v>
      </c>
      <c r="BM77">
        <v>6</v>
      </c>
      <c r="BN77">
        <v>3</v>
      </c>
      <c r="BO77">
        <f t="shared" si="5"/>
        <v>4.5</v>
      </c>
      <c r="BP77">
        <v>3</v>
      </c>
      <c r="BQ77">
        <v>1</v>
      </c>
      <c r="BS77">
        <v>0</v>
      </c>
      <c r="BT77">
        <f t="shared" si="6"/>
        <v>15</v>
      </c>
      <c r="BU77">
        <f t="shared" si="7"/>
        <v>37.5</v>
      </c>
      <c r="BV77">
        <f t="shared" si="10"/>
        <v>28.571428571428569</v>
      </c>
      <c r="BW77">
        <f t="shared" si="11"/>
        <v>-77.777777777777786</v>
      </c>
    </row>
    <row r="78" spans="1:75" x14ac:dyDescent="0.2">
      <c r="A78" t="s">
        <v>256</v>
      </c>
      <c r="B78" t="s">
        <v>257</v>
      </c>
      <c r="C78" t="s">
        <v>62</v>
      </c>
      <c r="D78" t="s">
        <v>63</v>
      </c>
      <c r="E78" t="s">
        <v>101</v>
      </c>
      <c r="F78" t="s">
        <v>276</v>
      </c>
      <c r="G78">
        <v>5.0999999999999996</v>
      </c>
      <c r="H78">
        <v>1.55</v>
      </c>
      <c r="I78">
        <v>1.85</v>
      </c>
      <c r="J78">
        <v>0.3</v>
      </c>
      <c r="K78">
        <v>8.8000000000000007</v>
      </c>
      <c r="L78">
        <v>0.66666666699999999</v>
      </c>
      <c r="M78">
        <v>35</v>
      </c>
      <c r="N78">
        <v>35</v>
      </c>
      <c r="O78">
        <v>0</v>
      </c>
      <c r="P78">
        <v>33</v>
      </c>
      <c r="Q78">
        <v>-2</v>
      </c>
      <c r="R78">
        <v>-1</v>
      </c>
      <c r="S78">
        <v>45.1</v>
      </c>
      <c r="T78">
        <v>-5.7142857139999998</v>
      </c>
      <c r="U78">
        <v>-5.7142857139999998</v>
      </c>
      <c r="V78">
        <v>3</v>
      </c>
      <c r="W78">
        <v>4</v>
      </c>
      <c r="X78">
        <v>4</v>
      </c>
      <c r="Y78">
        <v>1</v>
      </c>
      <c r="Z78">
        <v>33.333333330000002</v>
      </c>
      <c r="AA78" t="s">
        <v>66</v>
      </c>
      <c r="AB78" t="s">
        <v>66</v>
      </c>
      <c r="AC78" t="s">
        <v>66</v>
      </c>
      <c r="AD78" t="s">
        <v>66</v>
      </c>
      <c r="AE78">
        <v>14</v>
      </c>
      <c r="AF78">
        <v>16</v>
      </c>
      <c r="AG78" t="s">
        <v>66</v>
      </c>
      <c r="AH78">
        <v>9</v>
      </c>
      <c r="AI78">
        <v>8</v>
      </c>
      <c r="AJ78" t="s">
        <v>66</v>
      </c>
      <c r="AK78">
        <v>6</v>
      </c>
      <c r="AL78">
        <v>7</v>
      </c>
      <c r="AM78">
        <v>7.5</v>
      </c>
      <c r="AN78">
        <v>7.5</v>
      </c>
      <c r="AO78">
        <v>0</v>
      </c>
      <c r="AP78">
        <v>14.28571429</v>
      </c>
      <c r="AQ78">
        <v>1.8666666670000001</v>
      </c>
      <c r="AR78">
        <v>2.1333333329999999</v>
      </c>
      <c r="AS78">
        <v>0.266666666</v>
      </c>
      <c r="AT78">
        <v>0</v>
      </c>
      <c r="AU78" t="s">
        <v>66</v>
      </c>
      <c r="AV78">
        <v>1</v>
      </c>
      <c r="AW78">
        <v>1</v>
      </c>
      <c r="AX78">
        <v>0</v>
      </c>
      <c r="AY78">
        <v>1</v>
      </c>
      <c r="AZ78">
        <v>1</v>
      </c>
      <c r="BA78">
        <v>1</v>
      </c>
      <c r="BB78" t="s">
        <v>66</v>
      </c>
      <c r="BC78">
        <v>17.600000000000001</v>
      </c>
      <c r="BD78">
        <v>28.5</v>
      </c>
      <c r="BE78">
        <v>61.93181818</v>
      </c>
      <c r="BF78">
        <v>0</v>
      </c>
      <c r="BG78">
        <v>19.95</v>
      </c>
      <c r="BH78">
        <v>13.352272729999999</v>
      </c>
      <c r="BI78">
        <v>37</v>
      </c>
      <c r="BJ78">
        <v>5.7</v>
      </c>
      <c r="BK78" t="s">
        <v>66</v>
      </c>
      <c r="BL78">
        <v>17</v>
      </c>
      <c r="BM78">
        <v>8</v>
      </c>
      <c r="BN78">
        <v>3</v>
      </c>
      <c r="BO78">
        <f t="shared" si="5"/>
        <v>5.5</v>
      </c>
      <c r="BP78">
        <v>4</v>
      </c>
      <c r="BQ78">
        <v>1</v>
      </c>
      <c r="BS78">
        <v>0</v>
      </c>
      <c r="BT78">
        <f t="shared" si="6"/>
        <v>5.4054054054054053</v>
      </c>
      <c r="BU78">
        <f t="shared" si="7"/>
        <v>47.368421052631582</v>
      </c>
      <c r="BV78">
        <f t="shared" si="10"/>
        <v>17.647058823529413</v>
      </c>
      <c r="BW78">
        <f t="shared" si="11"/>
        <v>-36.363636363636367</v>
      </c>
    </row>
    <row r="79" spans="1:75" x14ac:dyDescent="0.2">
      <c r="A79" t="s">
        <v>256</v>
      </c>
      <c r="B79" t="s">
        <v>257</v>
      </c>
      <c r="C79" t="s">
        <v>62</v>
      </c>
      <c r="D79" t="s">
        <v>63</v>
      </c>
      <c r="E79" t="s">
        <v>103</v>
      </c>
      <c r="F79" t="s">
        <v>277</v>
      </c>
      <c r="G79">
        <v>5.0999999999999996</v>
      </c>
      <c r="H79">
        <v>1.55</v>
      </c>
      <c r="I79">
        <v>1.85</v>
      </c>
      <c r="J79">
        <v>0.3</v>
      </c>
      <c r="K79">
        <v>8.8000000000000007</v>
      </c>
      <c r="L79">
        <v>0.66666666699999999</v>
      </c>
      <c r="M79">
        <v>37</v>
      </c>
      <c r="N79">
        <v>37</v>
      </c>
      <c r="O79">
        <v>0</v>
      </c>
      <c r="P79">
        <v>39</v>
      </c>
      <c r="Q79">
        <v>2</v>
      </c>
      <c r="R79">
        <v>1</v>
      </c>
      <c r="S79">
        <v>49.1</v>
      </c>
      <c r="T79">
        <v>5.4054054049999998</v>
      </c>
      <c r="U79">
        <v>5.4054054049999998</v>
      </c>
      <c r="V79">
        <v>5</v>
      </c>
      <c r="W79">
        <v>5</v>
      </c>
      <c r="X79">
        <v>7</v>
      </c>
      <c r="Y79">
        <v>2</v>
      </c>
      <c r="Z79">
        <v>40</v>
      </c>
      <c r="AA79" t="s">
        <v>66</v>
      </c>
      <c r="AB79" t="s">
        <v>66</v>
      </c>
      <c r="AC79" t="s">
        <v>66</v>
      </c>
      <c r="AD79" t="s">
        <v>66</v>
      </c>
      <c r="AE79">
        <v>20</v>
      </c>
      <c r="AF79">
        <v>21</v>
      </c>
      <c r="AG79" t="s">
        <v>66</v>
      </c>
      <c r="AH79">
        <v>9</v>
      </c>
      <c r="AI79">
        <v>9</v>
      </c>
      <c r="AJ79" t="s">
        <v>66</v>
      </c>
      <c r="AK79">
        <v>6</v>
      </c>
      <c r="AL79">
        <v>7</v>
      </c>
      <c r="AM79">
        <v>7.5</v>
      </c>
      <c r="AN79">
        <v>8</v>
      </c>
      <c r="AO79">
        <v>6.6666666670000003</v>
      </c>
      <c r="AP79">
        <v>5</v>
      </c>
      <c r="AQ79">
        <v>2.6666666669999999</v>
      </c>
      <c r="AR79">
        <v>2.625</v>
      </c>
      <c r="AS79">
        <v>-4.1666666999999998E-2</v>
      </c>
      <c r="AT79">
        <v>0</v>
      </c>
      <c r="AU79" t="s">
        <v>66</v>
      </c>
      <c r="AV79">
        <v>3</v>
      </c>
      <c r="AW79">
        <v>1</v>
      </c>
      <c r="AX79">
        <v>1</v>
      </c>
      <c r="AY79">
        <v>1</v>
      </c>
      <c r="AZ79">
        <v>1</v>
      </c>
      <c r="BA79">
        <v>1</v>
      </c>
      <c r="BB79" t="s">
        <v>66</v>
      </c>
      <c r="BC79">
        <v>21</v>
      </c>
      <c r="BD79">
        <v>28.8</v>
      </c>
      <c r="BE79">
        <v>37.142857139999997</v>
      </c>
      <c r="BF79">
        <v>0</v>
      </c>
      <c r="BG79">
        <v>20.16</v>
      </c>
      <c r="BH79">
        <v>-4</v>
      </c>
      <c r="BI79">
        <v>39</v>
      </c>
      <c r="BJ79">
        <v>7.3</v>
      </c>
      <c r="BK79" t="s">
        <v>66</v>
      </c>
      <c r="BL79">
        <v>19</v>
      </c>
      <c r="BM79">
        <v>5</v>
      </c>
      <c r="BN79">
        <v>6</v>
      </c>
      <c r="BO79">
        <f t="shared" si="5"/>
        <v>5.5</v>
      </c>
      <c r="BP79">
        <v>4</v>
      </c>
      <c r="BQ79">
        <v>1</v>
      </c>
      <c r="BS79">
        <v>0</v>
      </c>
      <c r="BT79">
        <f t="shared" si="6"/>
        <v>5.1282051282051277</v>
      </c>
      <c r="BU79">
        <f t="shared" si="7"/>
        <v>31.506849315068493</v>
      </c>
      <c r="BV79">
        <f t="shared" si="10"/>
        <v>-5.2631578947368416</v>
      </c>
      <c r="BW79">
        <f t="shared" si="11"/>
        <v>-36.363636363636367</v>
      </c>
    </row>
    <row r="80" spans="1:75" x14ac:dyDescent="0.2">
      <c r="A80" t="s">
        <v>299</v>
      </c>
      <c r="B80" t="s">
        <v>300</v>
      </c>
      <c r="C80" t="s">
        <v>62</v>
      </c>
      <c r="D80" t="s">
        <v>63</v>
      </c>
      <c r="E80" t="s">
        <v>73</v>
      </c>
      <c r="F80" t="s">
        <v>305</v>
      </c>
      <c r="G80">
        <v>8.0500000000000007</v>
      </c>
      <c r="H80">
        <v>11.7</v>
      </c>
      <c r="I80">
        <v>17.45</v>
      </c>
      <c r="J80">
        <v>6.05</v>
      </c>
      <c r="K80">
        <v>43.25</v>
      </c>
      <c r="L80">
        <v>3.6211180120000002</v>
      </c>
      <c r="M80">
        <v>46</v>
      </c>
      <c r="N80">
        <v>57</v>
      </c>
      <c r="O80">
        <v>11</v>
      </c>
      <c r="P80">
        <v>65</v>
      </c>
      <c r="Q80">
        <v>19</v>
      </c>
      <c r="R80">
        <v>9.5</v>
      </c>
      <c r="S80">
        <v>66.099999999999994</v>
      </c>
      <c r="T80">
        <v>41.304347829999998</v>
      </c>
      <c r="U80">
        <v>14.03508772</v>
      </c>
      <c r="V80">
        <v>3</v>
      </c>
      <c r="W80">
        <v>4</v>
      </c>
      <c r="X80">
        <v>5</v>
      </c>
      <c r="Y80">
        <v>2</v>
      </c>
      <c r="Z80">
        <v>66.666666669999998</v>
      </c>
      <c r="AA80" t="s">
        <v>66</v>
      </c>
      <c r="AB80" t="s">
        <v>66</v>
      </c>
      <c r="AC80" t="s">
        <v>66</v>
      </c>
      <c r="AD80" t="s">
        <v>66</v>
      </c>
      <c r="AE80">
        <v>32</v>
      </c>
      <c r="AF80">
        <v>28</v>
      </c>
      <c r="AG80" t="s">
        <v>66</v>
      </c>
      <c r="AH80">
        <v>11</v>
      </c>
      <c r="AI80">
        <v>14</v>
      </c>
      <c r="AJ80" t="s">
        <v>66</v>
      </c>
      <c r="AK80">
        <v>8</v>
      </c>
      <c r="AL80">
        <v>9</v>
      </c>
      <c r="AM80">
        <v>9.5</v>
      </c>
      <c r="AN80">
        <v>11.5</v>
      </c>
      <c r="AO80">
        <v>21.05263158</v>
      </c>
      <c r="AP80">
        <v>-12.5</v>
      </c>
      <c r="AQ80">
        <v>3.3684210530000001</v>
      </c>
      <c r="AR80">
        <v>2.434782609</v>
      </c>
      <c r="AS80">
        <v>-0.93363844399999996</v>
      </c>
      <c r="AT80">
        <v>0</v>
      </c>
      <c r="AU80" t="s">
        <v>66</v>
      </c>
      <c r="AV80">
        <v>3</v>
      </c>
      <c r="AW80">
        <v>3</v>
      </c>
      <c r="AX80">
        <v>0</v>
      </c>
      <c r="AY80">
        <v>1</v>
      </c>
      <c r="AZ80">
        <v>1</v>
      </c>
      <c r="BA80">
        <v>1</v>
      </c>
      <c r="BB80" t="s">
        <v>66</v>
      </c>
      <c r="BC80">
        <v>29.5</v>
      </c>
      <c r="BD80">
        <v>43.5</v>
      </c>
      <c r="BE80">
        <v>47.457627119999998</v>
      </c>
      <c r="BF80">
        <v>0</v>
      </c>
      <c r="BG80">
        <v>30.45</v>
      </c>
      <c r="BH80">
        <v>3.220338983</v>
      </c>
      <c r="BI80" t="s">
        <v>66</v>
      </c>
      <c r="BJ80" t="s">
        <v>66</v>
      </c>
      <c r="BK80" t="s">
        <v>66</v>
      </c>
      <c r="BL80" t="s">
        <v>66</v>
      </c>
      <c r="BM80" t="s">
        <v>66</v>
      </c>
      <c r="BN80" t="s">
        <v>66</v>
      </c>
      <c r="BO80" t="s">
        <v>66</v>
      </c>
      <c r="BP80" t="s">
        <v>66</v>
      </c>
      <c r="BQ80">
        <v>0</v>
      </c>
      <c r="BS80">
        <v>0</v>
      </c>
      <c r="BT80" t="s">
        <v>66</v>
      </c>
      <c r="BU80" t="s">
        <v>66</v>
      </c>
      <c r="BV80" t="s">
        <v>66</v>
      </c>
      <c r="BW80" t="s">
        <v>66</v>
      </c>
    </row>
    <row r="81" spans="1:75" x14ac:dyDescent="0.2">
      <c r="A81" t="s">
        <v>299</v>
      </c>
      <c r="B81" t="s">
        <v>300</v>
      </c>
      <c r="C81" t="s">
        <v>62</v>
      </c>
      <c r="D81" t="s">
        <v>63</v>
      </c>
      <c r="E81" t="s">
        <v>67</v>
      </c>
      <c r="F81" t="s">
        <v>302</v>
      </c>
      <c r="G81">
        <v>8.0500000000000007</v>
      </c>
      <c r="H81">
        <v>11.7</v>
      </c>
      <c r="I81">
        <v>17.45</v>
      </c>
      <c r="J81">
        <v>6.05</v>
      </c>
      <c r="K81">
        <v>43.25</v>
      </c>
      <c r="L81">
        <v>3.6211180120000002</v>
      </c>
      <c r="M81">
        <v>55</v>
      </c>
      <c r="N81">
        <v>60</v>
      </c>
      <c r="O81">
        <v>5</v>
      </c>
      <c r="P81">
        <v>64</v>
      </c>
      <c r="Q81">
        <v>9</v>
      </c>
      <c r="R81">
        <v>4.5</v>
      </c>
      <c r="S81">
        <v>56.1</v>
      </c>
      <c r="T81">
        <v>16.363636360000001</v>
      </c>
      <c r="U81">
        <v>6.6666666670000003</v>
      </c>
      <c r="V81">
        <v>4</v>
      </c>
      <c r="W81">
        <v>4</v>
      </c>
      <c r="X81">
        <v>6</v>
      </c>
      <c r="Y81">
        <v>2</v>
      </c>
      <c r="Z81">
        <v>50</v>
      </c>
      <c r="AA81" t="s">
        <v>66</v>
      </c>
      <c r="AB81" t="s">
        <v>66</v>
      </c>
      <c r="AC81" t="s">
        <v>66</v>
      </c>
      <c r="AD81" t="s">
        <v>66</v>
      </c>
      <c r="AE81">
        <v>38</v>
      </c>
      <c r="AF81">
        <v>29</v>
      </c>
      <c r="AG81" t="s">
        <v>66</v>
      </c>
      <c r="AH81">
        <v>19</v>
      </c>
      <c r="AI81">
        <v>14</v>
      </c>
      <c r="AJ81" t="s">
        <v>66</v>
      </c>
      <c r="AK81">
        <v>11</v>
      </c>
      <c r="AL81">
        <v>8</v>
      </c>
      <c r="AM81">
        <v>15</v>
      </c>
      <c r="AN81">
        <v>11</v>
      </c>
      <c r="AO81">
        <v>-26.666666670000001</v>
      </c>
      <c r="AP81">
        <v>-23.684210530000001</v>
      </c>
      <c r="AQ81">
        <v>2.5333333329999999</v>
      </c>
      <c r="AR81">
        <v>2.636363636</v>
      </c>
      <c r="AS81">
        <v>0.103030303</v>
      </c>
      <c r="AT81">
        <v>0</v>
      </c>
      <c r="AU81" t="s">
        <v>66</v>
      </c>
      <c r="AV81">
        <v>3</v>
      </c>
      <c r="AW81">
        <v>2</v>
      </c>
      <c r="AX81">
        <v>0</v>
      </c>
      <c r="AY81">
        <v>1</v>
      </c>
      <c r="AZ81">
        <v>1</v>
      </c>
      <c r="BA81">
        <v>1</v>
      </c>
      <c r="BB81" t="s">
        <v>66</v>
      </c>
      <c r="BC81">
        <v>22.1</v>
      </c>
      <c r="BD81">
        <v>31.9</v>
      </c>
      <c r="BE81">
        <v>44.343891399999997</v>
      </c>
      <c r="BF81">
        <v>0</v>
      </c>
      <c r="BG81">
        <v>22.33</v>
      </c>
      <c r="BH81">
        <v>1.040723982</v>
      </c>
      <c r="BI81">
        <v>41</v>
      </c>
      <c r="BJ81">
        <v>5.4</v>
      </c>
      <c r="BK81" t="s">
        <v>66</v>
      </c>
      <c r="BL81">
        <f>41-25</f>
        <v>16</v>
      </c>
      <c r="BM81">
        <v>6</v>
      </c>
      <c r="BN81">
        <v>2</v>
      </c>
      <c r="BO81">
        <f t="shared" ref="BO81:BO100" si="12">AVERAGE(BM81,BN81)</f>
        <v>4</v>
      </c>
      <c r="BP81">
        <v>4</v>
      </c>
      <c r="BQ81">
        <v>1</v>
      </c>
      <c r="BS81">
        <v>0</v>
      </c>
      <c r="BT81">
        <f t="shared" ref="BT81:BT100" si="13">(BI81-M81)/BI81*100</f>
        <v>-34.146341463414636</v>
      </c>
      <c r="BU81">
        <f t="shared" ref="BU81:BU100" si="14">(BJ81-V81)/BJ81*100</f>
        <v>25.925925925925931</v>
      </c>
      <c r="BV81">
        <f>(BL81-AE81)/BL81*100</f>
        <v>-137.5</v>
      </c>
      <c r="BW81">
        <f t="shared" ref="BW81:BW100" si="15">(BO81-AM81)/BO81*100</f>
        <v>-275</v>
      </c>
    </row>
    <row r="82" spans="1:75" x14ac:dyDescent="0.2">
      <c r="A82" t="s">
        <v>299</v>
      </c>
      <c r="B82" t="s">
        <v>300</v>
      </c>
      <c r="C82" t="s">
        <v>62</v>
      </c>
      <c r="D82" t="s">
        <v>63</v>
      </c>
      <c r="E82" t="s">
        <v>69</v>
      </c>
      <c r="F82" t="s">
        <v>303</v>
      </c>
      <c r="G82">
        <v>8.0500000000000007</v>
      </c>
      <c r="H82">
        <v>11.7</v>
      </c>
      <c r="I82">
        <v>17.45</v>
      </c>
      <c r="J82">
        <v>6.05</v>
      </c>
      <c r="K82">
        <v>43.25</v>
      </c>
      <c r="L82">
        <v>3.6211180120000002</v>
      </c>
      <c r="M82">
        <v>34</v>
      </c>
      <c r="N82">
        <v>39</v>
      </c>
      <c r="O82">
        <v>5</v>
      </c>
      <c r="P82">
        <v>41</v>
      </c>
      <c r="Q82">
        <v>7</v>
      </c>
      <c r="R82">
        <v>3.5</v>
      </c>
      <c r="S82">
        <v>54.1</v>
      </c>
      <c r="T82">
        <v>20.58823529</v>
      </c>
      <c r="U82">
        <v>5.1282051280000003</v>
      </c>
      <c r="V82">
        <v>1</v>
      </c>
      <c r="W82">
        <v>3</v>
      </c>
      <c r="X82">
        <v>3</v>
      </c>
      <c r="Y82">
        <v>2</v>
      </c>
      <c r="Z82">
        <v>200</v>
      </c>
      <c r="AA82" t="s">
        <v>66</v>
      </c>
      <c r="AB82" t="s">
        <v>66</v>
      </c>
      <c r="AC82" t="s">
        <v>66</v>
      </c>
      <c r="AD82" t="s">
        <v>66</v>
      </c>
      <c r="AE82">
        <v>10</v>
      </c>
      <c r="AF82">
        <v>8</v>
      </c>
      <c r="AG82" t="s">
        <v>66</v>
      </c>
      <c r="AH82">
        <v>7</v>
      </c>
      <c r="AI82">
        <v>8</v>
      </c>
      <c r="AJ82" t="s">
        <v>66</v>
      </c>
      <c r="AK82">
        <v>6</v>
      </c>
      <c r="AL82">
        <v>5</v>
      </c>
      <c r="AM82">
        <v>6.5</v>
      </c>
      <c r="AN82">
        <v>6.5</v>
      </c>
      <c r="AO82">
        <v>0</v>
      </c>
      <c r="AP82">
        <v>-20</v>
      </c>
      <c r="AQ82">
        <v>1.538461538</v>
      </c>
      <c r="AR82">
        <v>1.230769231</v>
      </c>
      <c r="AS82">
        <v>-0.307692307</v>
      </c>
      <c r="AT82">
        <v>0</v>
      </c>
      <c r="AU82" t="s">
        <v>66</v>
      </c>
      <c r="AV82">
        <v>1</v>
      </c>
      <c r="AW82">
        <v>2</v>
      </c>
      <c r="AX82">
        <v>0</v>
      </c>
      <c r="AY82">
        <v>1</v>
      </c>
      <c r="AZ82">
        <v>1</v>
      </c>
      <c r="BA82">
        <v>1</v>
      </c>
      <c r="BB82" t="s">
        <v>66</v>
      </c>
      <c r="BC82">
        <v>22</v>
      </c>
      <c r="BD82">
        <v>30.2</v>
      </c>
      <c r="BE82">
        <v>37.272727269999997</v>
      </c>
      <c r="BF82">
        <v>0</v>
      </c>
      <c r="BG82">
        <v>21.14</v>
      </c>
      <c r="BH82">
        <v>-3.9090909090000001</v>
      </c>
      <c r="BI82">
        <v>42</v>
      </c>
      <c r="BJ82">
        <v>3.5</v>
      </c>
      <c r="BK82" t="s">
        <v>66</v>
      </c>
      <c r="BL82">
        <v>9</v>
      </c>
      <c r="BM82">
        <v>10</v>
      </c>
      <c r="BN82">
        <v>5</v>
      </c>
      <c r="BO82">
        <f t="shared" si="12"/>
        <v>7.5</v>
      </c>
      <c r="BP82">
        <v>4</v>
      </c>
      <c r="BQ82">
        <v>1</v>
      </c>
      <c r="BS82">
        <v>0</v>
      </c>
      <c r="BT82">
        <f t="shared" si="13"/>
        <v>19.047619047619047</v>
      </c>
      <c r="BU82">
        <f t="shared" si="14"/>
        <v>71.428571428571431</v>
      </c>
      <c r="BV82">
        <f>(BL82-AE82)/BL82*100</f>
        <v>-11.111111111111111</v>
      </c>
      <c r="BW82">
        <f t="shared" si="15"/>
        <v>13.333333333333334</v>
      </c>
    </row>
    <row r="83" spans="1:75" x14ac:dyDescent="0.2">
      <c r="A83" t="s">
        <v>299</v>
      </c>
      <c r="B83" t="s">
        <v>300</v>
      </c>
      <c r="C83" t="s">
        <v>62</v>
      </c>
      <c r="D83" t="s">
        <v>63</v>
      </c>
      <c r="E83" t="s">
        <v>71</v>
      </c>
      <c r="F83" t="s">
        <v>304</v>
      </c>
      <c r="G83">
        <v>8.0500000000000007</v>
      </c>
      <c r="H83">
        <v>11.7</v>
      </c>
      <c r="I83">
        <v>17.45</v>
      </c>
      <c r="J83">
        <v>6.05</v>
      </c>
      <c r="K83">
        <v>43.25</v>
      </c>
      <c r="L83">
        <v>3.6211180120000002</v>
      </c>
      <c r="M83">
        <v>31</v>
      </c>
      <c r="N83">
        <v>34</v>
      </c>
      <c r="O83">
        <v>3</v>
      </c>
      <c r="P83">
        <v>36</v>
      </c>
      <c r="Q83">
        <v>5</v>
      </c>
      <c r="R83">
        <v>2.5</v>
      </c>
      <c r="S83">
        <v>52.1</v>
      </c>
      <c r="T83">
        <v>16.129032259999999</v>
      </c>
      <c r="U83">
        <v>5.8823529409999997</v>
      </c>
      <c r="V83">
        <v>3</v>
      </c>
      <c r="W83">
        <v>4</v>
      </c>
      <c r="X83">
        <v>4</v>
      </c>
      <c r="Y83">
        <v>1</v>
      </c>
      <c r="Z83">
        <v>33.333333330000002</v>
      </c>
      <c r="AA83" t="s">
        <v>66</v>
      </c>
      <c r="AB83" t="s">
        <v>66</v>
      </c>
      <c r="AC83" t="s">
        <v>66</v>
      </c>
      <c r="AD83" t="s">
        <v>66</v>
      </c>
      <c r="AE83">
        <v>18</v>
      </c>
      <c r="AF83">
        <v>13</v>
      </c>
      <c r="AG83" t="s">
        <v>66</v>
      </c>
      <c r="AH83">
        <v>7</v>
      </c>
      <c r="AI83">
        <v>7</v>
      </c>
      <c r="AJ83" t="s">
        <v>66</v>
      </c>
      <c r="AK83">
        <v>6</v>
      </c>
      <c r="AL83">
        <v>6</v>
      </c>
      <c r="AM83">
        <v>6.5</v>
      </c>
      <c r="AN83">
        <v>6.5</v>
      </c>
      <c r="AO83">
        <v>0</v>
      </c>
      <c r="AP83">
        <v>-27.777777780000001</v>
      </c>
      <c r="AQ83">
        <v>2.769230769</v>
      </c>
      <c r="AR83">
        <v>2</v>
      </c>
      <c r="AS83">
        <v>-0.76923076899999998</v>
      </c>
      <c r="AT83">
        <v>0</v>
      </c>
      <c r="AU83" t="s">
        <v>66</v>
      </c>
      <c r="AV83">
        <v>4</v>
      </c>
      <c r="AW83">
        <v>2</v>
      </c>
      <c r="AX83">
        <v>0</v>
      </c>
      <c r="AY83">
        <v>1</v>
      </c>
      <c r="AZ83">
        <v>1</v>
      </c>
      <c r="BA83">
        <v>1</v>
      </c>
      <c r="BB83" t="s">
        <v>66</v>
      </c>
      <c r="BC83">
        <v>20.5</v>
      </c>
      <c r="BD83">
        <v>34.799999999999997</v>
      </c>
      <c r="BE83">
        <v>69.756097560000001</v>
      </c>
      <c r="BF83">
        <v>0</v>
      </c>
      <c r="BG83">
        <v>24.36</v>
      </c>
      <c r="BH83">
        <v>18.829268290000002</v>
      </c>
      <c r="BI83">
        <v>26</v>
      </c>
      <c r="BJ83">
        <v>4.2</v>
      </c>
      <c r="BK83" t="s">
        <v>66</v>
      </c>
      <c r="BL83" t="s">
        <v>66</v>
      </c>
      <c r="BM83">
        <v>6</v>
      </c>
      <c r="BN83">
        <v>6</v>
      </c>
      <c r="BO83">
        <f t="shared" si="12"/>
        <v>6</v>
      </c>
      <c r="BP83">
        <v>3</v>
      </c>
      <c r="BQ83">
        <v>1</v>
      </c>
      <c r="BS83">
        <v>0</v>
      </c>
      <c r="BT83">
        <f t="shared" si="13"/>
        <v>-19.230769230769234</v>
      </c>
      <c r="BU83">
        <f t="shared" si="14"/>
        <v>28.571428571428577</v>
      </c>
      <c r="BV83" t="s">
        <v>66</v>
      </c>
      <c r="BW83">
        <f t="shared" si="15"/>
        <v>-8.3333333333333321</v>
      </c>
    </row>
    <row r="84" spans="1:75" x14ac:dyDescent="0.2">
      <c r="A84" t="s">
        <v>299</v>
      </c>
      <c r="B84" t="s">
        <v>300</v>
      </c>
      <c r="C84" t="s">
        <v>62</v>
      </c>
      <c r="D84" t="s">
        <v>63</v>
      </c>
      <c r="E84" t="s">
        <v>75</v>
      </c>
      <c r="F84" t="s">
        <v>306</v>
      </c>
      <c r="G84">
        <v>8.0500000000000007</v>
      </c>
      <c r="H84">
        <v>11.7</v>
      </c>
      <c r="I84">
        <v>17.45</v>
      </c>
      <c r="J84">
        <v>6.05</v>
      </c>
      <c r="K84">
        <v>43.25</v>
      </c>
      <c r="L84">
        <v>3.6211180120000002</v>
      </c>
      <c r="M84">
        <v>12</v>
      </c>
      <c r="N84">
        <v>17</v>
      </c>
      <c r="O84">
        <v>5</v>
      </c>
      <c r="P84">
        <v>19</v>
      </c>
      <c r="Q84">
        <v>7</v>
      </c>
      <c r="R84">
        <v>3.5</v>
      </c>
      <c r="S84">
        <v>54.1</v>
      </c>
      <c r="T84">
        <v>58.333333330000002</v>
      </c>
      <c r="U84">
        <v>11.764705879999999</v>
      </c>
      <c r="V84">
        <v>2</v>
      </c>
      <c r="W84">
        <v>2</v>
      </c>
      <c r="X84">
        <v>3</v>
      </c>
      <c r="Y84">
        <v>1</v>
      </c>
      <c r="Z84">
        <v>50</v>
      </c>
      <c r="AA84" t="s">
        <v>66</v>
      </c>
      <c r="AB84" t="s">
        <v>66</v>
      </c>
      <c r="AC84" t="s">
        <v>66</v>
      </c>
      <c r="AD84" t="s">
        <v>66</v>
      </c>
      <c r="AE84">
        <v>7</v>
      </c>
      <c r="AF84">
        <v>7</v>
      </c>
      <c r="AG84" t="s">
        <v>66</v>
      </c>
      <c r="AH84">
        <v>7</v>
      </c>
      <c r="AI84">
        <v>8</v>
      </c>
      <c r="AJ84" t="s">
        <v>66</v>
      </c>
      <c r="AK84">
        <v>6</v>
      </c>
      <c r="AL84">
        <v>5</v>
      </c>
      <c r="AM84">
        <v>6.5</v>
      </c>
      <c r="AN84">
        <v>6.5</v>
      </c>
      <c r="AO84">
        <v>0</v>
      </c>
      <c r="AP84">
        <v>0</v>
      </c>
      <c r="AQ84">
        <v>1.076923077</v>
      </c>
      <c r="AR84">
        <v>1.076923077</v>
      </c>
      <c r="AS84">
        <v>0</v>
      </c>
      <c r="AT84">
        <v>0</v>
      </c>
      <c r="AU84" t="s">
        <v>66</v>
      </c>
      <c r="AV84">
        <v>4</v>
      </c>
      <c r="AW84">
        <v>2</v>
      </c>
      <c r="AX84">
        <v>0</v>
      </c>
      <c r="AY84">
        <v>1</v>
      </c>
      <c r="AZ84">
        <v>1</v>
      </c>
      <c r="BA84">
        <v>1</v>
      </c>
      <c r="BB84" t="s">
        <v>66</v>
      </c>
      <c r="BC84">
        <v>25.166666670000001</v>
      </c>
      <c r="BD84">
        <v>32.111111110000003</v>
      </c>
      <c r="BE84">
        <v>27.59381896</v>
      </c>
      <c r="BF84">
        <v>0</v>
      </c>
      <c r="BG84">
        <v>22.47777778</v>
      </c>
      <c r="BH84">
        <v>-10.68432673</v>
      </c>
      <c r="BI84">
        <v>7</v>
      </c>
      <c r="BJ84">
        <v>2.2000000000000002</v>
      </c>
      <c r="BK84" t="s">
        <v>66</v>
      </c>
      <c r="BL84" t="s">
        <v>66</v>
      </c>
      <c r="BM84">
        <v>1</v>
      </c>
      <c r="BN84">
        <v>1</v>
      </c>
      <c r="BO84">
        <f t="shared" si="12"/>
        <v>1</v>
      </c>
      <c r="BP84">
        <v>2</v>
      </c>
      <c r="BQ84">
        <v>1</v>
      </c>
      <c r="BS84">
        <v>0</v>
      </c>
      <c r="BT84">
        <f t="shared" si="13"/>
        <v>-71.428571428571431</v>
      </c>
      <c r="BU84">
        <f t="shared" si="14"/>
        <v>9.0909090909090988</v>
      </c>
      <c r="BV84" t="s">
        <v>66</v>
      </c>
      <c r="BW84">
        <f t="shared" si="15"/>
        <v>-550</v>
      </c>
    </row>
    <row r="85" spans="1:75" x14ac:dyDescent="0.2">
      <c r="A85" t="s">
        <v>299</v>
      </c>
      <c r="B85" t="s">
        <v>300</v>
      </c>
      <c r="C85" t="s">
        <v>62</v>
      </c>
      <c r="D85" t="s">
        <v>63</v>
      </c>
      <c r="E85" t="s">
        <v>77</v>
      </c>
      <c r="F85" t="s">
        <v>307</v>
      </c>
      <c r="G85">
        <v>8.0500000000000007</v>
      </c>
      <c r="H85">
        <v>11.7</v>
      </c>
      <c r="I85">
        <v>17.45</v>
      </c>
      <c r="J85">
        <v>6.05</v>
      </c>
      <c r="K85">
        <v>43.25</v>
      </c>
      <c r="L85">
        <v>3.6211180120000002</v>
      </c>
      <c r="M85">
        <v>7</v>
      </c>
      <c r="N85">
        <v>11</v>
      </c>
      <c r="O85">
        <v>4</v>
      </c>
      <c r="P85">
        <v>11</v>
      </c>
      <c r="Q85">
        <v>4</v>
      </c>
      <c r="R85">
        <v>2</v>
      </c>
      <c r="S85">
        <v>51.1</v>
      </c>
      <c r="T85">
        <v>57.142857139999997</v>
      </c>
      <c r="U85">
        <v>0</v>
      </c>
      <c r="V85">
        <v>1</v>
      </c>
      <c r="W85">
        <v>2</v>
      </c>
      <c r="X85">
        <v>2</v>
      </c>
      <c r="Y85">
        <v>1</v>
      </c>
      <c r="Z85">
        <v>100</v>
      </c>
      <c r="AA85" t="s">
        <v>66</v>
      </c>
      <c r="AB85" t="s">
        <v>66</v>
      </c>
      <c r="AC85" t="s">
        <v>66</v>
      </c>
      <c r="AD85" t="s">
        <v>66</v>
      </c>
      <c r="AE85">
        <v>2</v>
      </c>
      <c r="AF85">
        <v>2</v>
      </c>
      <c r="AG85" t="s">
        <v>66</v>
      </c>
      <c r="AH85">
        <v>5</v>
      </c>
      <c r="AI85">
        <v>5</v>
      </c>
      <c r="AJ85" t="s">
        <v>66</v>
      </c>
      <c r="AK85">
        <v>4</v>
      </c>
      <c r="AL85">
        <v>3</v>
      </c>
      <c r="AM85">
        <v>4.5</v>
      </c>
      <c r="AN85">
        <v>4</v>
      </c>
      <c r="AO85">
        <v>-11.11111111</v>
      </c>
      <c r="AP85">
        <v>0</v>
      </c>
      <c r="AQ85">
        <v>0.44444444399999999</v>
      </c>
      <c r="AR85">
        <v>0.5</v>
      </c>
      <c r="AS85">
        <v>5.5555555999999999E-2</v>
      </c>
      <c r="AT85">
        <v>0</v>
      </c>
      <c r="AU85" t="s">
        <v>66</v>
      </c>
      <c r="AV85">
        <v>0</v>
      </c>
      <c r="AW85">
        <v>4</v>
      </c>
      <c r="AX85">
        <v>0</v>
      </c>
      <c r="AY85">
        <v>1</v>
      </c>
      <c r="AZ85">
        <v>1</v>
      </c>
      <c r="BA85">
        <v>1</v>
      </c>
      <c r="BB85" t="s">
        <v>66</v>
      </c>
      <c r="BC85">
        <v>20.166666670000001</v>
      </c>
      <c r="BD85">
        <v>29.666666670000001</v>
      </c>
      <c r="BE85">
        <v>47.107438010000003</v>
      </c>
      <c r="BF85">
        <v>0</v>
      </c>
      <c r="BG85">
        <v>20.766666669999999</v>
      </c>
      <c r="BH85">
        <v>2.975206606</v>
      </c>
      <c r="BI85">
        <v>11</v>
      </c>
      <c r="BJ85">
        <v>1.1000000000000001</v>
      </c>
      <c r="BK85" t="s">
        <v>66</v>
      </c>
      <c r="BL85">
        <v>1</v>
      </c>
      <c r="BM85">
        <v>1</v>
      </c>
      <c r="BN85">
        <v>1</v>
      </c>
      <c r="BO85">
        <f t="shared" si="12"/>
        <v>1</v>
      </c>
      <c r="BP85">
        <v>4</v>
      </c>
      <c r="BQ85">
        <v>1</v>
      </c>
      <c r="BS85">
        <v>0</v>
      </c>
      <c r="BT85">
        <f t="shared" si="13"/>
        <v>36.363636363636367</v>
      </c>
      <c r="BU85">
        <f t="shared" si="14"/>
        <v>9.0909090909090988</v>
      </c>
      <c r="BV85">
        <f t="shared" ref="BV85:BV100" si="16">(BL85-AE85)/BL85*100</f>
        <v>-100</v>
      </c>
      <c r="BW85">
        <f t="shared" si="15"/>
        <v>-350</v>
      </c>
    </row>
    <row r="86" spans="1:75" x14ac:dyDescent="0.2">
      <c r="A86" t="s">
        <v>299</v>
      </c>
      <c r="B86" t="s">
        <v>300</v>
      </c>
      <c r="C86" t="s">
        <v>62</v>
      </c>
      <c r="D86" t="s">
        <v>63</v>
      </c>
      <c r="E86" t="s">
        <v>79</v>
      </c>
      <c r="F86" t="s">
        <v>308</v>
      </c>
      <c r="G86">
        <v>8.0500000000000007</v>
      </c>
      <c r="H86">
        <v>11.7</v>
      </c>
      <c r="I86">
        <v>17.45</v>
      </c>
      <c r="J86">
        <v>6.05</v>
      </c>
      <c r="K86">
        <v>43.25</v>
      </c>
      <c r="L86">
        <v>3.6211180120000002</v>
      </c>
      <c r="M86">
        <v>16</v>
      </c>
      <c r="N86">
        <v>22</v>
      </c>
      <c r="O86">
        <v>6</v>
      </c>
      <c r="P86">
        <v>21</v>
      </c>
      <c r="Q86">
        <v>5</v>
      </c>
      <c r="R86">
        <v>2.5</v>
      </c>
      <c r="S86">
        <v>52.1</v>
      </c>
      <c r="T86">
        <v>31.25</v>
      </c>
      <c r="U86">
        <v>-4.5454545450000001</v>
      </c>
      <c r="V86">
        <v>1</v>
      </c>
      <c r="W86">
        <v>2</v>
      </c>
      <c r="X86">
        <v>2</v>
      </c>
      <c r="Y86">
        <v>1</v>
      </c>
      <c r="Z86">
        <v>100</v>
      </c>
      <c r="AA86" t="s">
        <v>66</v>
      </c>
      <c r="AB86" t="s">
        <v>66</v>
      </c>
      <c r="AC86" t="s">
        <v>66</v>
      </c>
      <c r="AD86" t="s">
        <v>66</v>
      </c>
      <c r="AE86">
        <v>3</v>
      </c>
      <c r="AF86">
        <v>3</v>
      </c>
      <c r="AG86" t="s">
        <v>66</v>
      </c>
      <c r="AH86">
        <v>4</v>
      </c>
      <c r="AI86">
        <v>3</v>
      </c>
      <c r="AJ86" t="s">
        <v>66</v>
      </c>
      <c r="AK86">
        <v>3</v>
      </c>
      <c r="AL86">
        <v>2</v>
      </c>
      <c r="AM86">
        <v>3.5</v>
      </c>
      <c r="AN86">
        <v>2.5</v>
      </c>
      <c r="AO86">
        <v>-28.571428569999998</v>
      </c>
      <c r="AP86">
        <v>0</v>
      </c>
      <c r="AQ86">
        <v>0.85714285700000004</v>
      </c>
      <c r="AR86">
        <v>1.2</v>
      </c>
      <c r="AS86">
        <v>0.34285714299999998</v>
      </c>
      <c r="AT86">
        <v>0</v>
      </c>
      <c r="AU86" t="s">
        <v>66</v>
      </c>
      <c r="AV86">
        <v>4</v>
      </c>
      <c r="AW86">
        <v>4</v>
      </c>
      <c r="AX86">
        <v>0</v>
      </c>
      <c r="AY86">
        <v>1</v>
      </c>
      <c r="AZ86">
        <v>1</v>
      </c>
      <c r="BA86">
        <v>1</v>
      </c>
      <c r="BB86" t="s">
        <v>66</v>
      </c>
      <c r="BC86">
        <v>11.8</v>
      </c>
      <c r="BD86">
        <v>12.25</v>
      </c>
      <c r="BE86">
        <v>3.8135593220000001</v>
      </c>
      <c r="BF86">
        <v>0</v>
      </c>
      <c r="BG86">
        <v>8.5749999999999993</v>
      </c>
      <c r="BH86">
        <v>-27.330508470000002</v>
      </c>
      <c r="BI86">
        <v>16</v>
      </c>
      <c r="BJ86">
        <v>1.2</v>
      </c>
      <c r="BK86" t="s">
        <v>66</v>
      </c>
      <c r="BL86">
        <v>6</v>
      </c>
      <c r="BM86">
        <v>1</v>
      </c>
      <c r="BN86">
        <v>1</v>
      </c>
      <c r="BO86">
        <f t="shared" si="12"/>
        <v>1</v>
      </c>
      <c r="BP86">
        <v>1</v>
      </c>
      <c r="BQ86">
        <v>1</v>
      </c>
      <c r="BS86">
        <v>0</v>
      </c>
      <c r="BT86">
        <f t="shared" si="13"/>
        <v>0</v>
      </c>
      <c r="BU86">
        <f t="shared" si="14"/>
        <v>16.666666666666664</v>
      </c>
      <c r="BV86">
        <f t="shared" si="16"/>
        <v>50</v>
      </c>
      <c r="BW86">
        <f t="shared" si="15"/>
        <v>-250</v>
      </c>
    </row>
    <row r="87" spans="1:75" x14ac:dyDescent="0.2">
      <c r="A87" t="s">
        <v>299</v>
      </c>
      <c r="B87" t="s">
        <v>300</v>
      </c>
      <c r="C87" t="s">
        <v>62</v>
      </c>
      <c r="D87" t="s">
        <v>63</v>
      </c>
      <c r="E87" t="s">
        <v>81</v>
      </c>
      <c r="F87" t="s">
        <v>309</v>
      </c>
      <c r="G87">
        <v>8.0500000000000007</v>
      </c>
      <c r="H87">
        <v>11.7</v>
      </c>
      <c r="I87">
        <v>17.45</v>
      </c>
      <c r="J87">
        <v>6.05</v>
      </c>
      <c r="K87">
        <v>43.25</v>
      </c>
      <c r="L87">
        <v>3.6211180120000002</v>
      </c>
      <c r="M87">
        <v>16</v>
      </c>
      <c r="N87">
        <v>27</v>
      </c>
      <c r="O87">
        <v>11</v>
      </c>
      <c r="P87">
        <v>26</v>
      </c>
      <c r="Q87">
        <v>10</v>
      </c>
      <c r="R87">
        <v>5</v>
      </c>
      <c r="S87">
        <v>57.1</v>
      </c>
      <c r="T87">
        <v>62.5</v>
      </c>
      <c r="U87">
        <v>-3.703703704</v>
      </c>
      <c r="V87">
        <v>2</v>
      </c>
      <c r="W87">
        <v>9</v>
      </c>
      <c r="X87">
        <v>3</v>
      </c>
      <c r="Y87">
        <v>1</v>
      </c>
      <c r="Z87">
        <v>50</v>
      </c>
      <c r="AA87" t="s">
        <v>66</v>
      </c>
      <c r="AB87" t="s">
        <v>66</v>
      </c>
      <c r="AC87" t="s">
        <v>66</v>
      </c>
      <c r="AD87" t="s">
        <v>66</v>
      </c>
      <c r="AE87">
        <v>4</v>
      </c>
      <c r="AF87">
        <v>9</v>
      </c>
      <c r="AG87" t="s">
        <v>66</v>
      </c>
      <c r="AH87" t="s">
        <v>66</v>
      </c>
      <c r="AI87">
        <v>6</v>
      </c>
      <c r="AJ87" t="s">
        <v>66</v>
      </c>
      <c r="AK87">
        <v>5</v>
      </c>
      <c r="AL87">
        <v>5</v>
      </c>
      <c r="AM87">
        <v>5</v>
      </c>
      <c r="AN87">
        <v>5.5</v>
      </c>
      <c r="AO87">
        <v>10</v>
      </c>
      <c r="AP87">
        <v>125</v>
      </c>
      <c r="AQ87">
        <v>0.8</v>
      </c>
      <c r="AR87">
        <v>1.636363636</v>
      </c>
      <c r="AS87">
        <v>0.83636363599999997</v>
      </c>
      <c r="AT87">
        <v>0</v>
      </c>
      <c r="AU87" t="s">
        <v>66</v>
      </c>
      <c r="AV87">
        <v>3</v>
      </c>
      <c r="AW87">
        <v>3</v>
      </c>
      <c r="AX87">
        <v>0</v>
      </c>
      <c r="AY87">
        <v>1</v>
      </c>
      <c r="AZ87">
        <v>1</v>
      </c>
      <c r="BA87">
        <v>1</v>
      </c>
      <c r="BB87" t="s">
        <v>66</v>
      </c>
      <c r="BC87">
        <v>20.399999999999999</v>
      </c>
      <c r="BD87">
        <v>25.7</v>
      </c>
      <c r="BE87">
        <v>25.980392160000001</v>
      </c>
      <c r="BF87">
        <v>0</v>
      </c>
      <c r="BG87">
        <v>17.989999999999998</v>
      </c>
      <c r="BH87">
        <v>-11.813725489999999</v>
      </c>
      <c r="BI87">
        <v>26</v>
      </c>
      <c r="BJ87">
        <v>2.9</v>
      </c>
      <c r="BK87" t="s">
        <v>66</v>
      </c>
      <c r="BL87">
        <v>26</v>
      </c>
      <c r="BM87">
        <v>1</v>
      </c>
      <c r="BN87">
        <v>1</v>
      </c>
      <c r="BO87">
        <f t="shared" si="12"/>
        <v>1</v>
      </c>
      <c r="BP87">
        <v>1</v>
      </c>
      <c r="BQ87">
        <v>1</v>
      </c>
      <c r="BS87">
        <v>0</v>
      </c>
      <c r="BT87">
        <f t="shared" si="13"/>
        <v>38.461538461538467</v>
      </c>
      <c r="BU87">
        <f t="shared" si="14"/>
        <v>31.034482758620683</v>
      </c>
      <c r="BV87">
        <f t="shared" si="16"/>
        <v>84.615384615384613</v>
      </c>
      <c r="BW87">
        <f t="shared" si="15"/>
        <v>-400</v>
      </c>
    </row>
    <row r="88" spans="1:75" x14ac:dyDescent="0.2">
      <c r="A88" t="s">
        <v>299</v>
      </c>
      <c r="B88" t="s">
        <v>300</v>
      </c>
      <c r="C88" t="s">
        <v>62</v>
      </c>
      <c r="D88" t="s">
        <v>63</v>
      </c>
      <c r="E88" t="s">
        <v>83</v>
      </c>
      <c r="F88" t="s">
        <v>310</v>
      </c>
      <c r="G88">
        <v>8.0500000000000007</v>
      </c>
      <c r="H88">
        <v>11.7</v>
      </c>
      <c r="I88">
        <v>17.45</v>
      </c>
      <c r="J88">
        <v>6.05</v>
      </c>
      <c r="K88">
        <v>43.25</v>
      </c>
      <c r="L88">
        <v>3.6211180120000002</v>
      </c>
      <c r="M88">
        <v>16</v>
      </c>
      <c r="N88">
        <v>23</v>
      </c>
      <c r="O88">
        <v>7</v>
      </c>
      <c r="P88">
        <v>15</v>
      </c>
      <c r="Q88">
        <v>-1</v>
      </c>
      <c r="R88">
        <v>-0.5</v>
      </c>
      <c r="S88">
        <v>46.1</v>
      </c>
      <c r="T88">
        <v>-6.25</v>
      </c>
      <c r="U88">
        <v>-34.782608699999997</v>
      </c>
      <c r="V88">
        <v>1</v>
      </c>
      <c r="W88">
        <v>2</v>
      </c>
      <c r="X88">
        <v>2</v>
      </c>
      <c r="Y88">
        <v>1</v>
      </c>
      <c r="Z88">
        <v>100</v>
      </c>
      <c r="AA88" t="s">
        <v>66</v>
      </c>
      <c r="AB88" t="s">
        <v>66</v>
      </c>
      <c r="AC88" t="s">
        <v>66</v>
      </c>
      <c r="AD88" t="s">
        <v>66</v>
      </c>
      <c r="AE88">
        <v>12</v>
      </c>
      <c r="AF88">
        <v>4</v>
      </c>
      <c r="AG88" t="s">
        <v>66</v>
      </c>
      <c r="AH88">
        <v>6</v>
      </c>
      <c r="AI88">
        <v>4</v>
      </c>
      <c r="AJ88" t="s">
        <v>66</v>
      </c>
      <c r="AK88">
        <v>4</v>
      </c>
      <c r="AL88">
        <v>4</v>
      </c>
      <c r="AM88">
        <v>5</v>
      </c>
      <c r="AN88">
        <v>4</v>
      </c>
      <c r="AO88">
        <v>-20</v>
      </c>
      <c r="AP88">
        <v>-66.666666669999998</v>
      </c>
      <c r="AQ88">
        <v>2.4</v>
      </c>
      <c r="AR88">
        <v>1</v>
      </c>
      <c r="AS88">
        <v>-1.4</v>
      </c>
      <c r="AT88">
        <v>0</v>
      </c>
      <c r="AU88" t="s">
        <v>66</v>
      </c>
      <c r="AV88">
        <v>1</v>
      </c>
      <c r="AW88">
        <v>0</v>
      </c>
      <c r="AX88">
        <v>0</v>
      </c>
      <c r="AY88">
        <v>1</v>
      </c>
      <c r="AZ88">
        <v>1</v>
      </c>
      <c r="BA88">
        <v>1</v>
      </c>
      <c r="BB88" t="s">
        <v>66</v>
      </c>
      <c r="BC88">
        <v>19.5</v>
      </c>
      <c r="BD88">
        <v>28.166666670000001</v>
      </c>
      <c r="BE88">
        <v>44.44444446</v>
      </c>
      <c r="BF88">
        <v>0</v>
      </c>
      <c r="BG88">
        <v>19.716666669999999</v>
      </c>
      <c r="BH88">
        <v>1.1111111229999999</v>
      </c>
      <c r="BI88">
        <v>20</v>
      </c>
      <c r="BJ88">
        <v>2.7</v>
      </c>
      <c r="BK88" t="s">
        <v>66</v>
      </c>
      <c r="BL88">
        <v>7</v>
      </c>
      <c r="BM88">
        <v>3</v>
      </c>
      <c r="BN88">
        <v>2</v>
      </c>
      <c r="BO88">
        <f t="shared" si="12"/>
        <v>2.5</v>
      </c>
      <c r="BP88">
        <v>4</v>
      </c>
      <c r="BQ88">
        <v>1</v>
      </c>
      <c r="BS88">
        <v>0</v>
      </c>
      <c r="BT88">
        <f t="shared" si="13"/>
        <v>20</v>
      </c>
      <c r="BU88">
        <f t="shared" si="14"/>
        <v>62.962962962962962</v>
      </c>
      <c r="BV88">
        <f t="shared" si="16"/>
        <v>-71.428571428571431</v>
      </c>
      <c r="BW88">
        <f t="shared" si="15"/>
        <v>-100</v>
      </c>
    </row>
    <row r="89" spans="1:75" x14ac:dyDescent="0.2">
      <c r="A89" t="s">
        <v>299</v>
      </c>
      <c r="B89" t="s">
        <v>300</v>
      </c>
      <c r="C89" t="s">
        <v>62</v>
      </c>
      <c r="D89" t="s">
        <v>63</v>
      </c>
      <c r="E89" t="s">
        <v>85</v>
      </c>
      <c r="F89" t="s">
        <v>311</v>
      </c>
      <c r="G89">
        <v>8.0500000000000007</v>
      </c>
      <c r="H89">
        <v>11.7</v>
      </c>
      <c r="I89">
        <v>17.45</v>
      </c>
      <c r="J89">
        <v>6.05</v>
      </c>
      <c r="K89">
        <v>43.25</v>
      </c>
      <c r="L89">
        <v>3.6211180120000002</v>
      </c>
      <c r="M89">
        <v>20</v>
      </c>
      <c r="N89">
        <v>30</v>
      </c>
      <c r="O89">
        <v>10</v>
      </c>
      <c r="P89">
        <v>32</v>
      </c>
      <c r="Q89">
        <v>12</v>
      </c>
      <c r="R89">
        <v>6</v>
      </c>
      <c r="S89">
        <v>59.1</v>
      </c>
      <c r="T89">
        <v>60</v>
      </c>
      <c r="U89">
        <v>6.6666666670000003</v>
      </c>
      <c r="V89">
        <v>1</v>
      </c>
      <c r="W89">
        <v>3</v>
      </c>
      <c r="X89">
        <v>4</v>
      </c>
      <c r="Y89">
        <v>3</v>
      </c>
      <c r="Z89">
        <v>300</v>
      </c>
      <c r="AA89" t="s">
        <v>66</v>
      </c>
      <c r="AB89" t="s">
        <v>66</v>
      </c>
      <c r="AC89" t="s">
        <v>66</v>
      </c>
      <c r="AD89" t="s">
        <v>66</v>
      </c>
      <c r="AE89">
        <v>8</v>
      </c>
      <c r="AF89">
        <v>10</v>
      </c>
      <c r="AG89" t="s">
        <v>66</v>
      </c>
      <c r="AH89">
        <v>9</v>
      </c>
      <c r="AI89">
        <v>10</v>
      </c>
      <c r="AJ89" t="s">
        <v>66</v>
      </c>
      <c r="AK89">
        <v>5</v>
      </c>
      <c r="AL89">
        <v>5</v>
      </c>
      <c r="AM89">
        <v>7</v>
      </c>
      <c r="AN89">
        <v>7.5</v>
      </c>
      <c r="AO89">
        <v>7.1428571429999996</v>
      </c>
      <c r="AP89">
        <v>25</v>
      </c>
      <c r="AQ89">
        <v>1.1428571430000001</v>
      </c>
      <c r="AR89">
        <v>1.3333333329999999</v>
      </c>
      <c r="AS89">
        <v>0.19047618999999999</v>
      </c>
      <c r="AT89">
        <v>0</v>
      </c>
      <c r="AU89" t="s">
        <v>66</v>
      </c>
      <c r="AV89">
        <v>4</v>
      </c>
      <c r="AW89">
        <v>2</v>
      </c>
      <c r="AX89">
        <v>0</v>
      </c>
      <c r="AY89">
        <v>1</v>
      </c>
      <c r="AZ89">
        <v>1</v>
      </c>
      <c r="BA89">
        <v>1</v>
      </c>
      <c r="BB89" t="s">
        <v>66</v>
      </c>
      <c r="BC89">
        <v>21.2</v>
      </c>
      <c r="BD89">
        <v>33.799999999999997</v>
      </c>
      <c r="BE89">
        <v>59.433962260000001</v>
      </c>
      <c r="BF89">
        <v>0</v>
      </c>
      <c r="BG89">
        <v>23.66</v>
      </c>
      <c r="BH89">
        <v>11.60377358</v>
      </c>
      <c r="BI89">
        <v>35</v>
      </c>
      <c r="BJ89">
        <v>3.9</v>
      </c>
      <c r="BK89" t="s">
        <v>66</v>
      </c>
      <c r="BL89">
        <v>5</v>
      </c>
      <c r="BM89">
        <v>4</v>
      </c>
      <c r="BN89">
        <v>2</v>
      </c>
      <c r="BO89">
        <f t="shared" si="12"/>
        <v>3</v>
      </c>
      <c r="BP89">
        <v>3</v>
      </c>
      <c r="BQ89">
        <v>1</v>
      </c>
      <c r="BS89">
        <v>0</v>
      </c>
      <c r="BT89">
        <f t="shared" si="13"/>
        <v>42.857142857142854</v>
      </c>
      <c r="BU89">
        <f t="shared" si="14"/>
        <v>74.358974358974365</v>
      </c>
      <c r="BV89">
        <f t="shared" si="16"/>
        <v>-60</v>
      </c>
      <c r="BW89">
        <f t="shared" si="15"/>
        <v>-133.33333333333331</v>
      </c>
    </row>
    <row r="90" spans="1:75" x14ac:dyDescent="0.2">
      <c r="A90" t="s">
        <v>299</v>
      </c>
      <c r="B90" t="s">
        <v>300</v>
      </c>
      <c r="C90" t="s">
        <v>62</v>
      </c>
      <c r="D90" t="s">
        <v>63</v>
      </c>
      <c r="E90" t="s">
        <v>87</v>
      </c>
      <c r="F90" t="s">
        <v>312</v>
      </c>
      <c r="G90">
        <v>8.0500000000000007</v>
      </c>
      <c r="H90">
        <v>11.7</v>
      </c>
      <c r="I90">
        <v>17.45</v>
      </c>
      <c r="J90">
        <v>6.05</v>
      </c>
      <c r="K90">
        <v>43.25</v>
      </c>
      <c r="L90">
        <v>3.6211180120000002</v>
      </c>
      <c r="M90">
        <v>60</v>
      </c>
      <c r="N90">
        <v>58</v>
      </c>
      <c r="O90">
        <v>-2</v>
      </c>
      <c r="P90">
        <v>64</v>
      </c>
      <c r="Q90">
        <v>4</v>
      </c>
      <c r="R90">
        <v>2</v>
      </c>
      <c r="S90">
        <v>51.1</v>
      </c>
      <c r="T90">
        <v>6.6666666670000003</v>
      </c>
      <c r="U90">
        <v>10.34482759</v>
      </c>
      <c r="V90">
        <v>5</v>
      </c>
      <c r="W90">
        <v>5</v>
      </c>
      <c r="X90">
        <v>7</v>
      </c>
      <c r="Y90">
        <v>2</v>
      </c>
      <c r="Z90">
        <v>40</v>
      </c>
      <c r="AA90" t="s">
        <v>66</v>
      </c>
      <c r="AB90" t="s">
        <v>66</v>
      </c>
      <c r="AC90" t="s">
        <v>66</v>
      </c>
      <c r="AD90" t="s">
        <v>66</v>
      </c>
      <c r="AE90">
        <v>25</v>
      </c>
      <c r="AF90">
        <v>30</v>
      </c>
      <c r="AG90" t="s">
        <v>66</v>
      </c>
      <c r="AH90">
        <v>16</v>
      </c>
      <c r="AI90">
        <v>16</v>
      </c>
      <c r="AJ90" t="s">
        <v>66</v>
      </c>
      <c r="AK90">
        <v>14</v>
      </c>
      <c r="AL90">
        <v>15</v>
      </c>
      <c r="AM90">
        <v>15</v>
      </c>
      <c r="AN90">
        <v>15.5</v>
      </c>
      <c r="AO90">
        <v>3.3333333330000001</v>
      </c>
      <c r="AP90">
        <v>20</v>
      </c>
      <c r="AQ90">
        <v>1.6666666670000001</v>
      </c>
      <c r="AR90">
        <v>1.935483871</v>
      </c>
      <c r="AS90">
        <v>0.26881720399999998</v>
      </c>
      <c r="AT90">
        <v>0</v>
      </c>
      <c r="AU90" t="s">
        <v>66</v>
      </c>
      <c r="AV90">
        <v>1</v>
      </c>
      <c r="AW90">
        <v>1</v>
      </c>
      <c r="AX90">
        <v>0</v>
      </c>
      <c r="AY90">
        <v>1</v>
      </c>
      <c r="AZ90">
        <v>1</v>
      </c>
      <c r="BA90">
        <v>1</v>
      </c>
      <c r="BB90" t="s">
        <v>66</v>
      </c>
      <c r="BC90">
        <v>34.4</v>
      </c>
      <c r="BD90">
        <v>49.2</v>
      </c>
      <c r="BE90">
        <v>43.023255810000002</v>
      </c>
      <c r="BF90">
        <v>0</v>
      </c>
      <c r="BG90">
        <v>34.44</v>
      </c>
      <c r="BH90">
        <v>0.11627907</v>
      </c>
      <c r="BI90">
        <v>60</v>
      </c>
      <c r="BJ90">
        <v>6.2</v>
      </c>
      <c r="BK90" t="s">
        <v>66</v>
      </c>
      <c r="BL90">
        <v>26</v>
      </c>
      <c r="BM90">
        <v>12</v>
      </c>
      <c r="BN90">
        <v>8</v>
      </c>
      <c r="BO90">
        <f t="shared" si="12"/>
        <v>10</v>
      </c>
      <c r="BP90">
        <v>3</v>
      </c>
      <c r="BQ90">
        <v>1</v>
      </c>
      <c r="BS90">
        <v>0</v>
      </c>
      <c r="BT90">
        <f t="shared" si="13"/>
        <v>0</v>
      </c>
      <c r="BU90">
        <f t="shared" si="14"/>
        <v>19.35483870967742</v>
      </c>
      <c r="BV90">
        <f t="shared" si="16"/>
        <v>3.8461538461538463</v>
      </c>
      <c r="BW90">
        <f t="shared" si="15"/>
        <v>-50</v>
      </c>
    </row>
    <row r="91" spans="1:75" x14ac:dyDescent="0.2">
      <c r="A91" t="s">
        <v>299</v>
      </c>
      <c r="B91" t="s">
        <v>300</v>
      </c>
      <c r="C91" t="s">
        <v>62</v>
      </c>
      <c r="D91" t="s">
        <v>63</v>
      </c>
      <c r="E91" t="s">
        <v>89</v>
      </c>
      <c r="F91" t="s">
        <v>313</v>
      </c>
      <c r="G91">
        <v>8.0500000000000007</v>
      </c>
      <c r="H91">
        <v>11.7</v>
      </c>
      <c r="I91">
        <v>17.45</v>
      </c>
      <c r="J91">
        <v>6.05</v>
      </c>
      <c r="K91">
        <v>43.25</v>
      </c>
      <c r="L91">
        <v>3.6211180120000002</v>
      </c>
      <c r="M91">
        <v>33</v>
      </c>
      <c r="N91">
        <v>43</v>
      </c>
      <c r="O91">
        <v>10</v>
      </c>
      <c r="P91">
        <v>43</v>
      </c>
      <c r="Q91">
        <v>10</v>
      </c>
      <c r="R91">
        <v>5</v>
      </c>
      <c r="S91">
        <v>57.1</v>
      </c>
      <c r="T91">
        <v>30.3030303</v>
      </c>
      <c r="U91">
        <v>0</v>
      </c>
      <c r="V91">
        <v>2</v>
      </c>
      <c r="W91">
        <v>4</v>
      </c>
      <c r="X91">
        <v>5</v>
      </c>
      <c r="Y91">
        <v>3</v>
      </c>
      <c r="Z91">
        <v>150</v>
      </c>
      <c r="AA91" t="s">
        <v>66</v>
      </c>
      <c r="AB91" t="s">
        <v>66</v>
      </c>
      <c r="AC91" t="s">
        <v>66</v>
      </c>
      <c r="AD91" t="s">
        <v>66</v>
      </c>
      <c r="AE91">
        <v>22</v>
      </c>
      <c r="AF91">
        <v>16</v>
      </c>
      <c r="AG91" t="s">
        <v>66</v>
      </c>
      <c r="AH91">
        <v>8</v>
      </c>
      <c r="AI91">
        <v>8</v>
      </c>
      <c r="AJ91" t="s">
        <v>66</v>
      </c>
      <c r="AK91">
        <v>8</v>
      </c>
      <c r="AL91">
        <v>8</v>
      </c>
      <c r="AM91">
        <v>8</v>
      </c>
      <c r="AN91">
        <v>8</v>
      </c>
      <c r="AO91">
        <v>0</v>
      </c>
      <c r="AP91">
        <v>-27.272727270000001</v>
      </c>
      <c r="AQ91">
        <v>2.75</v>
      </c>
      <c r="AR91">
        <v>2</v>
      </c>
      <c r="AS91">
        <v>-0.75</v>
      </c>
      <c r="AT91">
        <v>0</v>
      </c>
      <c r="AU91" t="s">
        <v>66</v>
      </c>
      <c r="AV91">
        <v>2</v>
      </c>
      <c r="AW91">
        <v>2</v>
      </c>
      <c r="AX91">
        <v>0</v>
      </c>
      <c r="AY91">
        <v>1</v>
      </c>
      <c r="AZ91">
        <v>1</v>
      </c>
      <c r="BA91">
        <v>1</v>
      </c>
      <c r="BB91" t="s">
        <v>66</v>
      </c>
      <c r="BC91">
        <v>23.1</v>
      </c>
      <c r="BD91">
        <v>29.5</v>
      </c>
      <c r="BE91">
        <v>27.705627710000002</v>
      </c>
      <c r="BF91">
        <v>0</v>
      </c>
      <c r="BG91">
        <v>20.65</v>
      </c>
      <c r="BH91">
        <v>-10.60606061</v>
      </c>
      <c r="BI91">
        <v>44</v>
      </c>
      <c r="BJ91">
        <v>4.8</v>
      </c>
      <c r="BK91" t="s">
        <v>66</v>
      </c>
      <c r="BL91">
        <v>5</v>
      </c>
      <c r="BM91">
        <v>8</v>
      </c>
      <c r="BN91">
        <v>7</v>
      </c>
      <c r="BO91">
        <f t="shared" si="12"/>
        <v>7.5</v>
      </c>
      <c r="BP91">
        <v>3</v>
      </c>
      <c r="BQ91">
        <v>1</v>
      </c>
      <c r="BS91">
        <v>0</v>
      </c>
      <c r="BT91">
        <f t="shared" si="13"/>
        <v>25</v>
      </c>
      <c r="BU91">
        <f t="shared" si="14"/>
        <v>58.333333333333336</v>
      </c>
      <c r="BV91">
        <f t="shared" si="16"/>
        <v>-340</v>
      </c>
      <c r="BW91">
        <f t="shared" si="15"/>
        <v>-6.666666666666667</v>
      </c>
    </row>
    <row r="92" spans="1:75" x14ac:dyDescent="0.2">
      <c r="A92" t="s">
        <v>299</v>
      </c>
      <c r="B92" t="s">
        <v>300</v>
      </c>
      <c r="C92" t="s">
        <v>62</v>
      </c>
      <c r="D92" t="s">
        <v>63</v>
      </c>
      <c r="E92" t="s">
        <v>91</v>
      </c>
      <c r="F92" t="s">
        <v>314</v>
      </c>
      <c r="G92">
        <v>8.0500000000000007</v>
      </c>
      <c r="H92">
        <v>11.7</v>
      </c>
      <c r="I92">
        <v>17.45</v>
      </c>
      <c r="J92">
        <v>6.05</v>
      </c>
      <c r="K92">
        <v>43.25</v>
      </c>
      <c r="L92">
        <v>3.6211180120000002</v>
      </c>
      <c r="M92">
        <v>33</v>
      </c>
      <c r="N92">
        <v>40</v>
      </c>
      <c r="O92">
        <v>7</v>
      </c>
      <c r="P92">
        <v>39</v>
      </c>
      <c r="Q92">
        <v>6</v>
      </c>
      <c r="R92">
        <v>3</v>
      </c>
      <c r="S92">
        <v>53.1</v>
      </c>
      <c r="T92">
        <v>18.18181818</v>
      </c>
      <c r="U92">
        <v>-2.5</v>
      </c>
      <c r="V92">
        <v>2</v>
      </c>
      <c r="W92">
        <v>4</v>
      </c>
      <c r="X92">
        <v>4</v>
      </c>
      <c r="Y92">
        <v>2</v>
      </c>
      <c r="Z92">
        <v>100</v>
      </c>
      <c r="AA92" t="s">
        <v>66</v>
      </c>
      <c r="AB92" t="s">
        <v>66</v>
      </c>
      <c r="AC92" t="s">
        <v>66</v>
      </c>
      <c r="AD92" t="s">
        <v>66</v>
      </c>
      <c r="AE92">
        <v>23</v>
      </c>
      <c r="AF92">
        <v>16</v>
      </c>
      <c r="AG92" t="s">
        <v>66</v>
      </c>
      <c r="AH92">
        <v>12</v>
      </c>
      <c r="AI92">
        <v>13</v>
      </c>
      <c r="AJ92" t="s">
        <v>66</v>
      </c>
      <c r="AK92">
        <v>7</v>
      </c>
      <c r="AL92">
        <v>9</v>
      </c>
      <c r="AM92">
        <v>9.5</v>
      </c>
      <c r="AN92">
        <v>11</v>
      </c>
      <c r="AO92">
        <v>15.78947368</v>
      </c>
      <c r="AP92">
        <v>-30.434782609999999</v>
      </c>
      <c r="AQ92">
        <v>2.4210526319999999</v>
      </c>
      <c r="AR92">
        <v>1.4545454550000001</v>
      </c>
      <c r="AS92">
        <v>-0.966507177</v>
      </c>
      <c r="AT92">
        <v>0</v>
      </c>
      <c r="AU92" t="s">
        <v>66</v>
      </c>
      <c r="AV92">
        <v>2</v>
      </c>
      <c r="AW92">
        <v>1</v>
      </c>
      <c r="AX92">
        <v>0</v>
      </c>
      <c r="AY92">
        <v>1</v>
      </c>
      <c r="AZ92">
        <v>1</v>
      </c>
      <c r="BA92">
        <v>1</v>
      </c>
      <c r="BB92" t="s">
        <v>66</v>
      </c>
      <c r="BC92">
        <v>20.8</v>
      </c>
      <c r="BD92">
        <v>37.9</v>
      </c>
      <c r="BE92">
        <v>82.21153846</v>
      </c>
      <c r="BF92">
        <v>0</v>
      </c>
      <c r="BG92">
        <v>26.53</v>
      </c>
      <c r="BH92">
        <v>27.54807692</v>
      </c>
      <c r="BI92">
        <v>42</v>
      </c>
      <c r="BJ92">
        <v>4.5999999999999996</v>
      </c>
      <c r="BK92" t="s">
        <v>66</v>
      </c>
      <c r="BL92">
        <v>10</v>
      </c>
      <c r="BM92">
        <v>9</v>
      </c>
      <c r="BN92">
        <v>2</v>
      </c>
      <c r="BO92">
        <f t="shared" si="12"/>
        <v>5.5</v>
      </c>
      <c r="BP92">
        <v>4</v>
      </c>
      <c r="BQ92">
        <v>1</v>
      </c>
      <c r="BS92">
        <v>0</v>
      </c>
      <c r="BT92">
        <f t="shared" si="13"/>
        <v>21.428571428571427</v>
      </c>
      <c r="BU92">
        <f t="shared" si="14"/>
        <v>56.521739130434781</v>
      </c>
      <c r="BV92">
        <f t="shared" si="16"/>
        <v>-130</v>
      </c>
      <c r="BW92">
        <f t="shared" si="15"/>
        <v>-72.727272727272734</v>
      </c>
    </row>
    <row r="93" spans="1:75" x14ac:dyDescent="0.2">
      <c r="A93" t="s">
        <v>299</v>
      </c>
      <c r="B93" t="s">
        <v>300</v>
      </c>
      <c r="C93" t="s">
        <v>62</v>
      </c>
      <c r="D93" t="s">
        <v>63</v>
      </c>
      <c r="E93" t="s">
        <v>93</v>
      </c>
      <c r="F93" t="s">
        <v>315</v>
      </c>
      <c r="G93">
        <v>8.0500000000000007</v>
      </c>
      <c r="H93">
        <v>11.7</v>
      </c>
      <c r="I93">
        <v>17.45</v>
      </c>
      <c r="J93">
        <v>6.05</v>
      </c>
      <c r="K93">
        <v>43.25</v>
      </c>
      <c r="L93">
        <v>3.6211180120000002</v>
      </c>
      <c r="M93">
        <v>48</v>
      </c>
      <c r="N93">
        <v>49</v>
      </c>
      <c r="O93">
        <v>1</v>
      </c>
      <c r="P93">
        <v>51</v>
      </c>
      <c r="Q93">
        <v>3</v>
      </c>
      <c r="R93">
        <v>1.5</v>
      </c>
      <c r="S93">
        <v>50.1</v>
      </c>
      <c r="T93">
        <v>6.25</v>
      </c>
      <c r="U93">
        <v>4.0816326529999998</v>
      </c>
      <c r="V93">
        <v>3</v>
      </c>
      <c r="W93">
        <v>4</v>
      </c>
      <c r="X93">
        <v>5</v>
      </c>
      <c r="Y93">
        <v>2</v>
      </c>
      <c r="Z93">
        <v>66.666666669999998</v>
      </c>
      <c r="AA93" t="s">
        <v>66</v>
      </c>
      <c r="AB93" t="s">
        <v>66</v>
      </c>
      <c r="AC93" t="s">
        <v>66</v>
      </c>
      <c r="AD93" t="s">
        <v>66</v>
      </c>
      <c r="AE93">
        <v>19</v>
      </c>
      <c r="AF93">
        <v>23</v>
      </c>
      <c r="AG93" t="s">
        <v>66</v>
      </c>
      <c r="AH93">
        <v>10</v>
      </c>
      <c r="AI93">
        <v>10</v>
      </c>
      <c r="AJ93" t="s">
        <v>66</v>
      </c>
      <c r="AK93">
        <v>8</v>
      </c>
      <c r="AL93">
        <v>7</v>
      </c>
      <c r="AM93">
        <v>9</v>
      </c>
      <c r="AN93">
        <v>8.5</v>
      </c>
      <c r="AO93">
        <v>-5.5555555559999998</v>
      </c>
      <c r="AP93">
        <v>21.05263158</v>
      </c>
      <c r="AQ93">
        <v>2.111111111</v>
      </c>
      <c r="AR93">
        <v>2.7058823529999998</v>
      </c>
      <c r="AS93">
        <v>0.59477124199999998</v>
      </c>
      <c r="AT93">
        <v>0</v>
      </c>
      <c r="AU93" t="s">
        <v>66</v>
      </c>
      <c r="AV93">
        <v>0</v>
      </c>
      <c r="AW93">
        <v>0</v>
      </c>
      <c r="AX93">
        <v>0</v>
      </c>
      <c r="AY93">
        <v>1</v>
      </c>
      <c r="AZ93">
        <v>1</v>
      </c>
      <c r="BA93">
        <v>1</v>
      </c>
      <c r="BB93" t="s">
        <v>66</v>
      </c>
      <c r="BC93">
        <v>28</v>
      </c>
      <c r="BD93">
        <v>33.799999999999997</v>
      </c>
      <c r="BE93">
        <v>20.714285709999999</v>
      </c>
      <c r="BF93">
        <v>0</v>
      </c>
      <c r="BG93">
        <v>23.66</v>
      </c>
      <c r="BH93">
        <v>-15.5</v>
      </c>
      <c r="BI93">
        <v>50</v>
      </c>
      <c r="BJ93">
        <v>4.5</v>
      </c>
      <c r="BK93" t="s">
        <v>66</v>
      </c>
      <c r="BL93">
        <v>4</v>
      </c>
      <c r="BM93">
        <v>8</v>
      </c>
      <c r="BN93">
        <v>6</v>
      </c>
      <c r="BO93">
        <f t="shared" si="12"/>
        <v>7</v>
      </c>
      <c r="BP93">
        <v>4</v>
      </c>
      <c r="BQ93">
        <v>1</v>
      </c>
      <c r="BS93">
        <v>0</v>
      </c>
      <c r="BT93">
        <f t="shared" si="13"/>
        <v>4</v>
      </c>
      <c r="BU93">
        <f t="shared" si="14"/>
        <v>33.333333333333329</v>
      </c>
      <c r="BV93">
        <f t="shared" si="16"/>
        <v>-375</v>
      </c>
      <c r="BW93">
        <f t="shared" si="15"/>
        <v>-28.571428571428569</v>
      </c>
    </row>
    <row r="94" spans="1:75" x14ac:dyDescent="0.2">
      <c r="A94" t="s">
        <v>299</v>
      </c>
      <c r="B94" t="s">
        <v>300</v>
      </c>
      <c r="C94" t="s">
        <v>62</v>
      </c>
      <c r="D94" t="s">
        <v>63</v>
      </c>
      <c r="E94" t="s">
        <v>95</v>
      </c>
      <c r="F94" t="s">
        <v>316</v>
      </c>
      <c r="G94">
        <v>8.0500000000000007</v>
      </c>
      <c r="H94">
        <v>11.7</v>
      </c>
      <c r="I94">
        <v>17.45</v>
      </c>
      <c r="J94">
        <v>6.05</v>
      </c>
      <c r="K94">
        <v>43.25</v>
      </c>
      <c r="L94">
        <v>3.6211180120000002</v>
      </c>
      <c r="M94">
        <v>13</v>
      </c>
      <c r="N94">
        <v>17</v>
      </c>
      <c r="O94">
        <v>4</v>
      </c>
      <c r="P94">
        <v>17</v>
      </c>
      <c r="Q94">
        <v>4</v>
      </c>
      <c r="R94">
        <v>2</v>
      </c>
      <c r="S94">
        <v>51.1</v>
      </c>
      <c r="T94">
        <v>30.76923077</v>
      </c>
      <c r="U94">
        <v>0</v>
      </c>
      <c r="V94">
        <v>2</v>
      </c>
      <c r="W94">
        <v>3</v>
      </c>
      <c r="X94">
        <v>3</v>
      </c>
      <c r="Y94">
        <v>1</v>
      </c>
      <c r="Z94">
        <v>50</v>
      </c>
      <c r="AA94" t="s">
        <v>66</v>
      </c>
      <c r="AB94" t="s">
        <v>66</v>
      </c>
      <c r="AC94" t="s">
        <v>66</v>
      </c>
      <c r="AD94" t="s">
        <v>66</v>
      </c>
      <c r="AE94">
        <v>5</v>
      </c>
      <c r="AF94">
        <v>4</v>
      </c>
      <c r="AG94" t="s">
        <v>66</v>
      </c>
      <c r="AH94">
        <v>6</v>
      </c>
      <c r="AI94">
        <v>6</v>
      </c>
      <c r="AJ94" t="s">
        <v>66</v>
      </c>
      <c r="AK94">
        <v>4</v>
      </c>
      <c r="AL94">
        <v>3</v>
      </c>
      <c r="AM94">
        <v>5</v>
      </c>
      <c r="AN94">
        <v>4.5</v>
      </c>
      <c r="AO94">
        <v>-10</v>
      </c>
      <c r="AP94">
        <v>-20</v>
      </c>
      <c r="AQ94">
        <v>1</v>
      </c>
      <c r="AR94">
        <v>0.88888888899999996</v>
      </c>
      <c r="AS94">
        <v>-0.111111111</v>
      </c>
      <c r="AT94">
        <v>0</v>
      </c>
      <c r="AU94" t="s">
        <v>66</v>
      </c>
      <c r="AV94">
        <v>0</v>
      </c>
      <c r="AW94">
        <v>4</v>
      </c>
      <c r="AX94">
        <v>0</v>
      </c>
      <c r="AY94">
        <v>1</v>
      </c>
      <c r="AZ94">
        <v>1</v>
      </c>
      <c r="BA94">
        <v>1</v>
      </c>
      <c r="BB94" t="s">
        <v>66</v>
      </c>
      <c r="BC94">
        <v>19.5</v>
      </c>
      <c r="BD94">
        <v>31</v>
      </c>
      <c r="BE94">
        <v>58.974358969999997</v>
      </c>
      <c r="BF94">
        <v>0</v>
      </c>
      <c r="BG94">
        <v>21.7</v>
      </c>
      <c r="BH94">
        <v>11.282051279999999</v>
      </c>
      <c r="BI94">
        <v>13</v>
      </c>
      <c r="BJ94">
        <v>3</v>
      </c>
      <c r="BK94" t="s">
        <v>66</v>
      </c>
      <c r="BL94">
        <v>3</v>
      </c>
      <c r="BM94">
        <v>1</v>
      </c>
      <c r="BN94">
        <v>1</v>
      </c>
      <c r="BO94">
        <f t="shared" si="12"/>
        <v>1</v>
      </c>
      <c r="BP94">
        <v>2</v>
      </c>
      <c r="BQ94">
        <v>1</v>
      </c>
      <c r="BS94">
        <v>0</v>
      </c>
      <c r="BT94">
        <f t="shared" si="13"/>
        <v>0</v>
      </c>
      <c r="BU94">
        <f t="shared" si="14"/>
        <v>33.333333333333329</v>
      </c>
      <c r="BV94">
        <f t="shared" si="16"/>
        <v>-66.666666666666657</v>
      </c>
      <c r="BW94">
        <f t="shared" si="15"/>
        <v>-400</v>
      </c>
    </row>
    <row r="95" spans="1:75" x14ac:dyDescent="0.2">
      <c r="A95" t="s">
        <v>299</v>
      </c>
      <c r="B95" t="s">
        <v>300</v>
      </c>
      <c r="C95" t="s">
        <v>62</v>
      </c>
      <c r="D95" t="s">
        <v>63</v>
      </c>
      <c r="E95" t="s">
        <v>99</v>
      </c>
      <c r="F95" t="s">
        <v>318</v>
      </c>
      <c r="G95">
        <v>8.0500000000000007</v>
      </c>
      <c r="H95">
        <v>11.7</v>
      </c>
      <c r="I95">
        <v>17.45</v>
      </c>
      <c r="J95">
        <v>6.05</v>
      </c>
      <c r="K95">
        <v>43.25</v>
      </c>
      <c r="L95">
        <v>3.6211180120000002</v>
      </c>
      <c r="M95">
        <v>14</v>
      </c>
      <c r="N95">
        <v>18</v>
      </c>
      <c r="O95">
        <v>4</v>
      </c>
      <c r="P95">
        <v>20</v>
      </c>
      <c r="Q95">
        <v>6</v>
      </c>
      <c r="R95">
        <v>3</v>
      </c>
      <c r="S95">
        <v>53.1</v>
      </c>
      <c r="T95">
        <v>42.857142860000003</v>
      </c>
      <c r="U95">
        <v>11.11111111</v>
      </c>
      <c r="V95">
        <v>3</v>
      </c>
      <c r="W95">
        <v>2</v>
      </c>
      <c r="X95">
        <v>2</v>
      </c>
      <c r="Y95">
        <v>-1</v>
      </c>
      <c r="Z95">
        <v>-33.333333330000002</v>
      </c>
      <c r="AA95" t="s">
        <v>66</v>
      </c>
      <c r="AB95" t="s">
        <v>66</v>
      </c>
      <c r="AC95" t="s">
        <v>66</v>
      </c>
      <c r="AD95" t="s">
        <v>66</v>
      </c>
      <c r="AE95">
        <v>6</v>
      </c>
      <c r="AF95">
        <v>4</v>
      </c>
      <c r="AG95" t="s">
        <v>66</v>
      </c>
      <c r="AH95">
        <v>7</v>
      </c>
      <c r="AI95">
        <v>5.5</v>
      </c>
      <c r="AJ95" t="s">
        <v>66</v>
      </c>
      <c r="AK95">
        <v>4</v>
      </c>
      <c r="AL95">
        <v>5.5</v>
      </c>
      <c r="AM95">
        <v>5.5</v>
      </c>
      <c r="AN95">
        <v>5.5</v>
      </c>
      <c r="AO95">
        <v>0</v>
      </c>
      <c r="AP95">
        <v>-33.333333330000002</v>
      </c>
      <c r="AQ95">
        <v>1.0909090910000001</v>
      </c>
      <c r="AR95">
        <v>0.72727272700000001</v>
      </c>
      <c r="AS95">
        <v>-0.36363636399999999</v>
      </c>
      <c r="AT95">
        <v>0</v>
      </c>
      <c r="AU95" t="s">
        <v>66</v>
      </c>
      <c r="AV95">
        <v>3</v>
      </c>
      <c r="AW95">
        <v>4</v>
      </c>
      <c r="AX95">
        <v>0</v>
      </c>
      <c r="AY95">
        <v>1</v>
      </c>
      <c r="AZ95">
        <v>1</v>
      </c>
      <c r="BA95">
        <v>1</v>
      </c>
      <c r="BB95" t="s">
        <v>66</v>
      </c>
      <c r="BC95">
        <v>20.8</v>
      </c>
      <c r="BD95">
        <v>27.4</v>
      </c>
      <c r="BE95">
        <v>31.73076923</v>
      </c>
      <c r="BF95">
        <v>0</v>
      </c>
      <c r="BG95">
        <v>19.18</v>
      </c>
      <c r="BH95">
        <v>-7.788461538</v>
      </c>
      <c r="BI95">
        <v>21</v>
      </c>
      <c r="BJ95">
        <v>1.9</v>
      </c>
      <c r="BK95" t="s">
        <v>66</v>
      </c>
      <c r="BL95">
        <v>1</v>
      </c>
      <c r="BM95">
        <v>1</v>
      </c>
      <c r="BN95">
        <v>1</v>
      </c>
      <c r="BO95">
        <f t="shared" si="12"/>
        <v>1</v>
      </c>
      <c r="BP95">
        <v>4</v>
      </c>
      <c r="BQ95">
        <v>1</v>
      </c>
      <c r="BS95">
        <v>0</v>
      </c>
      <c r="BT95">
        <f t="shared" si="13"/>
        <v>33.333333333333329</v>
      </c>
      <c r="BU95">
        <f t="shared" si="14"/>
        <v>-57.894736842105267</v>
      </c>
      <c r="BV95">
        <f t="shared" si="16"/>
        <v>-500</v>
      </c>
      <c r="BW95">
        <f t="shared" si="15"/>
        <v>-450</v>
      </c>
    </row>
    <row r="96" spans="1:75" x14ac:dyDescent="0.2">
      <c r="A96" t="s">
        <v>299</v>
      </c>
      <c r="B96" t="s">
        <v>300</v>
      </c>
      <c r="C96" t="s">
        <v>62</v>
      </c>
      <c r="D96" t="s">
        <v>63</v>
      </c>
      <c r="E96" t="s">
        <v>101</v>
      </c>
      <c r="F96" t="s">
        <v>319</v>
      </c>
      <c r="G96">
        <v>8.0500000000000007</v>
      </c>
      <c r="H96">
        <v>11.7</v>
      </c>
      <c r="I96">
        <v>17.45</v>
      </c>
      <c r="J96">
        <v>6.05</v>
      </c>
      <c r="K96">
        <v>43.25</v>
      </c>
      <c r="L96">
        <v>3.6211180120000002</v>
      </c>
      <c r="M96">
        <v>71</v>
      </c>
      <c r="N96">
        <v>73</v>
      </c>
      <c r="O96">
        <v>2</v>
      </c>
      <c r="P96">
        <v>73</v>
      </c>
      <c r="Q96">
        <v>2</v>
      </c>
      <c r="R96">
        <v>1</v>
      </c>
      <c r="S96">
        <v>49.1</v>
      </c>
      <c r="T96">
        <v>2.8169014080000001</v>
      </c>
      <c r="U96">
        <v>0</v>
      </c>
      <c r="V96">
        <v>7</v>
      </c>
      <c r="W96">
        <v>7</v>
      </c>
      <c r="X96">
        <v>8</v>
      </c>
      <c r="Y96">
        <v>1</v>
      </c>
      <c r="Z96">
        <v>14.28571429</v>
      </c>
      <c r="AA96" t="s">
        <v>66</v>
      </c>
      <c r="AB96" t="s">
        <v>66</v>
      </c>
      <c r="AC96" t="s">
        <v>66</v>
      </c>
      <c r="AD96" t="s">
        <v>66</v>
      </c>
      <c r="AE96">
        <v>35</v>
      </c>
      <c r="AF96">
        <v>22</v>
      </c>
      <c r="AG96" t="s">
        <v>66</v>
      </c>
      <c r="AH96">
        <v>15</v>
      </c>
      <c r="AI96">
        <v>14</v>
      </c>
      <c r="AJ96" t="s">
        <v>66</v>
      </c>
      <c r="AK96">
        <v>13</v>
      </c>
      <c r="AL96">
        <v>12</v>
      </c>
      <c r="AM96">
        <v>14</v>
      </c>
      <c r="AN96">
        <v>13</v>
      </c>
      <c r="AO96">
        <v>-7.1428571429999996</v>
      </c>
      <c r="AP96">
        <v>-37.142857139999997</v>
      </c>
      <c r="AQ96">
        <v>2.5</v>
      </c>
      <c r="AR96">
        <v>1.692307692</v>
      </c>
      <c r="AS96">
        <v>-0.80769230800000003</v>
      </c>
      <c r="AT96">
        <v>0</v>
      </c>
      <c r="AU96" t="s">
        <v>66</v>
      </c>
      <c r="AV96">
        <v>1</v>
      </c>
      <c r="AW96">
        <v>2</v>
      </c>
      <c r="AX96">
        <v>0</v>
      </c>
      <c r="AY96">
        <v>1</v>
      </c>
      <c r="AZ96">
        <v>1</v>
      </c>
      <c r="BA96">
        <v>1</v>
      </c>
      <c r="BB96" t="s">
        <v>66</v>
      </c>
      <c r="BC96">
        <v>27</v>
      </c>
      <c r="BD96">
        <v>42.3</v>
      </c>
      <c r="BE96">
        <v>56.666666669999998</v>
      </c>
      <c r="BF96">
        <v>0</v>
      </c>
      <c r="BG96">
        <v>29.61</v>
      </c>
      <c r="BH96">
        <v>9.6666666669999994</v>
      </c>
      <c r="BI96">
        <v>36</v>
      </c>
      <c r="BJ96">
        <v>7.7</v>
      </c>
      <c r="BK96" t="s">
        <v>66</v>
      </c>
      <c r="BL96">
        <v>11</v>
      </c>
      <c r="BM96">
        <v>10</v>
      </c>
      <c r="BN96">
        <v>8</v>
      </c>
      <c r="BO96">
        <f t="shared" si="12"/>
        <v>9</v>
      </c>
      <c r="BP96">
        <v>4</v>
      </c>
      <c r="BQ96">
        <v>1</v>
      </c>
      <c r="BS96">
        <v>0</v>
      </c>
      <c r="BT96">
        <f t="shared" si="13"/>
        <v>-97.222222222222214</v>
      </c>
      <c r="BU96">
        <f t="shared" si="14"/>
        <v>9.0909090909090917</v>
      </c>
      <c r="BV96">
        <f t="shared" si="16"/>
        <v>-218.18181818181816</v>
      </c>
      <c r="BW96">
        <f t="shared" si="15"/>
        <v>-55.555555555555557</v>
      </c>
    </row>
    <row r="97" spans="1:75" x14ac:dyDescent="0.2">
      <c r="A97" t="s">
        <v>299</v>
      </c>
      <c r="B97" t="s">
        <v>300</v>
      </c>
      <c r="C97" t="s">
        <v>62</v>
      </c>
      <c r="D97" t="s">
        <v>63</v>
      </c>
      <c r="E97" t="s">
        <v>103</v>
      </c>
      <c r="F97" t="s">
        <v>320</v>
      </c>
      <c r="G97">
        <v>8.0500000000000007</v>
      </c>
      <c r="H97">
        <v>11.7</v>
      </c>
      <c r="I97">
        <v>17.45</v>
      </c>
      <c r="J97">
        <v>6.05</v>
      </c>
      <c r="K97">
        <v>43.25</v>
      </c>
      <c r="L97">
        <v>3.6211180120000002</v>
      </c>
      <c r="M97">
        <v>12</v>
      </c>
      <c r="N97">
        <v>18</v>
      </c>
      <c r="O97">
        <v>6</v>
      </c>
      <c r="P97">
        <v>20</v>
      </c>
      <c r="Q97">
        <v>8</v>
      </c>
      <c r="R97">
        <v>4</v>
      </c>
      <c r="S97">
        <v>55.1</v>
      </c>
      <c r="T97">
        <v>66.666666669999998</v>
      </c>
      <c r="U97">
        <v>11.11111111</v>
      </c>
      <c r="V97">
        <v>2</v>
      </c>
      <c r="W97">
        <v>2</v>
      </c>
      <c r="X97">
        <v>2</v>
      </c>
      <c r="Y97">
        <v>0</v>
      </c>
      <c r="Z97">
        <v>0</v>
      </c>
      <c r="AA97" t="s">
        <v>66</v>
      </c>
      <c r="AB97" t="s">
        <v>66</v>
      </c>
      <c r="AC97" t="s">
        <v>66</v>
      </c>
      <c r="AD97" t="s">
        <v>66</v>
      </c>
      <c r="AE97">
        <v>4</v>
      </c>
      <c r="AF97">
        <v>10</v>
      </c>
      <c r="AG97" t="s">
        <v>66</v>
      </c>
      <c r="AH97">
        <v>6</v>
      </c>
      <c r="AI97">
        <v>8</v>
      </c>
      <c r="AJ97" t="s">
        <v>66</v>
      </c>
      <c r="AK97">
        <v>3</v>
      </c>
      <c r="AL97">
        <v>6</v>
      </c>
      <c r="AM97">
        <v>4.5</v>
      </c>
      <c r="AN97">
        <v>7</v>
      </c>
      <c r="AO97">
        <v>55.555555560000002</v>
      </c>
      <c r="AP97">
        <v>150</v>
      </c>
      <c r="AQ97">
        <v>0.88888888899999996</v>
      </c>
      <c r="AR97">
        <v>1.428571429</v>
      </c>
      <c r="AS97">
        <v>0.53968254000000004</v>
      </c>
      <c r="AT97">
        <v>0</v>
      </c>
      <c r="AU97" t="s">
        <v>66</v>
      </c>
      <c r="AV97">
        <v>1</v>
      </c>
      <c r="AW97">
        <v>1</v>
      </c>
      <c r="AX97">
        <v>0</v>
      </c>
      <c r="AY97">
        <v>1</v>
      </c>
      <c r="AZ97">
        <v>1</v>
      </c>
      <c r="BA97">
        <v>1</v>
      </c>
      <c r="BB97" t="s">
        <v>66</v>
      </c>
      <c r="BC97">
        <v>13.2</v>
      </c>
      <c r="BD97">
        <v>28.125</v>
      </c>
      <c r="BE97">
        <v>113.0681818</v>
      </c>
      <c r="BF97">
        <v>0</v>
      </c>
      <c r="BG97">
        <v>19.6875</v>
      </c>
      <c r="BH97">
        <v>49.147727269999997</v>
      </c>
      <c r="BI97">
        <v>19</v>
      </c>
      <c r="BJ97">
        <v>2.5</v>
      </c>
      <c r="BK97" t="s">
        <v>66</v>
      </c>
      <c r="BL97">
        <v>13</v>
      </c>
      <c r="BM97">
        <v>8</v>
      </c>
      <c r="BN97">
        <v>2</v>
      </c>
      <c r="BO97">
        <f t="shared" si="12"/>
        <v>5</v>
      </c>
      <c r="BP97">
        <v>3</v>
      </c>
      <c r="BQ97">
        <v>1</v>
      </c>
      <c r="BS97">
        <v>0</v>
      </c>
      <c r="BT97">
        <f t="shared" si="13"/>
        <v>36.84210526315789</v>
      </c>
      <c r="BU97">
        <f t="shared" si="14"/>
        <v>20</v>
      </c>
      <c r="BV97">
        <f t="shared" si="16"/>
        <v>69.230769230769226</v>
      </c>
      <c r="BW97">
        <f t="shared" si="15"/>
        <v>10</v>
      </c>
    </row>
    <row r="98" spans="1:75" x14ac:dyDescent="0.2">
      <c r="A98" t="s">
        <v>299</v>
      </c>
      <c r="B98" t="s">
        <v>300</v>
      </c>
      <c r="C98" t="s">
        <v>62</v>
      </c>
      <c r="D98" t="s">
        <v>63</v>
      </c>
      <c r="E98" t="s">
        <v>64</v>
      </c>
      <c r="F98" t="s">
        <v>301</v>
      </c>
      <c r="G98">
        <v>8.0500000000000007</v>
      </c>
      <c r="H98">
        <v>11.7</v>
      </c>
      <c r="I98">
        <v>17.45</v>
      </c>
      <c r="J98">
        <v>6.05</v>
      </c>
      <c r="K98">
        <v>43.25</v>
      </c>
      <c r="L98">
        <v>3.6211180120000002</v>
      </c>
      <c r="M98">
        <v>66</v>
      </c>
      <c r="N98">
        <v>72</v>
      </c>
      <c r="O98">
        <v>6</v>
      </c>
      <c r="P98">
        <v>67</v>
      </c>
      <c r="Q98">
        <v>1</v>
      </c>
      <c r="R98">
        <v>0.5</v>
      </c>
      <c r="S98">
        <v>48.1</v>
      </c>
      <c r="T98">
        <v>1.5151515149999999</v>
      </c>
      <c r="U98">
        <v>-6.9444444440000002</v>
      </c>
      <c r="V98">
        <v>4</v>
      </c>
      <c r="W98">
        <v>6</v>
      </c>
      <c r="X98">
        <v>3</v>
      </c>
      <c r="Y98">
        <v>-1</v>
      </c>
      <c r="Z98">
        <v>-25</v>
      </c>
      <c r="AA98" t="s">
        <v>66</v>
      </c>
      <c r="AB98" t="s">
        <v>66</v>
      </c>
      <c r="AC98" t="s">
        <v>66</v>
      </c>
      <c r="AD98" t="s">
        <v>66</v>
      </c>
      <c r="AE98">
        <v>38</v>
      </c>
      <c r="AF98">
        <v>37</v>
      </c>
      <c r="AG98" t="s">
        <v>66</v>
      </c>
      <c r="AH98">
        <v>17</v>
      </c>
      <c r="AI98">
        <v>22</v>
      </c>
      <c r="AJ98" t="s">
        <v>66</v>
      </c>
      <c r="AK98">
        <v>12</v>
      </c>
      <c r="AL98">
        <v>11</v>
      </c>
      <c r="AM98">
        <v>14.5</v>
      </c>
      <c r="AN98">
        <v>16.5</v>
      </c>
      <c r="AO98">
        <v>13.79310345</v>
      </c>
      <c r="AP98">
        <v>-2.6315789469999999</v>
      </c>
      <c r="AQ98">
        <v>2.6206896550000001</v>
      </c>
      <c r="AR98">
        <v>2.2424242419999998</v>
      </c>
      <c r="AS98">
        <v>-0.37826541299999999</v>
      </c>
      <c r="AT98">
        <v>0</v>
      </c>
      <c r="AU98" t="s">
        <v>66</v>
      </c>
      <c r="AV98">
        <v>1</v>
      </c>
      <c r="AW98">
        <v>2</v>
      </c>
      <c r="AX98">
        <v>1</v>
      </c>
      <c r="AY98">
        <v>1</v>
      </c>
      <c r="AZ98">
        <v>1</v>
      </c>
      <c r="BA98">
        <v>1</v>
      </c>
      <c r="BB98" t="s">
        <v>66</v>
      </c>
      <c r="BC98">
        <v>26.1</v>
      </c>
      <c r="BD98">
        <v>43.6</v>
      </c>
      <c r="BE98">
        <v>67.049808429999999</v>
      </c>
      <c r="BF98">
        <v>0</v>
      </c>
      <c r="BG98">
        <v>30.52</v>
      </c>
      <c r="BH98">
        <v>16.934865899999998</v>
      </c>
      <c r="BI98">
        <v>72</v>
      </c>
      <c r="BJ98">
        <v>5.2</v>
      </c>
      <c r="BK98" t="s">
        <v>66</v>
      </c>
      <c r="BL98">
        <f>72-43</f>
        <v>29</v>
      </c>
      <c r="BM98">
        <v>38</v>
      </c>
      <c r="BN98">
        <v>14</v>
      </c>
      <c r="BO98">
        <f t="shared" si="12"/>
        <v>26</v>
      </c>
      <c r="BP98">
        <v>3</v>
      </c>
      <c r="BQ98">
        <v>1</v>
      </c>
      <c r="BS98">
        <v>0</v>
      </c>
      <c r="BT98">
        <f t="shared" si="13"/>
        <v>8.3333333333333321</v>
      </c>
      <c r="BU98">
        <f t="shared" si="14"/>
        <v>23.076923076923077</v>
      </c>
      <c r="BV98">
        <f t="shared" si="16"/>
        <v>-31.03448275862069</v>
      </c>
      <c r="BW98">
        <f t="shared" si="15"/>
        <v>44.230769230769226</v>
      </c>
    </row>
    <row r="99" spans="1:75" x14ac:dyDescent="0.2">
      <c r="A99" t="s">
        <v>127</v>
      </c>
      <c r="B99" t="s">
        <v>128</v>
      </c>
      <c r="C99" t="s">
        <v>62</v>
      </c>
      <c r="D99" t="s">
        <v>63</v>
      </c>
      <c r="E99" t="s">
        <v>101</v>
      </c>
      <c r="F99" t="s">
        <v>147</v>
      </c>
      <c r="G99">
        <v>3.85</v>
      </c>
      <c r="H99">
        <v>7.5</v>
      </c>
      <c r="I99">
        <v>4.45</v>
      </c>
      <c r="J99">
        <v>0.95</v>
      </c>
      <c r="K99">
        <v>16.75</v>
      </c>
      <c r="L99">
        <v>3.1038961039999999</v>
      </c>
      <c r="M99">
        <v>162</v>
      </c>
      <c r="N99">
        <v>206</v>
      </c>
      <c r="O99">
        <v>44</v>
      </c>
      <c r="P99">
        <v>220</v>
      </c>
      <c r="Q99">
        <v>58</v>
      </c>
      <c r="R99">
        <v>29</v>
      </c>
      <c r="S99">
        <v>105.1</v>
      </c>
      <c r="T99">
        <v>35.802469139999999</v>
      </c>
      <c r="U99">
        <v>6.7961165049999996</v>
      </c>
      <c r="V99">
        <v>13</v>
      </c>
      <c r="W99">
        <v>14</v>
      </c>
      <c r="X99">
        <v>14</v>
      </c>
      <c r="Y99">
        <v>1</v>
      </c>
      <c r="Z99">
        <v>7.692307692</v>
      </c>
      <c r="AA99">
        <v>3</v>
      </c>
      <c r="AB99">
        <v>7</v>
      </c>
      <c r="AC99">
        <v>8</v>
      </c>
      <c r="AD99" t="s">
        <v>66</v>
      </c>
      <c r="AE99">
        <v>119</v>
      </c>
      <c r="AF99">
        <v>132</v>
      </c>
      <c r="AG99" t="s">
        <v>66</v>
      </c>
      <c r="AH99">
        <v>75</v>
      </c>
      <c r="AI99">
        <v>75</v>
      </c>
      <c r="AJ99" t="s">
        <v>66</v>
      </c>
      <c r="AK99">
        <v>69</v>
      </c>
      <c r="AL99">
        <v>23</v>
      </c>
      <c r="AM99">
        <v>72</v>
      </c>
      <c r="AN99">
        <v>49</v>
      </c>
      <c r="AO99">
        <v>-31.944444440000002</v>
      </c>
      <c r="AP99">
        <v>10.92436975</v>
      </c>
      <c r="AQ99">
        <v>1.6527777779999999</v>
      </c>
      <c r="AR99">
        <v>2.6938775509999999</v>
      </c>
      <c r="AS99">
        <v>1.041099773</v>
      </c>
      <c r="AT99">
        <v>0</v>
      </c>
      <c r="AU99" t="s">
        <v>66</v>
      </c>
      <c r="AV99">
        <v>4</v>
      </c>
      <c r="AW99">
        <v>4</v>
      </c>
      <c r="AX99">
        <v>1</v>
      </c>
      <c r="AY99">
        <v>1</v>
      </c>
      <c r="AZ99">
        <v>1</v>
      </c>
      <c r="BA99">
        <v>1</v>
      </c>
      <c r="BB99" t="s">
        <v>66</v>
      </c>
      <c r="BC99">
        <v>44.4</v>
      </c>
      <c r="BD99">
        <v>63.7</v>
      </c>
      <c r="BE99">
        <v>43.468468469999998</v>
      </c>
      <c r="BF99">
        <v>1</v>
      </c>
      <c r="BG99">
        <v>44.59</v>
      </c>
      <c r="BH99">
        <v>0.42792792800000001</v>
      </c>
      <c r="BI99">
        <v>28</v>
      </c>
      <c r="BJ99">
        <v>16.3</v>
      </c>
      <c r="BK99" t="s">
        <v>66</v>
      </c>
      <c r="BL99">
        <f>28-16</f>
        <v>12</v>
      </c>
      <c r="BM99">
        <v>29</v>
      </c>
      <c r="BN99">
        <v>15</v>
      </c>
      <c r="BO99">
        <f t="shared" si="12"/>
        <v>22</v>
      </c>
      <c r="BP99">
        <v>2</v>
      </c>
      <c r="BQ99">
        <v>1</v>
      </c>
      <c r="BS99">
        <v>0</v>
      </c>
      <c r="BT99">
        <f t="shared" si="13"/>
        <v>-478.57142857142856</v>
      </c>
      <c r="BU99">
        <f t="shared" si="14"/>
        <v>20.245398773006137</v>
      </c>
      <c r="BV99">
        <f t="shared" si="16"/>
        <v>-891.66666666666663</v>
      </c>
      <c r="BW99">
        <f t="shared" si="15"/>
        <v>-227.27272727272728</v>
      </c>
    </row>
    <row r="100" spans="1:75" x14ac:dyDescent="0.2">
      <c r="A100" t="s">
        <v>299</v>
      </c>
      <c r="B100" t="s">
        <v>300</v>
      </c>
      <c r="C100" t="s">
        <v>62</v>
      </c>
      <c r="D100" t="s">
        <v>63</v>
      </c>
      <c r="E100" t="s">
        <v>97</v>
      </c>
      <c r="F100" t="s">
        <v>317</v>
      </c>
      <c r="G100">
        <v>8.0500000000000007</v>
      </c>
      <c r="H100">
        <v>11.7</v>
      </c>
      <c r="I100">
        <v>17.45</v>
      </c>
      <c r="J100">
        <v>6.05</v>
      </c>
      <c r="K100">
        <v>43.25</v>
      </c>
      <c r="L100">
        <v>3.6211180120000002</v>
      </c>
      <c r="M100">
        <v>122</v>
      </c>
      <c r="N100">
        <v>130</v>
      </c>
      <c r="O100">
        <v>8</v>
      </c>
      <c r="P100">
        <v>84</v>
      </c>
      <c r="Q100">
        <v>-38</v>
      </c>
      <c r="R100">
        <v>-19</v>
      </c>
      <c r="S100">
        <v>9.1</v>
      </c>
      <c r="T100">
        <v>-31.147540979999999</v>
      </c>
      <c r="U100">
        <v>-35.38461538</v>
      </c>
      <c r="V100">
        <v>9</v>
      </c>
      <c r="W100">
        <v>10</v>
      </c>
      <c r="X100">
        <v>10</v>
      </c>
      <c r="Y100">
        <v>1</v>
      </c>
      <c r="Z100">
        <v>11.11111111</v>
      </c>
      <c r="AA100" t="s">
        <v>66</v>
      </c>
      <c r="AB100" t="s">
        <v>66</v>
      </c>
      <c r="AC100" t="s">
        <v>66</v>
      </c>
      <c r="AD100" t="s">
        <v>66</v>
      </c>
      <c r="AE100">
        <v>60</v>
      </c>
      <c r="AF100">
        <v>27</v>
      </c>
      <c r="AG100" t="s">
        <v>66</v>
      </c>
      <c r="AH100">
        <v>45</v>
      </c>
      <c r="AI100">
        <v>26</v>
      </c>
      <c r="AJ100" t="s">
        <v>66</v>
      </c>
      <c r="AK100">
        <v>18</v>
      </c>
      <c r="AL100">
        <v>14</v>
      </c>
      <c r="AM100">
        <v>31.5</v>
      </c>
      <c r="AN100">
        <v>20</v>
      </c>
      <c r="AO100">
        <v>-36.50793651</v>
      </c>
      <c r="AP100">
        <v>-55</v>
      </c>
      <c r="AQ100">
        <v>1.904761905</v>
      </c>
      <c r="AR100">
        <v>1.35</v>
      </c>
      <c r="AS100">
        <v>-0.554761905</v>
      </c>
      <c r="AT100">
        <v>0</v>
      </c>
      <c r="AU100" t="s">
        <v>66</v>
      </c>
      <c r="AV100">
        <v>1</v>
      </c>
      <c r="AW100">
        <v>1</v>
      </c>
      <c r="AX100">
        <v>0</v>
      </c>
      <c r="AY100">
        <v>1</v>
      </c>
      <c r="AZ100">
        <v>1</v>
      </c>
      <c r="BA100">
        <v>1</v>
      </c>
      <c r="BB100" t="s">
        <v>66</v>
      </c>
      <c r="BC100">
        <v>25</v>
      </c>
      <c r="BD100">
        <v>69.900000000000006</v>
      </c>
      <c r="BE100">
        <v>179.6</v>
      </c>
      <c r="BF100">
        <v>1</v>
      </c>
      <c r="BG100">
        <v>48.93</v>
      </c>
      <c r="BH100">
        <v>95.72</v>
      </c>
      <c r="BI100">
        <v>94</v>
      </c>
      <c r="BJ100">
        <v>11.1</v>
      </c>
      <c r="BK100" t="s">
        <v>66</v>
      </c>
      <c r="BL100">
        <f>94-63</f>
        <v>31</v>
      </c>
      <c r="BM100">
        <v>16</v>
      </c>
      <c r="BN100">
        <v>4</v>
      </c>
      <c r="BO100">
        <f t="shared" si="12"/>
        <v>10</v>
      </c>
      <c r="BP100">
        <v>4</v>
      </c>
      <c r="BQ100">
        <v>1</v>
      </c>
      <c r="BS100">
        <v>0</v>
      </c>
      <c r="BT100">
        <f t="shared" si="13"/>
        <v>-29.787234042553191</v>
      </c>
      <c r="BU100">
        <f t="shared" si="14"/>
        <v>18.918918918918916</v>
      </c>
      <c r="BV100">
        <f t="shared" si="16"/>
        <v>-93.548387096774192</v>
      </c>
      <c r="BW100">
        <f t="shared" si="15"/>
        <v>-215</v>
      </c>
    </row>
    <row r="101" spans="1:75" x14ac:dyDescent="0.2">
      <c r="A101" t="s">
        <v>60</v>
      </c>
      <c r="B101" t="s">
        <v>61</v>
      </c>
      <c r="C101" t="s">
        <v>62</v>
      </c>
      <c r="D101" t="s">
        <v>63</v>
      </c>
      <c r="E101" t="s">
        <v>87</v>
      </c>
      <c r="F101" t="s">
        <v>88</v>
      </c>
      <c r="G101">
        <v>2.7</v>
      </c>
      <c r="H101">
        <v>5.9</v>
      </c>
      <c r="I101">
        <v>5.75</v>
      </c>
      <c r="J101">
        <v>3.6</v>
      </c>
      <c r="K101">
        <v>17.95</v>
      </c>
      <c r="L101">
        <v>4.3148148150000001</v>
      </c>
      <c r="M101">
        <v>34</v>
      </c>
      <c r="N101" t="s">
        <v>66</v>
      </c>
      <c r="O101" t="s">
        <v>66</v>
      </c>
      <c r="P101" t="s">
        <v>66</v>
      </c>
      <c r="Q101" t="s">
        <v>66</v>
      </c>
      <c r="R101" t="s">
        <v>66</v>
      </c>
      <c r="S101" t="s">
        <v>66</v>
      </c>
      <c r="T101" t="s">
        <v>66</v>
      </c>
      <c r="U101" t="s">
        <v>66</v>
      </c>
      <c r="V101">
        <v>4</v>
      </c>
      <c r="W101" t="s">
        <v>66</v>
      </c>
      <c r="X101" t="s">
        <v>66</v>
      </c>
      <c r="Y101" t="s">
        <v>66</v>
      </c>
      <c r="Z101" t="s">
        <v>66</v>
      </c>
      <c r="AA101" t="s">
        <v>66</v>
      </c>
      <c r="AB101" t="s">
        <v>66</v>
      </c>
      <c r="AC101" t="s">
        <v>66</v>
      </c>
      <c r="AD101" t="s">
        <v>66</v>
      </c>
      <c r="AE101" t="s">
        <v>66</v>
      </c>
      <c r="AF101" t="s">
        <v>66</v>
      </c>
      <c r="AG101" t="s">
        <v>66</v>
      </c>
      <c r="AH101" t="s">
        <v>66</v>
      </c>
      <c r="AI101" t="s">
        <v>66</v>
      </c>
      <c r="AJ101" t="s">
        <v>66</v>
      </c>
      <c r="AK101" t="s">
        <v>66</v>
      </c>
      <c r="AL101" t="s">
        <v>66</v>
      </c>
      <c r="AM101" t="s">
        <v>66</v>
      </c>
      <c r="AN101" t="s">
        <v>66</v>
      </c>
      <c r="AO101" t="s">
        <v>66</v>
      </c>
      <c r="AP101" t="s">
        <v>66</v>
      </c>
      <c r="AQ101" t="s">
        <v>66</v>
      </c>
      <c r="AR101" t="s">
        <v>66</v>
      </c>
      <c r="AS101" t="s">
        <v>66</v>
      </c>
      <c r="AT101" t="s">
        <v>66</v>
      </c>
      <c r="AU101" t="s">
        <v>66</v>
      </c>
      <c r="AV101" t="s">
        <v>66</v>
      </c>
      <c r="AW101" t="s">
        <v>66</v>
      </c>
      <c r="AX101">
        <v>0</v>
      </c>
      <c r="AY101">
        <v>1</v>
      </c>
      <c r="AZ101">
        <v>0</v>
      </c>
      <c r="BA101">
        <v>0</v>
      </c>
      <c r="BB101" t="s">
        <v>66</v>
      </c>
      <c r="BC101" t="s">
        <v>66</v>
      </c>
      <c r="BD101" t="s">
        <v>66</v>
      </c>
      <c r="BE101" t="s">
        <v>66</v>
      </c>
      <c r="BF101" t="s">
        <v>66</v>
      </c>
      <c r="BG101" t="s">
        <v>66</v>
      </c>
      <c r="BH101" t="s">
        <v>66</v>
      </c>
      <c r="BI101" t="s">
        <v>66</v>
      </c>
      <c r="BJ101" t="s">
        <v>66</v>
      </c>
      <c r="BK101" t="s">
        <v>66</v>
      </c>
      <c r="BL101" t="s">
        <v>66</v>
      </c>
      <c r="BM101" t="s">
        <v>66</v>
      </c>
      <c r="BN101" t="s">
        <v>66</v>
      </c>
      <c r="BO101" t="s">
        <v>66</v>
      </c>
      <c r="BP101" t="s">
        <v>66</v>
      </c>
      <c r="BQ101">
        <v>0</v>
      </c>
      <c r="BS101">
        <v>0</v>
      </c>
      <c r="BT101" t="s">
        <v>66</v>
      </c>
      <c r="BU101" t="s">
        <v>66</v>
      </c>
      <c r="BV101" t="s">
        <v>66</v>
      </c>
      <c r="BW101" t="s">
        <v>66</v>
      </c>
    </row>
    <row r="102" spans="1:75" x14ac:dyDescent="0.2">
      <c r="A102" t="s">
        <v>127</v>
      </c>
      <c r="B102" t="s">
        <v>128</v>
      </c>
      <c r="C102" t="s">
        <v>62</v>
      </c>
      <c r="D102" t="s">
        <v>63</v>
      </c>
      <c r="E102" t="s">
        <v>95</v>
      </c>
      <c r="F102" t="s">
        <v>144</v>
      </c>
      <c r="G102">
        <v>3.85</v>
      </c>
      <c r="H102">
        <v>7.5</v>
      </c>
      <c r="I102">
        <v>4.45</v>
      </c>
      <c r="J102">
        <v>0.95</v>
      </c>
      <c r="K102">
        <v>16.75</v>
      </c>
      <c r="L102">
        <v>3.1038961039999999</v>
      </c>
      <c r="M102">
        <v>78</v>
      </c>
      <c r="N102">
        <v>79</v>
      </c>
      <c r="O102">
        <v>1</v>
      </c>
      <c r="P102" t="s">
        <v>66</v>
      </c>
      <c r="Q102" t="s">
        <v>66</v>
      </c>
      <c r="R102" t="s">
        <v>66</v>
      </c>
      <c r="S102" t="s">
        <v>66</v>
      </c>
      <c r="T102" t="s">
        <v>66</v>
      </c>
      <c r="U102" t="s">
        <v>66</v>
      </c>
      <c r="V102">
        <v>3</v>
      </c>
      <c r="W102">
        <v>5</v>
      </c>
      <c r="X102" t="s">
        <v>66</v>
      </c>
      <c r="Y102" t="s">
        <v>66</v>
      </c>
      <c r="Z102" t="s">
        <v>66</v>
      </c>
      <c r="AA102" t="s">
        <v>66</v>
      </c>
      <c r="AB102" t="s">
        <v>66</v>
      </c>
      <c r="AC102" t="s">
        <v>66</v>
      </c>
      <c r="AD102" t="s">
        <v>66</v>
      </c>
      <c r="AE102">
        <v>46</v>
      </c>
      <c r="AF102" t="s">
        <v>66</v>
      </c>
      <c r="AG102" t="s">
        <v>66</v>
      </c>
      <c r="AH102">
        <v>18</v>
      </c>
      <c r="AI102" t="s">
        <v>66</v>
      </c>
      <c r="AJ102" t="s">
        <v>66</v>
      </c>
      <c r="AK102">
        <v>15</v>
      </c>
      <c r="AL102" t="s">
        <v>66</v>
      </c>
      <c r="AM102">
        <v>16.5</v>
      </c>
      <c r="AN102" t="s">
        <v>66</v>
      </c>
      <c r="AO102" t="s">
        <v>66</v>
      </c>
      <c r="AP102" t="s">
        <v>66</v>
      </c>
      <c r="AQ102">
        <v>2.787878788</v>
      </c>
      <c r="AR102" t="s">
        <v>66</v>
      </c>
      <c r="AS102" t="s">
        <v>66</v>
      </c>
      <c r="AT102">
        <v>0</v>
      </c>
      <c r="AU102" t="s">
        <v>66</v>
      </c>
      <c r="AV102">
        <v>1</v>
      </c>
      <c r="AW102" t="s">
        <v>66</v>
      </c>
      <c r="AX102">
        <v>0</v>
      </c>
      <c r="AY102">
        <v>1</v>
      </c>
      <c r="AZ102">
        <v>1</v>
      </c>
      <c r="BA102">
        <v>0</v>
      </c>
      <c r="BB102" t="s">
        <v>66</v>
      </c>
      <c r="BC102">
        <v>29.7</v>
      </c>
      <c r="BD102" t="s">
        <v>66</v>
      </c>
      <c r="BE102" t="s">
        <v>66</v>
      </c>
      <c r="BF102" t="s">
        <v>66</v>
      </c>
      <c r="BG102" t="s">
        <v>66</v>
      </c>
      <c r="BH102" t="s">
        <v>66</v>
      </c>
      <c r="BI102">
        <v>33</v>
      </c>
      <c r="BJ102">
        <v>5.4</v>
      </c>
      <c r="BK102" t="s">
        <v>66</v>
      </c>
      <c r="BL102">
        <f>33-24</f>
        <v>9</v>
      </c>
      <c r="BM102">
        <v>9</v>
      </c>
      <c r="BN102">
        <v>7</v>
      </c>
      <c r="BO102">
        <f>AVERAGE(BM102,BN102)</f>
        <v>8</v>
      </c>
      <c r="BP102">
        <v>1</v>
      </c>
      <c r="BQ102">
        <v>1</v>
      </c>
      <c r="BS102">
        <v>0</v>
      </c>
      <c r="BT102">
        <f>(BI102-M102)/BI102*100</f>
        <v>-136.36363636363635</v>
      </c>
      <c r="BU102">
        <f>(BJ102-V102)/BJ102*100</f>
        <v>44.44444444444445</v>
      </c>
      <c r="BV102">
        <f>(BL102-AE102)/BL102*100</f>
        <v>-411.11111111111109</v>
      </c>
      <c r="BW102">
        <f>(BO102-AM102)/BO102*100</f>
        <v>-106.25</v>
      </c>
    </row>
    <row r="103" spans="1:75" x14ac:dyDescent="0.2">
      <c r="A103" t="s">
        <v>170</v>
      </c>
      <c r="B103" t="s">
        <v>171</v>
      </c>
      <c r="C103" t="s">
        <v>62</v>
      </c>
      <c r="D103" t="s">
        <v>63</v>
      </c>
      <c r="E103" t="s">
        <v>64</v>
      </c>
      <c r="F103" t="s">
        <v>172</v>
      </c>
      <c r="G103">
        <v>2.65</v>
      </c>
      <c r="H103">
        <v>15.9</v>
      </c>
      <c r="I103">
        <v>15.75</v>
      </c>
      <c r="J103">
        <v>1.4</v>
      </c>
      <c r="K103">
        <v>35.700000000000003</v>
      </c>
      <c r="L103">
        <v>11.943396229999999</v>
      </c>
      <c r="M103">
        <v>66</v>
      </c>
      <c r="N103">
        <v>70</v>
      </c>
      <c r="O103">
        <v>4</v>
      </c>
      <c r="P103" t="s">
        <v>66</v>
      </c>
      <c r="Q103" t="s">
        <v>66</v>
      </c>
      <c r="R103" t="s">
        <v>66</v>
      </c>
      <c r="S103" t="s">
        <v>66</v>
      </c>
      <c r="T103" t="s">
        <v>66</v>
      </c>
      <c r="U103" t="s">
        <v>66</v>
      </c>
      <c r="V103">
        <v>7</v>
      </c>
      <c r="W103">
        <v>6</v>
      </c>
      <c r="X103" t="s">
        <v>66</v>
      </c>
      <c r="Y103" t="s">
        <v>66</v>
      </c>
      <c r="Z103" t="s">
        <v>66</v>
      </c>
      <c r="AA103" t="s">
        <v>66</v>
      </c>
      <c r="AB103" t="s">
        <v>66</v>
      </c>
      <c r="AC103" t="s">
        <v>66</v>
      </c>
      <c r="AD103" t="s">
        <v>66</v>
      </c>
      <c r="AE103" t="s">
        <v>66</v>
      </c>
      <c r="AF103" t="s">
        <v>66</v>
      </c>
      <c r="AG103" t="s">
        <v>66</v>
      </c>
      <c r="AH103" t="s">
        <v>66</v>
      </c>
      <c r="AI103" t="s">
        <v>66</v>
      </c>
      <c r="AJ103" t="s">
        <v>66</v>
      </c>
      <c r="AK103" t="s">
        <v>66</v>
      </c>
      <c r="AL103" t="s">
        <v>66</v>
      </c>
      <c r="AM103" t="s">
        <v>66</v>
      </c>
      <c r="AN103" t="s">
        <v>66</v>
      </c>
      <c r="AO103" t="s">
        <v>66</v>
      </c>
      <c r="AP103" t="s">
        <v>66</v>
      </c>
      <c r="AQ103" t="s">
        <v>66</v>
      </c>
      <c r="AR103" t="s">
        <v>66</v>
      </c>
      <c r="AS103" t="s">
        <v>66</v>
      </c>
      <c r="AT103" t="s">
        <v>66</v>
      </c>
      <c r="AU103" t="s">
        <v>66</v>
      </c>
      <c r="AV103" t="s">
        <v>66</v>
      </c>
      <c r="AW103" t="s">
        <v>66</v>
      </c>
      <c r="AX103">
        <v>0</v>
      </c>
      <c r="AY103">
        <v>1</v>
      </c>
      <c r="AZ103">
        <v>0</v>
      </c>
      <c r="BA103">
        <v>0</v>
      </c>
      <c r="BB103" t="s">
        <v>66</v>
      </c>
      <c r="BC103" t="s">
        <v>66</v>
      </c>
      <c r="BD103" t="s">
        <v>66</v>
      </c>
      <c r="BE103" t="s">
        <v>66</v>
      </c>
      <c r="BF103" t="s">
        <v>66</v>
      </c>
      <c r="BG103" t="s">
        <v>66</v>
      </c>
      <c r="BH103" t="s">
        <v>66</v>
      </c>
      <c r="BI103" t="s">
        <v>66</v>
      </c>
      <c r="BJ103" t="s">
        <v>66</v>
      </c>
      <c r="BK103" t="s">
        <v>66</v>
      </c>
      <c r="BL103" t="s">
        <v>66</v>
      </c>
      <c r="BM103" t="s">
        <v>66</v>
      </c>
      <c r="BN103" t="s">
        <v>66</v>
      </c>
      <c r="BO103" t="s">
        <v>66</v>
      </c>
      <c r="BP103" t="s">
        <v>66</v>
      </c>
      <c r="BQ103">
        <v>0</v>
      </c>
      <c r="BS103">
        <v>0</v>
      </c>
      <c r="BT103" t="s">
        <v>66</v>
      </c>
      <c r="BU103" t="s">
        <v>66</v>
      </c>
      <c r="BV103" t="s">
        <v>66</v>
      </c>
      <c r="BW103" t="s">
        <v>66</v>
      </c>
    </row>
    <row r="104" spans="1:75" x14ac:dyDescent="0.2">
      <c r="A104" t="s">
        <v>213</v>
      </c>
      <c r="B104" t="s">
        <v>214</v>
      </c>
      <c r="C104" t="s">
        <v>62</v>
      </c>
      <c r="D104" t="s">
        <v>63</v>
      </c>
      <c r="E104" t="s">
        <v>75</v>
      </c>
      <c r="F104" t="s">
        <v>220</v>
      </c>
      <c r="G104">
        <v>5</v>
      </c>
      <c r="H104">
        <v>6.75</v>
      </c>
      <c r="I104">
        <v>12.5</v>
      </c>
      <c r="J104">
        <v>15.2</v>
      </c>
      <c r="K104">
        <v>39.450000000000003</v>
      </c>
      <c r="L104">
        <v>3.85</v>
      </c>
      <c r="M104">
        <v>30</v>
      </c>
      <c r="N104">
        <v>34</v>
      </c>
      <c r="O104">
        <v>4</v>
      </c>
      <c r="P104" t="s">
        <v>66</v>
      </c>
      <c r="Q104" t="s">
        <v>66</v>
      </c>
      <c r="R104" t="s">
        <v>66</v>
      </c>
      <c r="S104" t="s">
        <v>66</v>
      </c>
      <c r="T104" t="s">
        <v>66</v>
      </c>
      <c r="U104" t="s">
        <v>66</v>
      </c>
      <c r="V104">
        <v>2</v>
      </c>
      <c r="W104">
        <v>3</v>
      </c>
      <c r="X104" t="s">
        <v>66</v>
      </c>
      <c r="Y104" t="s">
        <v>66</v>
      </c>
      <c r="Z104" t="s">
        <v>66</v>
      </c>
      <c r="AA104" t="s">
        <v>66</v>
      </c>
      <c r="AB104" t="s">
        <v>66</v>
      </c>
      <c r="AC104" t="s">
        <v>66</v>
      </c>
      <c r="AD104" t="s">
        <v>66</v>
      </c>
      <c r="AE104" t="s">
        <v>66</v>
      </c>
      <c r="AF104" t="s">
        <v>66</v>
      </c>
      <c r="AG104" t="s">
        <v>66</v>
      </c>
      <c r="AH104" t="s">
        <v>66</v>
      </c>
      <c r="AI104" t="s">
        <v>66</v>
      </c>
      <c r="AJ104" t="s">
        <v>66</v>
      </c>
      <c r="AK104" t="s">
        <v>66</v>
      </c>
      <c r="AL104" t="s">
        <v>66</v>
      </c>
      <c r="AM104" t="s">
        <v>66</v>
      </c>
      <c r="AN104" t="s">
        <v>66</v>
      </c>
      <c r="AO104" t="s">
        <v>66</v>
      </c>
      <c r="AP104" t="s">
        <v>66</v>
      </c>
      <c r="AQ104" t="s">
        <v>66</v>
      </c>
      <c r="AR104" t="s">
        <v>66</v>
      </c>
      <c r="AS104" t="s">
        <v>66</v>
      </c>
      <c r="AT104" t="s">
        <v>66</v>
      </c>
      <c r="AU104" t="s">
        <v>66</v>
      </c>
      <c r="AV104" t="s">
        <v>66</v>
      </c>
      <c r="AW104" t="s">
        <v>66</v>
      </c>
      <c r="AX104">
        <v>0</v>
      </c>
      <c r="AY104">
        <v>1</v>
      </c>
      <c r="AZ104">
        <v>0</v>
      </c>
      <c r="BA104">
        <v>0</v>
      </c>
      <c r="BB104" t="s">
        <v>66</v>
      </c>
      <c r="BC104" t="s">
        <v>66</v>
      </c>
      <c r="BD104" t="s">
        <v>66</v>
      </c>
      <c r="BE104" t="s">
        <v>66</v>
      </c>
      <c r="BF104" t="s">
        <v>66</v>
      </c>
      <c r="BG104" t="s">
        <v>66</v>
      </c>
      <c r="BH104" t="s">
        <v>66</v>
      </c>
      <c r="BI104" t="s">
        <v>66</v>
      </c>
      <c r="BJ104" t="s">
        <v>66</v>
      </c>
      <c r="BK104" t="s">
        <v>66</v>
      </c>
      <c r="BL104" t="s">
        <v>66</v>
      </c>
      <c r="BM104" t="s">
        <v>66</v>
      </c>
      <c r="BN104" t="s">
        <v>66</v>
      </c>
      <c r="BO104" t="s">
        <v>66</v>
      </c>
      <c r="BP104" t="s">
        <v>66</v>
      </c>
      <c r="BQ104">
        <v>0</v>
      </c>
      <c r="BS104">
        <v>0</v>
      </c>
      <c r="BT104" t="s">
        <v>66</v>
      </c>
      <c r="BU104" t="s">
        <v>66</v>
      </c>
      <c r="BV104" t="s">
        <v>66</v>
      </c>
      <c r="BW104" t="s">
        <v>66</v>
      </c>
    </row>
    <row r="105" spans="1:75" x14ac:dyDescent="0.2">
      <c r="A105" t="s">
        <v>213</v>
      </c>
      <c r="B105" t="s">
        <v>214</v>
      </c>
      <c r="C105" t="s">
        <v>62</v>
      </c>
      <c r="D105" t="s">
        <v>63</v>
      </c>
      <c r="E105" t="s">
        <v>77</v>
      </c>
      <c r="F105" t="s">
        <v>221</v>
      </c>
      <c r="G105">
        <v>5</v>
      </c>
      <c r="H105">
        <v>6.75</v>
      </c>
      <c r="I105">
        <v>12.5</v>
      </c>
      <c r="J105">
        <v>15.2</v>
      </c>
      <c r="K105">
        <v>39.450000000000003</v>
      </c>
      <c r="L105">
        <v>3.85</v>
      </c>
      <c r="M105">
        <v>10</v>
      </c>
      <c r="N105" t="s">
        <v>66</v>
      </c>
      <c r="O105" t="s">
        <v>66</v>
      </c>
      <c r="P105" t="s">
        <v>66</v>
      </c>
      <c r="Q105" t="s">
        <v>66</v>
      </c>
      <c r="R105" t="s">
        <v>66</v>
      </c>
      <c r="S105" t="s">
        <v>66</v>
      </c>
      <c r="T105" t="s">
        <v>66</v>
      </c>
      <c r="U105" t="s">
        <v>66</v>
      </c>
      <c r="V105">
        <v>1</v>
      </c>
      <c r="W105" t="s">
        <v>66</v>
      </c>
      <c r="X105" t="s">
        <v>66</v>
      </c>
      <c r="Y105" t="s">
        <v>66</v>
      </c>
      <c r="Z105" t="s">
        <v>66</v>
      </c>
      <c r="AA105" t="s">
        <v>66</v>
      </c>
      <c r="AB105" t="s">
        <v>66</v>
      </c>
      <c r="AC105" t="s">
        <v>66</v>
      </c>
      <c r="AD105" t="s">
        <v>66</v>
      </c>
      <c r="AE105" t="s">
        <v>66</v>
      </c>
      <c r="AF105" t="s">
        <v>66</v>
      </c>
      <c r="AG105" t="s">
        <v>66</v>
      </c>
      <c r="AH105" t="s">
        <v>66</v>
      </c>
      <c r="AI105" t="s">
        <v>66</v>
      </c>
      <c r="AJ105" t="s">
        <v>66</v>
      </c>
      <c r="AK105" t="s">
        <v>66</v>
      </c>
      <c r="AL105" t="s">
        <v>66</v>
      </c>
      <c r="AM105" t="s">
        <v>66</v>
      </c>
      <c r="AN105" t="s">
        <v>66</v>
      </c>
      <c r="AO105" t="s">
        <v>66</v>
      </c>
      <c r="AP105" t="s">
        <v>66</v>
      </c>
      <c r="AQ105" t="s">
        <v>66</v>
      </c>
      <c r="AR105" t="s">
        <v>66</v>
      </c>
      <c r="AS105" t="s">
        <v>66</v>
      </c>
      <c r="AT105" t="s">
        <v>66</v>
      </c>
      <c r="AU105" t="s">
        <v>66</v>
      </c>
      <c r="AV105" t="s">
        <v>66</v>
      </c>
      <c r="AW105" t="s">
        <v>66</v>
      </c>
      <c r="AX105">
        <v>0</v>
      </c>
      <c r="AY105">
        <v>1</v>
      </c>
      <c r="AZ105">
        <v>0</v>
      </c>
      <c r="BA105">
        <v>0</v>
      </c>
      <c r="BB105" t="s">
        <v>66</v>
      </c>
      <c r="BC105" t="s">
        <v>66</v>
      </c>
      <c r="BD105" t="s">
        <v>66</v>
      </c>
      <c r="BE105" t="s">
        <v>66</v>
      </c>
      <c r="BF105" t="s">
        <v>66</v>
      </c>
      <c r="BG105" t="s">
        <v>66</v>
      </c>
      <c r="BH105" t="s">
        <v>66</v>
      </c>
      <c r="BI105" t="s">
        <v>66</v>
      </c>
      <c r="BJ105" t="s">
        <v>66</v>
      </c>
      <c r="BK105" t="s">
        <v>66</v>
      </c>
      <c r="BL105" t="s">
        <v>66</v>
      </c>
      <c r="BM105" t="s">
        <v>66</v>
      </c>
      <c r="BN105" t="s">
        <v>66</v>
      </c>
      <c r="BO105" t="s">
        <v>66</v>
      </c>
      <c r="BP105" t="s">
        <v>66</v>
      </c>
      <c r="BQ105">
        <v>0</v>
      </c>
      <c r="BS105">
        <v>0</v>
      </c>
      <c r="BT105" t="s">
        <v>66</v>
      </c>
      <c r="BU105" t="s">
        <v>66</v>
      </c>
      <c r="BV105" t="s">
        <v>66</v>
      </c>
      <c r="BW105" t="s">
        <v>66</v>
      </c>
    </row>
    <row r="106" spans="1:75" x14ac:dyDescent="0.2">
      <c r="A106" t="s">
        <v>213</v>
      </c>
      <c r="B106" t="s">
        <v>214</v>
      </c>
      <c r="C106" t="s">
        <v>62</v>
      </c>
      <c r="D106" t="s">
        <v>63</v>
      </c>
      <c r="E106" t="s">
        <v>97</v>
      </c>
      <c r="F106" t="s">
        <v>231</v>
      </c>
      <c r="G106">
        <v>5</v>
      </c>
      <c r="H106">
        <v>6.75</v>
      </c>
      <c r="I106">
        <v>12.5</v>
      </c>
      <c r="J106">
        <v>15.2</v>
      </c>
      <c r="K106">
        <v>39.450000000000003</v>
      </c>
      <c r="L106">
        <v>3.85</v>
      </c>
      <c r="M106">
        <v>54</v>
      </c>
      <c r="N106">
        <v>29</v>
      </c>
      <c r="O106">
        <v>-25</v>
      </c>
      <c r="P106" t="s">
        <v>66</v>
      </c>
      <c r="Q106" t="s">
        <v>66</v>
      </c>
      <c r="R106" t="s">
        <v>66</v>
      </c>
      <c r="S106" t="s">
        <v>66</v>
      </c>
      <c r="T106" t="s">
        <v>66</v>
      </c>
      <c r="U106" t="s">
        <v>66</v>
      </c>
      <c r="V106">
        <v>3</v>
      </c>
      <c r="W106">
        <v>4</v>
      </c>
      <c r="X106" t="s">
        <v>66</v>
      </c>
      <c r="Y106" t="s">
        <v>66</v>
      </c>
      <c r="Z106" t="s">
        <v>66</v>
      </c>
      <c r="AA106" t="s">
        <v>66</v>
      </c>
      <c r="AB106" t="s">
        <v>66</v>
      </c>
      <c r="AC106" t="s">
        <v>66</v>
      </c>
      <c r="AD106" t="s">
        <v>66</v>
      </c>
      <c r="AE106">
        <v>16</v>
      </c>
      <c r="AF106" t="s">
        <v>66</v>
      </c>
      <c r="AG106" t="s">
        <v>66</v>
      </c>
      <c r="AH106">
        <v>15</v>
      </c>
      <c r="AI106" t="s">
        <v>66</v>
      </c>
      <c r="AJ106" t="s">
        <v>66</v>
      </c>
      <c r="AK106">
        <v>10</v>
      </c>
      <c r="AL106" t="s">
        <v>66</v>
      </c>
      <c r="AM106">
        <v>12.5</v>
      </c>
      <c r="AN106" t="s">
        <v>66</v>
      </c>
      <c r="AO106" t="s">
        <v>66</v>
      </c>
      <c r="AP106" t="s">
        <v>66</v>
      </c>
      <c r="AQ106">
        <v>1.28</v>
      </c>
      <c r="AR106" t="s">
        <v>66</v>
      </c>
      <c r="AS106" t="s">
        <v>66</v>
      </c>
      <c r="AT106">
        <v>0</v>
      </c>
      <c r="AU106" t="s">
        <v>66</v>
      </c>
      <c r="AV106">
        <v>1</v>
      </c>
      <c r="AW106" t="s">
        <v>66</v>
      </c>
      <c r="AX106">
        <v>0</v>
      </c>
      <c r="AY106">
        <v>1</v>
      </c>
      <c r="AZ106">
        <v>1</v>
      </c>
      <c r="BA106">
        <v>0</v>
      </c>
      <c r="BB106" t="s">
        <v>66</v>
      </c>
      <c r="BC106">
        <v>27.2</v>
      </c>
      <c r="BD106" t="s">
        <v>66</v>
      </c>
      <c r="BE106" t="s">
        <v>66</v>
      </c>
      <c r="BF106" t="s">
        <v>66</v>
      </c>
      <c r="BG106" t="s">
        <v>66</v>
      </c>
      <c r="BH106" t="s">
        <v>66</v>
      </c>
      <c r="BI106" t="s">
        <v>66</v>
      </c>
      <c r="BJ106" t="s">
        <v>66</v>
      </c>
      <c r="BK106" t="s">
        <v>66</v>
      </c>
      <c r="BL106" t="s">
        <v>66</v>
      </c>
      <c r="BM106" t="s">
        <v>66</v>
      </c>
      <c r="BN106" t="s">
        <v>66</v>
      </c>
      <c r="BO106" t="s">
        <v>66</v>
      </c>
      <c r="BP106" t="s">
        <v>66</v>
      </c>
      <c r="BQ106">
        <v>0</v>
      </c>
      <c r="BS106">
        <v>0</v>
      </c>
      <c r="BT106" t="s">
        <v>66</v>
      </c>
      <c r="BU106" t="s">
        <v>66</v>
      </c>
      <c r="BV106" t="s">
        <v>66</v>
      </c>
      <c r="BW106" t="s">
        <v>66</v>
      </c>
    </row>
    <row r="107" spans="1:75" x14ac:dyDescent="0.2">
      <c r="A107" t="s">
        <v>213</v>
      </c>
      <c r="B107" t="s">
        <v>214</v>
      </c>
      <c r="C107" t="s">
        <v>62</v>
      </c>
      <c r="D107" t="s">
        <v>63</v>
      </c>
      <c r="E107" t="s">
        <v>83</v>
      </c>
      <c r="F107" t="s">
        <v>224</v>
      </c>
      <c r="G107">
        <v>5</v>
      </c>
      <c r="H107">
        <v>6.75</v>
      </c>
      <c r="I107">
        <v>12.5</v>
      </c>
      <c r="J107">
        <v>15.2</v>
      </c>
      <c r="K107">
        <v>39.450000000000003</v>
      </c>
      <c r="L107">
        <v>3.85</v>
      </c>
      <c r="M107">
        <v>43</v>
      </c>
      <c r="N107">
        <v>54</v>
      </c>
      <c r="O107">
        <v>11</v>
      </c>
      <c r="P107" t="s">
        <v>66</v>
      </c>
      <c r="Q107" t="s">
        <v>66</v>
      </c>
      <c r="R107" t="s">
        <v>66</v>
      </c>
      <c r="S107" t="s">
        <v>66</v>
      </c>
      <c r="T107" t="s">
        <v>66</v>
      </c>
      <c r="U107" t="s">
        <v>66</v>
      </c>
      <c r="V107">
        <v>6</v>
      </c>
      <c r="W107">
        <v>4</v>
      </c>
      <c r="X107" t="s">
        <v>66</v>
      </c>
      <c r="Y107" t="s">
        <v>66</v>
      </c>
      <c r="Z107" t="s">
        <v>66</v>
      </c>
      <c r="AA107" t="s">
        <v>66</v>
      </c>
      <c r="AB107" t="s">
        <v>66</v>
      </c>
      <c r="AC107" t="s">
        <v>66</v>
      </c>
      <c r="AD107" t="s">
        <v>66</v>
      </c>
      <c r="AE107">
        <v>30</v>
      </c>
      <c r="AF107" t="s">
        <v>66</v>
      </c>
      <c r="AG107" t="s">
        <v>66</v>
      </c>
      <c r="AH107">
        <v>12</v>
      </c>
      <c r="AI107" t="s">
        <v>66</v>
      </c>
      <c r="AJ107" t="s">
        <v>66</v>
      </c>
      <c r="AK107">
        <v>8</v>
      </c>
      <c r="AL107" t="s">
        <v>66</v>
      </c>
      <c r="AM107">
        <v>10</v>
      </c>
      <c r="AN107" t="s">
        <v>66</v>
      </c>
      <c r="AO107" t="s">
        <v>66</v>
      </c>
      <c r="AP107" t="s">
        <v>66</v>
      </c>
      <c r="AQ107">
        <v>3</v>
      </c>
      <c r="AR107" t="s">
        <v>66</v>
      </c>
      <c r="AS107" t="s">
        <v>66</v>
      </c>
      <c r="AT107">
        <v>0</v>
      </c>
      <c r="AU107" t="s">
        <v>66</v>
      </c>
      <c r="AV107">
        <v>0</v>
      </c>
      <c r="AW107" t="s">
        <v>66</v>
      </c>
      <c r="AX107">
        <v>0</v>
      </c>
      <c r="AY107">
        <v>1</v>
      </c>
      <c r="AZ107">
        <v>1</v>
      </c>
      <c r="BA107">
        <v>0</v>
      </c>
      <c r="BB107" t="s">
        <v>66</v>
      </c>
      <c r="BC107">
        <v>26.2</v>
      </c>
      <c r="BD107" t="s">
        <v>66</v>
      </c>
      <c r="BE107" t="s">
        <v>66</v>
      </c>
      <c r="BF107" t="s">
        <v>66</v>
      </c>
      <c r="BG107" t="s">
        <v>66</v>
      </c>
      <c r="BH107" t="s">
        <v>66</v>
      </c>
      <c r="BI107">
        <v>12</v>
      </c>
      <c r="BJ107">
        <v>4.5</v>
      </c>
      <c r="BK107">
        <v>2</v>
      </c>
      <c r="BL107">
        <v>3</v>
      </c>
      <c r="BM107">
        <v>1</v>
      </c>
      <c r="BN107">
        <v>4</v>
      </c>
      <c r="BO107">
        <f>AVERAGE(BM107,BN107)</f>
        <v>2.5</v>
      </c>
      <c r="BQ107">
        <v>1</v>
      </c>
      <c r="BS107">
        <v>0</v>
      </c>
      <c r="BT107">
        <f>(BI107-M107)/BI107*100</f>
        <v>-258.33333333333337</v>
      </c>
      <c r="BU107">
        <f>(BJ107-V107)/BJ107*100</f>
        <v>-33.333333333333329</v>
      </c>
      <c r="BV107">
        <f>(BL107-AE107)/BL107*100</f>
        <v>-900</v>
      </c>
      <c r="BW107">
        <f>(BO107-AM107)/BO107*100</f>
        <v>-300</v>
      </c>
    </row>
    <row r="108" spans="1:75" x14ac:dyDescent="0.2">
      <c r="A108" t="s">
        <v>256</v>
      </c>
      <c r="B108" t="s">
        <v>257</v>
      </c>
      <c r="C108" t="s">
        <v>62</v>
      </c>
      <c r="D108" t="s">
        <v>63</v>
      </c>
      <c r="E108" t="s">
        <v>91</v>
      </c>
      <c r="F108" t="s">
        <v>271</v>
      </c>
      <c r="G108">
        <v>5.0999999999999996</v>
      </c>
      <c r="H108">
        <v>1.55</v>
      </c>
      <c r="I108">
        <v>1.85</v>
      </c>
      <c r="J108">
        <v>0.3</v>
      </c>
      <c r="K108">
        <v>8.8000000000000007</v>
      </c>
      <c r="L108">
        <v>0.66666666699999999</v>
      </c>
      <c r="M108">
        <v>18</v>
      </c>
      <c r="N108">
        <v>12</v>
      </c>
      <c r="O108">
        <v>-6</v>
      </c>
      <c r="P108" t="s">
        <v>66</v>
      </c>
      <c r="Q108" t="s">
        <v>66</v>
      </c>
      <c r="R108" t="s">
        <v>66</v>
      </c>
      <c r="S108" t="s">
        <v>66</v>
      </c>
      <c r="T108" t="s">
        <v>66</v>
      </c>
      <c r="U108" t="s">
        <v>66</v>
      </c>
      <c r="V108">
        <v>2</v>
      </c>
      <c r="W108">
        <v>2</v>
      </c>
      <c r="X108" t="s">
        <v>66</v>
      </c>
      <c r="Y108" t="s">
        <v>66</v>
      </c>
      <c r="Z108" t="s">
        <v>66</v>
      </c>
      <c r="AA108" t="s">
        <v>66</v>
      </c>
      <c r="AB108" t="s">
        <v>66</v>
      </c>
      <c r="AC108" t="s">
        <v>66</v>
      </c>
      <c r="AD108" t="s">
        <v>66</v>
      </c>
      <c r="AE108">
        <v>7</v>
      </c>
      <c r="AF108" t="s">
        <v>66</v>
      </c>
      <c r="AG108" t="s">
        <v>66</v>
      </c>
      <c r="AH108">
        <v>3</v>
      </c>
      <c r="AI108" t="s">
        <v>66</v>
      </c>
      <c r="AJ108" t="s">
        <v>66</v>
      </c>
      <c r="AK108">
        <v>4</v>
      </c>
      <c r="AL108" t="s">
        <v>66</v>
      </c>
      <c r="AM108">
        <v>3.5</v>
      </c>
      <c r="AN108" t="s">
        <v>66</v>
      </c>
      <c r="AO108" t="s">
        <v>66</v>
      </c>
      <c r="AP108" t="s">
        <v>66</v>
      </c>
      <c r="AQ108">
        <v>2</v>
      </c>
      <c r="AR108" t="s">
        <v>66</v>
      </c>
      <c r="AS108" t="s">
        <v>66</v>
      </c>
      <c r="AT108">
        <v>0</v>
      </c>
      <c r="AU108" t="s">
        <v>66</v>
      </c>
      <c r="AV108">
        <v>0</v>
      </c>
      <c r="AW108" t="s">
        <v>66</v>
      </c>
      <c r="AX108">
        <v>0</v>
      </c>
      <c r="AY108">
        <v>1</v>
      </c>
      <c r="AZ108">
        <v>1</v>
      </c>
      <c r="BA108">
        <v>0</v>
      </c>
      <c r="BB108" t="s">
        <v>66</v>
      </c>
      <c r="BC108">
        <v>16.100000000000001</v>
      </c>
      <c r="BD108" t="s">
        <v>66</v>
      </c>
      <c r="BE108" t="s">
        <v>66</v>
      </c>
      <c r="BF108" t="s">
        <v>66</v>
      </c>
      <c r="BG108" t="s">
        <v>66</v>
      </c>
      <c r="BH108" t="s">
        <v>66</v>
      </c>
      <c r="BI108" t="s">
        <v>66</v>
      </c>
      <c r="BJ108" t="s">
        <v>66</v>
      </c>
      <c r="BK108" t="s">
        <v>66</v>
      </c>
      <c r="BL108" t="s">
        <v>66</v>
      </c>
      <c r="BM108" t="s">
        <v>66</v>
      </c>
      <c r="BN108" t="s">
        <v>66</v>
      </c>
      <c r="BO108" t="s">
        <v>66</v>
      </c>
      <c r="BP108" t="s">
        <v>66</v>
      </c>
      <c r="BQ108">
        <v>0</v>
      </c>
      <c r="BS108">
        <v>0</v>
      </c>
      <c r="BT108" t="s">
        <v>66</v>
      </c>
      <c r="BU108" t="s">
        <v>66</v>
      </c>
      <c r="BV108" t="s">
        <v>66</v>
      </c>
      <c r="BW108" t="s">
        <v>66</v>
      </c>
    </row>
    <row r="109" spans="1:75" x14ac:dyDescent="0.2">
      <c r="A109" t="s">
        <v>60</v>
      </c>
      <c r="B109" t="s">
        <v>105</v>
      </c>
      <c r="C109" t="s">
        <v>106</v>
      </c>
      <c r="D109" t="s">
        <v>63</v>
      </c>
      <c r="E109" t="s">
        <v>64</v>
      </c>
      <c r="F109" t="s">
        <v>107</v>
      </c>
      <c r="G109">
        <v>1.25</v>
      </c>
      <c r="H109">
        <v>2.85</v>
      </c>
      <c r="I109">
        <v>3.35</v>
      </c>
      <c r="J109">
        <v>2.4500000000000002</v>
      </c>
      <c r="K109">
        <v>9.9</v>
      </c>
      <c r="L109">
        <v>4.96</v>
      </c>
      <c r="M109">
        <v>30</v>
      </c>
      <c r="N109">
        <v>29</v>
      </c>
      <c r="O109">
        <v>-1</v>
      </c>
      <c r="P109">
        <v>34</v>
      </c>
      <c r="Q109">
        <v>4</v>
      </c>
      <c r="R109">
        <v>2</v>
      </c>
      <c r="S109">
        <v>51.1</v>
      </c>
      <c r="T109">
        <v>13.33333333</v>
      </c>
      <c r="U109">
        <v>17.241379309999999</v>
      </c>
      <c r="V109">
        <v>2</v>
      </c>
      <c r="W109">
        <v>3</v>
      </c>
      <c r="X109">
        <v>3</v>
      </c>
      <c r="Y109">
        <v>1</v>
      </c>
      <c r="Z109">
        <v>50</v>
      </c>
      <c r="AA109" t="s">
        <v>66</v>
      </c>
      <c r="AB109" t="s">
        <v>66</v>
      </c>
      <c r="AC109" t="s">
        <v>66</v>
      </c>
      <c r="AD109" t="s">
        <v>66</v>
      </c>
      <c r="AE109">
        <v>10</v>
      </c>
      <c r="AF109">
        <v>8</v>
      </c>
      <c r="AG109" t="s">
        <v>66</v>
      </c>
      <c r="AH109">
        <v>3</v>
      </c>
      <c r="AI109">
        <v>9</v>
      </c>
      <c r="AJ109" t="s">
        <v>66</v>
      </c>
      <c r="AK109">
        <v>6</v>
      </c>
      <c r="AL109">
        <v>7</v>
      </c>
      <c r="AM109">
        <v>4.5</v>
      </c>
      <c r="AN109">
        <v>8</v>
      </c>
      <c r="AO109">
        <v>77.777777779999994</v>
      </c>
      <c r="AP109">
        <v>-20</v>
      </c>
      <c r="AQ109">
        <v>2.2222222220000001</v>
      </c>
      <c r="AR109">
        <v>1</v>
      </c>
      <c r="AS109">
        <v>-1.2222222220000001</v>
      </c>
      <c r="AT109">
        <v>0</v>
      </c>
      <c r="AU109" t="s">
        <v>66</v>
      </c>
      <c r="AV109">
        <v>0</v>
      </c>
      <c r="AW109">
        <v>3</v>
      </c>
      <c r="AX109">
        <v>0</v>
      </c>
      <c r="AY109">
        <v>1</v>
      </c>
      <c r="AZ109">
        <v>1</v>
      </c>
      <c r="BA109">
        <v>1</v>
      </c>
      <c r="BB109" t="s">
        <v>66</v>
      </c>
      <c r="BC109">
        <v>19.8</v>
      </c>
      <c r="BD109">
        <v>29.4</v>
      </c>
      <c r="BE109">
        <v>48.484848479999997</v>
      </c>
      <c r="BF109">
        <v>0</v>
      </c>
      <c r="BG109">
        <v>20.58</v>
      </c>
      <c r="BH109">
        <v>3.9393939389999999</v>
      </c>
      <c r="BI109">
        <v>34</v>
      </c>
      <c r="BJ109">
        <v>3</v>
      </c>
      <c r="BK109" t="s">
        <v>66</v>
      </c>
      <c r="BL109">
        <v>27</v>
      </c>
      <c r="BM109">
        <v>8</v>
      </c>
      <c r="BN109">
        <v>4</v>
      </c>
      <c r="BO109">
        <f t="shared" ref="BO109:BO127" si="17">AVERAGE(BM109,BN109)</f>
        <v>6</v>
      </c>
      <c r="BP109">
        <v>4</v>
      </c>
      <c r="BQ109">
        <v>1</v>
      </c>
      <c r="BS109">
        <v>0</v>
      </c>
      <c r="BT109">
        <f t="shared" ref="BT109:BT127" si="18">(BI109-M109)/BI109*100</f>
        <v>11.76470588235294</v>
      </c>
      <c r="BU109">
        <f t="shared" ref="BU109:BU127" si="19">(BJ109-V109)/BJ109*100</f>
        <v>33.333333333333329</v>
      </c>
      <c r="BV109">
        <f t="shared" ref="BV109:BV127" si="20">(BL109-AE109)/BL109*100</f>
        <v>62.962962962962962</v>
      </c>
      <c r="BW109">
        <f t="shared" ref="BW109:BW127" si="21">(BO109-AM109)/BO109*100</f>
        <v>25</v>
      </c>
    </row>
    <row r="110" spans="1:75" x14ac:dyDescent="0.2">
      <c r="A110" t="s">
        <v>60</v>
      </c>
      <c r="B110" t="s">
        <v>105</v>
      </c>
      <c r="C110" t="s">
        <v>106</v>
      </c>
      <c r="D110" t="s">
        <v>63</v>
      </c>
      <c r="E110" t="s">
        <v>67</v>
      </c>
      <c r="F110" t="s">
        <v>108</v>
      </c>
      <c r="G110">
        <v>1.25</v>
      </c>
      <c r="H110">
        <v>2.85</v>
      </c>
      <c r="I110">
        <v>3.35</v>
      </c>
      <c r="J110">
        <v>2.4500000000000002</v>
      </c>
      <c r="K110">
        <v>9.9</v>
      </c>
      <c r="L110">
        <v>4.96</v>
      </c>
      <c r="M110">
        <v>35</v>
      </c>
      <c r="N110">
        <v>40</v>
      </c>
      <c r="O110">
        <v>5</v>
      </c>
      <c r="P110">
        <v>46</v>
      </c>
      <c r="Q110">
        <v>11</v>
      </c>
      <c r="R110">
        <v>5.5</v>
      </c>
      <c r="S110">
        <v>58.1</v>
      </c>
      <c r="T110">
        <v>31.428571430000002</v>
      </c>
      <c r="U110">
        <v>15</v>
      </c>
      <c r="V110">
        <v>3</v>
      </c>
      <c r="W110">
        <v>4</v>
      </c>
      <c r="X110">
        <v>4</v>
      </c>
      <c r="Y110">
        <v>1</v>
      </c>
      <c r="Z110">
        <v>33.333333330000002</v>
      </c>
      <c r="AA110" t="s">
        <v>66</v>
      </c>
      <c r="AB110" t="s">
        <v>66</v>
      </c>
      <c r="AC110" t="s">
        <v>66</v>
      </c>
      <c r="AD110" t="s">
        <v>66</v>
      </c>
      <c r="AE110">
        <v>25</v>
      </c>
      <c r="AF110">
        <v>22</v>
      </c>
      <c r="AG110" t="s">
        <v>66</v>
      </c>
      <c r="AH110">
        <v>12</v>
      </c>
      <c r="AI110">
        <v>14</v>
      </c>
      <c r="AJ110" t="s">
        <v>66</v>
      </c>
      <c r="AK110">
        <v>8</v>
      </c>
      <c r="AL110">
        <v>8</v>
      </c>
      <c r="AM110">
        <v>10</v>
      </c>
      <c r="AN110">
        <v>11</v>
      </c>
      <c r="AO110">
        <v>10</v>
      </c>
      <c r="AP110">
        <v>-12</v>
      </c>
      <c r="AQ110">
        <v>2.5</v>
      </c>
      <c r="AR110">
        <v>2</v>
      </c>
      <c r="AS110">
        <v>-0.5</v>
      </c>
      <c r="AT110">
        <v>0</v>
      </c>
      <c r="AU110" t="s">
        <v>66</v>
      </c>
      <c r="AV110">
        <v>1</v>
      </c>
      <c r="AW110">
        <v>2</v>
      </c>
      <c r="AX110">
        <v>0</v>
      </c>
      <c r="AY110">
        <v>1</v>
      </c>
      <c r="AZ110">
        <v>1</v>
      </c>
      <c r="BA110">
        <v>1</v>
      </c>
      <c r="BB110" t="s">
        <v>66</v>
      </c>
      <c r="BC110">
        <v>24</v>
      </c>
      <c r="BD110">
        <v>44.7</v>
      </c>
      <c r="BE110">
        <v>86.25</v>
      </c>
      <c r="BF110">
        <v>0</v>
      </c>
      <c r="BG110">
        <v>31.29</v>
      </c>
      <c r="BH110">
        <v>30.375</v>
      </c>
      <c r="BI110">
        <v>52</v>
      </c>
      <c r="BJ110">
        <v>4.5999999999999996</v>
      </c>
      <c r="BK110" t="s">
        <v>66</v>
      </c>
      <c r="BL110">
        <f>52-35</f>
        <v>17</v>
      </c>
      <c r="BM110">
        <v>80</v>
      </c>
      <c r="BN110">
        <v>35</v>
      </c>
      <c r="BO110">
        <f t="shared" si="17"/>
        <v>57.5</v>
      </c>
      <c r="BP110">
        <v>4</v>
      </c>
      <c r="BQ110">
        <v>1</v>
      </c>
      <c r="BS110">
        <v>0</v>
      </c>
      <c r="BT110">
        <f t="shared" si="18"/>
        <v>32.692307692307693</v>
      </c>
      <c r="BU110">
        <f t="shared" si="19"/>
        <v>34.782608695652165</v>
      </c>
      <c r="BV110">
        <f t="shared" si="20"/>
        <v>-47.058823529411761</v>
      </c>
      <c r="BW110">
        <f t="shared" si="21"/>
        <v>82.608695652173907</v>
      </c>
    </row>
    <row r="111" spans="1:75" x14ac:dyDescent="0.2">
      <c r="A111" t="s">
        <v>60</v>
      </c>
      <c r="B111" t="s">
        <v>105</v>
      </c>
      <c r="C111" t="s">
        <v>106</v>
      </c>
      <c r="D111" t="s">
        <v>63</v>
      </c>
      <c r="E111" t="s">
        <v>69</v>
      </c>
      <c r="F111" t="s">
        <v>109</v>
      </c>
      <c r="G111">
        <v>1.25</v>
      </c>
      <c r="H111">
        <v>2.85</v>
      </c>
      <c r="I111">
        <v>3.35</v>
      </c>
      <c r="J111">
        <v>2.4500000000000002</v>
      </c>
      <c r="K111">
        <v>9.9</v>
      </c>
      <c r="L111">
        <v>4.96</v>
      </c>
      <c r="M111">
        <v>113</v>
      </c>
      <c r="N111">
        <v>118</v>
      </c>
      <c r="O111">
        <v>5</v>
      </c>
      <c r="P111">
        <v>149</v>
      </c>
      <c r="Q111">
        <v>36</v>
      </c>
      <c r="R111">
        <v>18</v>
      </c>
      <c r="S111">
        <v>83.1</v>
      </c>
      <c r="T111">
        <v>31.858407079999999</v>
      </c>
      <c r="U111">
        <v>26.271186440000001</v>
      </c>
      <c r="V111">
        <v>9</v>
      </c>
      <c r="W111">
        <v>10</v>
      </c>
      <c r="X111">
        <v>13</v>
      </c>
      <c r="Y111">
        <v>4</v>
      </c>
      <c r="Z111">
        <v>44.444444439999998</v>
      </c>
      <c r="AA111" t="s">
        <v>66</v>
      </c>
      <c r="AB111" t="s">
        <v>66</v>
      </c>
      <c r="AC111">
        <v>2</v>
      </c>
      <c r="AD111" t="s">
        <v>66</v>
      </c>
      <c r="AE111">
        <v>96</v>
      </c>
      <c r="AF111">
        <v>103</v>
      </c>
      <c r="AG111" t="s">
        <v>66</v>
      </c>
      <c r="AH111">
        <v>50</v>
      </c>
      <c r="AI111">
        <v>44</v>
      </c>
      <c r="AJ111" t="s">
        <v>66</v>
      </c>
      <c r="AK111">
        <v>33</v>
      </c>
      <c r="AL111">
        <v>18</v>
      </c>
      <c r="AM111">
        <v>41.5</v>
      </c>
      <c r="AN111">
        <v>31</v>
      </c>
      <c r="AO111">
        <v>-25.301204819999999</v>
      </c>
      <c r="AP111">
        <v>7.2916666670000003</v>
      </c>
      <c r="AQ111">
        <v>2.3132530120000001</v>
      </c>
      <c r="AR111">
        <v>3.3225806449999999</v>
      </c>
      <c r="AS111">
        <v>1.0093276330000001</v>
      </c>
      <c r="AT111">
        <v>0</v>
      </c>
      <c r="AU111" t="s">
        <v>66</v>
      </c>
      <c r="AV111">
        <v>1</v>
      </c>
      <c r="AW111">
        <v>4</v>
      </c>
      <c r="AX111">
        <v>0</v>
      </c>
      <c r="AY111">
        <v>1</v>
      </c>
      <c r="AZ111">
        <v>1</v>
      </c>
      <c r="BA111">
        <v>1</v>
      </c>
      <c r="BB111" t="s">
        <v>66</v>
      </c>
      <c r="BC111">
        <v>29.3</v>
      </c>
      <c r="BD111">
        <v>55.3</v>
      </c>
      <c r="BE111">
        <v>88.737201369999994</v>
      </c>
      <c r="BF111">
        <v>0</v>
      </c>
      <c r="BG111">
        <v>38.71</v>
      </c>
      <c r="BH111">
        <v>32.116040959999999</v>
      </c>
      <c r="BI111">
        <v>246</v>
      </c>
      <c r="BJ111">
        <v>16.3</v>
      </c>
      <c r="BK111">
        <v>7.1</v>
      </c>
      <c r="BL111">
        <v>102</v>
      </c>
      <c r="BM111">
        <v>57</v>
      </c>
      <c r="BN111">
        <v>23</v>
      </c>
      <c r="BO111">
        <f t="shared" si="17"/>
        <v>40</v>
      </c>
      <c r="BP111">
        <v>3</v>
      </c>
      <c r="BQ111">
        <v>1</v>
      </c>
      <c r="BS111">
        <v>0</v>
      </c>
      <c r="BT111">
        <f t="shared" si="18"/>
        <v>54.065040650406502</v>
      </c>
      <c r="BU111">
        <f t="shared" si="19"/>
        <v>44.785276073619634</v>
      </c>
      <c r="BV111">
        <f t="shared" si="20"/>
        <v>5.8823529411764701</v>
      </c>
      <c r="BW111">
        <f t="shared" si="21"/>
        <v>-3.75</v>
      </c>
    </row>
    <row r="112" spans="1:75" x14ac:dyDescent="0.2">
      <c r="A112" t="s">
        <v>60</v>
      </c>
      <c r="B112" t="s">
        <v>105</v>
      </c>
      <c r="C112" t="s">
        <v>106</v>
      </c>
      <c r="D112" t="s">
        <v>63</v>
      </c>
      <c r="E112" t="s">
        <v>71</v>
      </c>
      <c r="F112" t="s">
        <v>110</v>
      </c>
      <c r="G112">
        <v>1.25</v>
      </c>
      <c r="H112">
        <v>2.85</v>
      </c>
      <c r="I112">
        <v>3.35</v>
      </c>
      <c r="J112">
        <v>2.4500000000000002</v>
      </c>
      <c r="K112">
        <v>9.9</v>
      </c>
      <c r="L112">
        <v>4.96</v>
      </c>
      <c r="M112">
        <v>50</v>
      </c>
      <c r="N112">
        <v>67</v>
      </c>
      <c r="O112">
        <v>17</v>
      </c>
      <c r="P112">
        <v>73</v>
      </c>
      <c r="Q112">
        <v>23</v>
      </c>
      <c r="R112">
        <v>11.5</v>
      </c>
      <c r="S112">
        <v>70.099999999999994</v>
      </c>
      <c r="T112">
        <v>46</v>
      </c>
      <c r="U112">
        <v>8.9552238810000002</v>
      </c>
      <c r="V112">
        <v>7</v>
      </c>
      <c r="W112">
        <v>7</v>
      </c>
      <c r="X112">
        <v>8</v>
      </c>
      <c r="Y112">
        <v>1</v>
      </c>
      <c r="Z112">
        <v>14.28571429</v>
      </c>
      <c r="AA112" t="s">
        <v>66</v>
      </c>
      <c r="AB112" t="s">
        <v>66</v>
      </c>
      <c r="AC112" t="s">
        <v>66</v>
      </c>
      <c r="AD112" t="s">
        <v>66</v>
      </c>
      <c r="AE112">
        <v>42</v>
      </c>
      <c r="AF112">
        <v>55</v>
      </c>
      <c r="AG112" t="s">
        <v>66</v>
      </c>
      <c r="AH112">
        <v>37</v>
      </c>
      <c r="AI112">
        <v>21</v>
      </c>
      <c r="AJ112" t="s">
        <v>66</v>
      </c>
      <c r="AK112">
        <v>20</v>
      </c>
      <c r="AL112">
        <v>17</v>
      </c>
      <c r="AM112">
        <v>28.5</v>
      </c>
      <c r="AN112">
        <v>19</v>
      </c>
      <c r="AO112">
        <v>-33.333333330000002</v>
      </c>
      <c r="AP112">
        <v>30.952380949999998</v>
      </c>
      <c r="AQ112">
        <v>1.4736842109999999</v>
      </c>
      <c r="AR112">
        <v>2.8947368419999999</v>
      </c>
      <c r="AS112">
        <v>1.421052631</v>
      </c>
      <c r="AT112">
        <v>0</v>
      </c>
      <c r="AU112" t="s">
        <v>66</v>
      </c>
      <c r="AV112">
        <v>1</v>
      </c>
      <c r="AW112">
        <v>0</v>
      </c>
      <c r="AX112">
        <v>0</v>
      </c>
      <c r="AY112">
        <v>1</v>
      </c>
      <c r="AZ112">
        <v>1</v>
      </c>
      <c r="BA112">
        <v>1</v>
      </c>
      <c r="BB112" t="s">
        <v>66</v>
      </c>
      <c r="BC112">
        <v>30.7</v>
      </c>
      <c r="BD112">
        <v>48.4</v>
      </c>
      <c r="BE112">
        <v>57.654723130000001</v>
      </c>
      <c r="BF112">
        <v>0</v>
      </c>
      <c r="BG112">
        <v>33.880000000000003</v>
      </c>
      <c r="BH112">
        <v>10.35830619</v>
      </c>
      <c r="BI112">
        <v>135</v>
      </c>
      <c r="BJ112">
        <v>1</v>
      </c>
      <c r="BK112" t="s">
        <v>66</v>
      </c>
      <c r="BL112">
        <f>135-16</f>
        <v>119</v>
      </c>
      <c r="BM112">
        <v>23</v>
      </c>
      <c r="BN112">
        <v>18</v>
      </c>
      <c r="BO112">
        <f t="shared" si="17"/>
        <v>20.5</v>
      </c>
      <c r="BP112">
        <v>4</v>
      </c>
      <c r="BQ112">
        <v>1</v>
      </c>
      <c r="BS112">
        <v>0</v>
      </c>
      <c r="BT112">
        <f t="shared" si="18"/>
        <v>62.962962962962962</v>
      </c>
      <c r="BU112">
        <f t="shared" si="19"/>
        <v>-600</v>
      </c>
      <c r="BV112">
        <f t="shared" si="20"/>
        <v>64.705882352941174</v>
      </c>
      <c r="BW112">
        <f t="shared" si="21"/>
        <v>-39.024390243902438</v>
      </c>
    </row>
    <row r="113" spans="1:75" x14ac:dyDescent="0.2">
      <c r="A113" t="s">
        <v>60</v>
      </c>
      <c r="B113" t="s">
        <v>105</v>
      </c>
      <c r="C113" t="s">
        <v>106</v>
      </c>
      <c r="D113" t="s">
        <v>63</v>
      </c>
      <c r="E113" t="s">
        <v>73</v>
      </c>
      <c r="F113" t="s">
        <v>111</v>
      </c>
      <c r="G113">
        <v>1.25</v>
      </c>
      <c r="H113">
        <v>2.85</v>
      </c>
      <c r="I113">
        <v>3.35</v>
      </c>
      <c r="J113">
        <v>2.4500000000000002</v>
      </c>
      <c r="K113">
        <v>9.9</v>
      </c>
      <c r="L113">
        <v>4.96</v>
      </c>
      <c r="M113">
        <v>90</v>
      </c>
      <c r="N113">
        <v>94</v>
      </c>
      <c r="O113">
        <v>4</v>
      </c>
      <c r="P113">
        <v>117</v>
      </c>
      <c r="Q113">
        <v>27</v>
      </c>
      <c r="R113">
        <v>13.5</v>
      </c>
      <c r="S113">
        <v>74.099999999999994</v>
      </c>
      <c r="T113">
        <v>30</v>
      </c>
      <c r="U113">
        <v>24.468085110000001</v>
      </c>
      <c r="V113">
        <v>9</v>
      </c>
      <c r="W113">
        <v>12</v>
      </c>
      <c r="X113">
        <v>11</v>
      </c>
      <c r="Y113">
        <v>2</v>
      </c>
      <c r="Z113">
        <v>22.222222219999999</v>
      </c>
      <c r="AA113" t="s">
        <v>66</v>
      </c>
      <c r="AB113" t="s">
        <v>66</v>
      </c>
      <c r="AC113" t="s">
        <v>66</v>
      </c>
      <c r="AD113" t="s">
        <v>66</v>
      </c>
      <c r="AE113">
        <v>38</v>
      </c>
      <c r="AF113">
        <v>54</v>
      </c>
      <c r="AG113" t="s">
        <v>66</v>
      </c>
      <c r="AH113">
        <v>46</v>
      </c>
      <c r="AI113">
        <v>49</v>
      </c>
      <c r="AJ113" t="s">
        <v>66</v>
      </c>
      <c r="AK113">
        <v>16</v>
      </c>
      <c r="AL113">
        <v>13</v>
      </c>
      <c r="AM113">
        <v>31</v>
      </c>
      <c r="AN113">
        <v>31</v>
      </c>
      <c r="AO113">
        <v>0</v>
      </c>
      <c r="AP113">
        <v>42.10526316</v>
      </c>
      <c r="AQ113">
        <v>1.225806452</v>
      </c>
      <c r="AR113">
        <v>1.7419354840000001</v>
      </c>
      <c r="AS113">
        <v>0.51612903200000004</v>
      </c>
      <c r="AT113">
        <v>0</v>
      </c>
      <c r="AU113" t="s">
        <v>66</v>
      </c>
      <c r="AV113">
        <v>3</v>
      </c>
      <c r="AW113">
        <v>4</v>
      </c>
      <c r="AX113">
        <v>0</v>
      </c>
      <c r="AY113">
        <v>1</v>
      </c>
      <c r="AZ113">
        <v>1</v>
      </c>
      <c r="BA113">
        <v>1</v>
      </c>
      <c r="BB113" t="s">
        <v>66</v>
      </c>
      <c r="BC113">
        <v>42.9</v>
      </c>
      <c r="BD113">
        <v>60.9</v>
      </c>
      <c r="BE113">
        <v>41.958041960000003</v>
      </c>
      <c r="BF113">
        <v>0</v>
      </c>
      <c r="BG113">
        <v>42.63</v>
      </c>
      <c r="BH113">
        <v>-0.62937062899999996</v>
      </c>
      <c r="BI113">
        <v>130</v>
      </c>
      <c r="BJ113">
        <v>11.6</v>
      </c>
      <c r="BK113" t="s">
        <v>66</v>
      </c>
      <c r="BL113">
        <f>130-71</f>
        <v>59</v>
      </c>
      <c r="BM113">
        <v>45</v>
      </c>
      <c r="BN113">
        <v>22</v>
      </c>
      <c r="BO113">
        <f t="shared" si="17"/>
        <v>33.5</v>
      </c>
      <c r="BP113">
        <v>3</v>
      </c>
      <c r="BQ113">
        <v>1</v>
      </c>
      <c r="BS113">
        <v>0</v>
      </c>
      <c r="BT113">
        <f t="shared" si="18"/>
        <v>30.76923076923077</v>
      </c>
      <c r="BU113">
        <f t="shared" si="19"/>
        <v>22.413793103448274</v>
      </c>
      <c r="BV113">
        <f t="shared" si="20"/>
        <v>35.593220338983052</v>
      </c>
      <c r="BW113">
        <f t="shared" si="21"/>
        <v>7.4626865671641784</v>
      </c>
    </row>
    <row r="114" spans="1:75" x14ac:dyDescent="0.2">
      <c r="A114" t="s">
        <v>60</v>
      </c>
      <c r="B114" t="s">
        <v>105</v>
      </c>
      <c r="C114" t="s">
        <v>106</v>
      </c>
      <c r="D114" t="s">
        <v>63</v>
      </c>
      <c r="E114" t="s">
        <v>75</v>
      </c>
      <c r="F114" t="s">
        <v>112</v>
      </c>
      <c r="G114">
        <v>1.25</v>
      </c>
      <c r="H114">
        <v>2.85</v>
      </c>
      <c r="I114">
        <v>3.35</v>
      </c>
      <c r="J114">
        <v>2.4500000000000002</v>
      </c>
      <c r="K114">
        <v>9.9</v>
      </c>
      <c r="L114">
        <v>4.96</v>
      </c>
      <c r="M114">
        <v>34</v>
      </c>
      <c r="N114">
        <v>37</v>
      </c>
      <c r="O114">
        <v>3</v>
      </c>
      <c r="P114">
        <v>34</v>
      </c>
      <c r="Q114">
        <v>0</v>
      </c>
      <c r="R114">
        <v>1E-3</v>
      </c>
      <c r="S114">
        <v>47.1</v>
      </c>
      <c r="T114">
        <v>0</v>
      </c>
      <c r="U114">
        <v>-8.1081081079999997</v>
      </c>
      <c r="V114">
        <v>4</v>
      </c>
      <c r="W114">
        <v>4</v>
      </c>
      <c r="X114">
        <v>6</v>
      </c>
      <c r="Y114">
        <v>2</v>
      </c>
      <c r="Z114">
        <v>50</v>
      </c>
      <c r="AA114" t="s">
        <v>66</v>
      </c>
      <c r="AB114" t="s">
        <v>66</v>
      </c>
      <c r="AC114" t="s">
        <v>66</v>
      </c>
      <c r="AD114" t="s">
        <v>66</v>
      </c>
      <c r="AE114">
        <v>18</v>
      </c>
      <c r="AF114">
        <v>16</v>
      </c>
      <c r="AG114" t="s">
        <v>66</v>
      </c>
      <c r="AH114">
        <v>20</v>
      </c>
      <c r="AI114">
        <v>17</v>
      </c>
      <c r="AJ114" t="s">
        <v>66</v>
      </c>
      <c r="AK114">
        <v>11</v>
      </c>
      <c r="AL114">
        <v>12</v>
      </c>
      <c r="AM114">
        <v>15.5</v>
      </c>
      <c r="AN114">
        <v>14.5</v>
      </c>
      <c r="AO114">
        <v>-6.451612903</v>
      </c>
      <c r="AP114">
        <v>-11.11111111</v>
      </c>
      <c r="AQ114">
        <v>1.161290323</v>
      </c>
      <c r="AR114">
        <v>1.103448276</v>
      </c>
      <c r="AS114">
        <v>-5.7842047000000001E-2</v>
      </c>
      <c r="AT114">
        <v>0</v>
      </c>
      <c r="AU114" t="s">
        <v>66</v>
      </c>
      <c r="AV114">
        <v>1</v>
      </c>
      <c r="AW114">
        <v>2</v>
      </c>
      <c r="AX114">
        <v>0</v>
      </c>
      <c r="AY114">
        <v>1</v>
      </c>
      <c r="AZ114">
        <v>1</v>
      </c>
      <c r="BA114">
        <v>1</v>
      </c>
      <c r="BB114" t="s">
        <v>66</v>
      </c>
      <c r="BC114">
        <v>25</v>
      </c>
      <c r="BD114">
        <v>52.1</v>
      </c>
      <c r="BE114">
        <v>108.4</v>
      </c>
      <c r="BF114">
        <v>0</v>
      </c>
      <c r="BG114">
        <v>36.47</v>
      </c>
      <c r="BH114">
        <v>45.88</v>
      </c>
      <c r="BI114">
        <v>36</v>
      </c>
      <c r="BJ114">
        <v>5.0999999999999996</v>
      </c>
      <c r="BK114" t="s">
        <v>66</v>
      </c>
      <c r="BL114">
        <v>12</v>
      </c>
      <c r="BM114">
        <v>14</v>
      </c>
      <c r="BN114">
        <v>14</v>
      </c>
      <c r="BO114">
        <f t="shared" si="17"/>
        <v>14</v>
      </c>
      <c r="BP114">
        <v>4</v>
      </c>
      <c r="BQ114">
        <v>1</v>
      </c>
      <c r="BS114">
        <v>0</v>
      </c>
      <c r="BT114">
        <f t="shared" si="18"/>
        <v>5.5555555555555554</v>
      </c>
      <c r="BU114">
        <f t="shared" si="19"/>
        <v>21.568627450980387</v>
      </c>
      <c r="BV114">
        <f t="shared" si="20"/>
        <v>-50</v>
      </c>
      <c r="BW114">
        <f t="shared" si="21"/>
        <v>-10.714285714285714</v>
      </c>
    </row>
    <row r="115" spans="1:75" x14ac:dyDescent="0.2">
      <c r="A115" t="s">
        <v>60</v>
      </c>
      <c r="B115" t="s">
        <v>105</v>
      </c>
      <c r="C115" t="s">
        <v>106</v>
      </c>
      <c r="D115" t="s">
        <v>63</v>
      </c>
      <c r="E115" t="s">
        <v>79</v>
      </c>
      <c r="F115" t="s">
        <v>114</v>
      </c>
      <c r="G115">
        <v>1.25</v>
      </c>
      <c r="H115">
        <v>2.85</v>
      </c>
      <c r="I115">
        <v>3.35</v>
      </c>
      <c r="J115">
        <v>2.4500000000000002</v>
      </c>
      <c r="K115">
        <v>9.9</v>
      </c>
      <c r="L115">
        <v>4.96</v>
      </c>
      <c r="M115">
        <v>69</v>
      </c>
      <c r="N115">
        <v>74</v>
      </c>
      <c r="O115">
        <v>5</v>
      </c>
      <c r="P115">
        <v>90</v>
      </c>
      <c r="Q115">
        <v>21</v>
      </c>
      <c r="R115">
        <v>10.5</v>
      </c>
      <c r="S115">
        <v>68.099999999999994</v>
      </c>
      <c r="T115">
        <v>30.434782609999999</v>
      </c>
      <c r="U115">
        <v>21.621621619999999</v>
      </c>
      <c r="V115">
        <v>5</v>
      </c>
      <c r="W115">
        <v>6</v>
      </c>
      <c r="X115">
        <v>9</v>
      </c>
      <c r="Y115">
        <v>4</v>
      </c>
      <c r="Z115">
        <v>80</v>
      </c>
      <c r="AA115" t="s">
        <v>66</v>
      </c>
      <c r="AB115" t="s">
        <v>66</v>
      </c>
      <c r="AC115" t="s">
        <v>66</v>
      </c>
      <c r="AD115" t="s">
        <v>66</v>
      </c>
      <c r="AE115">
        <v>50</v>
      </c>
      <c r="AF115">
        <v>24</v>
      </c>
      <c r="AG115" t="s">
        <v>66</v>
      </c>
      <c r="AH115">
        <v>14</v>
      </c>
      <c r="AI115">
        <v>27</v>
      </c>
      <c r="AJ115" t="s">
        <v>66</v>
      </c>
      <c r="AK115">
        <v>10</v>
      </c>
      <c r="AL115">
        <v>26</v>
      </c>
      <c r="AM115">
        <v>12</v>
      </c>
      <c r="AN115">
        <v>26.5</v>
      </c>
      <c r="AO115">
        <v>120.83333330000001</v>
      </c>
      <c r="AP115">
        <v>-52</v>
      </c>
      <c r="AQ115">
        <v>4.1666666670000003</v>
      </c>
      <c r="AR115">
        <v>0.90566037700000002</v>
      </c>
      <c r="AS115">
        <v>-3.2610062900000001</v>
      </c>
      <c r="AT115">
        <v>0</v>
      </c>
      <c r="AU115" t="s">
        <v>66</v>
      </c>
      <c r="AV115">
        <v>2</v>
      </c>
      <c r="AW115">
        <v>1</v>
      </c>
      <c r="AX115">
        <v>0</v>
      </c>
      <c r="AY115">
        <v>1</v>
      </c>
      <c r="AZ115">
        <v>1</v>
      </c>
      <c r="BA115">
        <v>1</v>
      </c>
      <c r="BB115" t="s">
        <v>66</v>
      </c>
      <c r="BC115">
        <v>22.6</v>
      </c>
      <c r="BD115">
        <v>69.099999999999994</v>
      </c>
      <c r="BE115">
        <v>205.75221239999999</v>
      </c>
      <c r="BF115">
        <v>0</v>
      </c>
      <c r="BG115">
        <v>48.37</v>
      </c>
      <c r="BH115">
        <v>114.02654870000001</v>
      </c>
      <c r="BI115">
        <v>92</v>
      </c>
      <c r="BJ115">
        <v>7.6</v>
      </c>
      <c r="BK115" t="s">
        <v>66</v>
      </c>
      <c r="BL115">
        <f>92-38</f>
        <v>54</v>
      </c>
      <c r="BM115">
        <v>36</v>
      </c>
      <c r="BN115">
        <v>17</v>
      </c>
      <c r="BO115">
        <f t="shared" si="17"/>
        <v>26.5</v>
      </c>
      <c r="BP115">
        <v>3</v>
      </c>
      <c r="BQ115">
        <v>1</v>
      </c>
      <c r="BS115">
        <v>0</v>
      </c>
      <c r="BT115">
        <f t="shared" si="18"/>
        <v>25</v>
      </c>
      <c r="BU115">
        <f t="shared" si="19"/>
        <v>34.210526315789465</v>
      </c>
      <c r="BV115">
        <f t="shared" si="20"/>
        <v>7.4074074074074066</v>
      </c>
      <c r="BW115">
        <f t="shared" si="21"/>
        <v>54.716981132075468</v>
      </c>
    </row>
    <row r="116" spans="1:75" x14ac:dyDescent="0.2">
      <c r="A116" t="s">
        <v>60</v>
      </c>
      <c r="B116" t="s">
        <v>105</v>
      </c>
      <c r="C116" t="s">
        <v>106</v>
      </c>
      <c r="D116" t="s">
        <v>63</v>
      </c>
      <c r="E116" t="s">
        <v>81</v>
      </c>
      <c r="F116" t="s">
        <v>115</v>
      </c>
      <c r="G116">
        <v>1.25</v>
      </c>
      <c r="H116">
        <v>2.85</v>
      </c>
      <c r="I116">
        <v>3.35</v>
      </c>
      <c r="J116">
        <v>2.4500000000000002</v>
      </c>
      <c r="K116">
        <v>9.9</v>
      </c>
      <c r="L116">
        <v>4.96</v>
      </c>
      <c r="M116">
        <v>57</v>
      </c>
      <c r="N116">
        <v>60</v>
      </c>
      <c r="O116">
        <v>3</v>
      </c>
      <c r="P116">
        <v>64</v>
      </c>
      <c r="Q116">
        <v>7</v>
      </c>
      <c r="R116">
        <v>3.5</v>
      </c>
      <c r="S116">
        <v>54.1</v>
      </c>
      <c r="T116">
        <v>12.28070175</v>
      </c>
      <c r="U116">
        <v>6.6666666670000003</v>
      </c>
      <c r="V116">
        <v>6</v>
      </c>
      <c r="W116">
        <v>7</v>
      </c>
      <c r="X116">
        <v>7</v>
      </c>
      <c r="Y116">
        <v>1</v>
      </c>
      <c r="Z116">
        <v>16.666666670000001</v>
      </c>
      <c r="AA116" t="s">
        <v>66</v>
      </c>
      <c r="AB116" t="s">
        <v>66</v>
      </c>
      <c r="AC116" t="s">
        <v>66</v>
      </c>
      <c r="AD116" t="s">
        <v>66</v>
      </c>
      <c r="AE116">
        <v>23</v>
      </c>
      <c r="AF116">
        <v>21</v>
      </c>
      <c r="AG116" t="s">
        <v>66</v>
      </c>
      <c r="AH116">
        <v>14</v>
      </c>
      <c r="AI116">
        <v>16</v>
      </c>
      <c r="AJ116" t="s">
        <v>66</v>
      </c>
      <c r="AK116">
        <v>12</v>
      </c>
      <c r="AL116">
        <v>14</v>
      </c>
      <c r="AM116">
        <v>13</v>
      </c>
      <c r="AN116">
        <v>15</v>
      </c>
      <c r="AO116">
        <v>15.38461538</v>
      </c>
      <c r="AP116">
        <v>-8.6956521739999992</v>
      </c>
      <c r="AQ116">
        <v>1.769230769</v>
      </c>
      <c r="AR116">
        <v>1.4</v>
      </c>
      <c r="AS116">
        <v>-0.36923076900000001</v>
      </c>
      <c r="AT116">
        <v>0</v>
      </c>
      <c r="AU116" t="s">
        <v>66</v>
      </c>
      <c r="AV116">
        <v>2</v>
      </c>
      <c r="AW116">
        <v>3</v>
      </c>
      <c r="AX116">
        <v>0</v>
      </c>
      <c r="AY116">
        <v>1</v>
      </c>
      <c r="AZ116">
        <v>1</v>
      </c>
      <c r="BA116">
        <v>1</v>
      </c>
      <c r="BB116" t="s">
        <v>66</v>
      </c>
      <c r="BC116">
        <v>29.5</v>
      </c>
      <c r="BD116">
        <v>47.7</v>
      </c>
      <c r="BE116">
        <v>61.694915250000001</v>
      </c>
      <c r="BF116">
        <v>0</v>
      </c>
      <c r="BG116">
        <v>33.39</v>
      </c>
      <c r="BH116">
        <v>13.18644068</v>
      </c>
      <c r="BI116">
        <v>82</v>
      </c>
      <c r="BJ116">
        <v>7.5</v>
      </c>
      <c r="BK116" t="s">
        <v>66</v>
      </c>
      <c r="BL116">
        <f>82-46</f>
        <v>36</v>
      </c>
      <c r="BM116">
        <v>20</v>
      </c>
      <c r="BN116">
        <v>12</v>
      </c>
      <c r="BO116">
        <f t="shared" si="17"/>
        <v>16</v>
      </c>
      <c r="BP116">
        <v>3</v>
      </c>
      <c r="BQ116">
        <v>1</v>
      </c>
      <c r="BS116">
        <v>0</v>
      </c>
      <c r="BT116">
        <f t="shared" si="18"/>
        <v>30.487804878048781</v>
      </c>
      <c r="BU116">
        <f t="shared" si="19"/>
        <v>20</v>
      </c>
      <c r="BV116">
        <f t="shared" si="20"/>
        <v>36.111111111111107</v>
      </c>
      <c r="BW116">
        <f t="shared" si="21"/>
        <v>18.75</v>
      </c>
    </row>
    <row r="117" spans="1:75" x14ac:dyDescent="0.2">
      <c r="A117" t="s">
        <v>60</v>
      </c>
      <c r="B117" t="s">
        <v>105</v>
      </c>
      <c r="C117" t="s">
        <v>106</v>
      </c>
      <c r="D117" t="s">
        <v>63</v>
      </c>
      <c r="E117" t="s">
        <v>85</v>
      </c>
      <c r="F117" t="s">
        <v>117</v>
      </c>
      <c r="G117">
        <v>1.25</v>
      </c>
      <c r="H117">
        <v>2.85</v>
      </c>
      <c r="I117">
        <v>3.35</v>
      </c>
      <c r="J117">
        <v>2.4500000000000002</v>
      </c>
      <c r="K117">
        <v>9.9</v>
      </c>
      <c r="L117">
        <v>4.96</v>
      </c>
      <c r="M117">
        <v>23</v>
      </c>
      <c r="N117">
        <v>29</v>
      </c>
      <c r="O117">
        <v>6</v>
      </c>
      <c r="P117">
        <v>42</v>
      </c>
      <c r="Q117">
        <v>19</v>
      </c>
      <c r="R117">
        <v>9.5</v>
      </c>
      <c r="S117">
        <v>66.099999999999994</v>
      </c>
      <c r="T117">
        <v>82.608695650000001</v>
      </c>
      <c r="U117">
        <v>44.82758621</v>
      </c>
      <c r="V117">
        <v>4</v>
      </c>
      <c r="W117">
        <v>4</v>
      </c>
      <c r="X117">
        <v>4</v>
      </c>
      <c r="Y117">
        <v>0</v>
      </c>
      <c r="Z117">
        <v>0</v>
      </c>
      <c r="AA117" t="s">
        <v>66</v>
      </c>
      <c r="AB117" t="s">
        <v>66</v>
      </c>
      <c r="AC117" t="s">
        <v>66</v>
      </c>
      <c r="AD117" t="s">
        <v>66</v>
      </c>
      <c r="AE117">
        <v>12</v>
      </c>
      <c r="AF117">
        <v>25</v>
      </c>
      <c r="AG117" t="s">
        <v>66</v>
      </c>
      <c r="AH117">
        <v>10</v>
      </c>
      <c r="AI117">
        <v>13</v>
      </c>
      <c r="AJ117" t="s">
        <v>66</v>
      </c>
      <c r="AK117">
        <v>9</v>
      </c>
      <c r="AL117">
        <v>12</v>
      </c>
      <c r="AM117">
        <v>9.5</v>
      </c>
      <c r="AN117">
        <v>12.5</v>
      </c>
      <c r="AO117">
        <v>31.578947370000002</v>
      </c>
      <c r="AP117">
        <v>108.33333330000001</v>
      </c>
      <c r="AQ117">
        <v>1.263157895</v>
      </c>
      <c r="AR117">
        <v>2</v>
      </c>
      <c r="AS117">
        <v>0.73684210500000002</v>
      </c>
      <c r="AT117">
        <v>0</v>
      </c>
      <c r="AU117" t="s">
        <v>66</v>
      </c>
      <c r="AV117">
        <v>3</v>
      </c>
      <c r="AW117">
        <v>2</v>
      </c>
      <c r="AX117">
        <v>0</v>
      </c>
      <c r="AY117">
        <v>1</v>
      </c>
      <c r="AZ117">
        <v>1</v>
      </c>
      <c r="BA117">
        <v>1</v>
      </c>
      <c r="BB117" t="s">
        <v>66</v>
      </c>
      <c r="BC117">
        <v>26.4</v>
      </c>
      <c r="BD117">
        <v>50.7</v>
      </c>
      <c r="BE117">
        <v>92.045454550000002</v>
      </c>
      <c r="BF117">
        <v>0</v>
      </c>
      <c r="BG117">
        <v>35.49</v>
      </c>
      <c r="BH117">
        <v>34.43181818</v>
      </c>
      <c r="BI117">
        <v>27</v>
      </c>
      <c r="BJ117">
        <v>3</v>
      </c>
      <c r="BK117" t="s">
        <v>66</v>
      </c>
      <c r="BL117">
        <v>4</v>
      </c>
      <c r="BM117">
        <v>8</v>
      </c>
      <c r="BN117">
        <v>7</v>
      </c>
      <c r="BO117">
        <f t="shared" si="17"/>
        <v>7.5</v>
      </c>
      <c r="BP117">
        <v>2</v>
      </c>
      <c r="BQ117">
        <v>1</v>
      </c>
      <c r="BS117">
        <v>0</v>
      </c>
      <c r="BT117">
        <f t="shared" si="18"/>
        <v>14.814814814814813</v>
      </c>
      <c r="BU117">
        <f t="shared" si="19"/>
        <v>-33.333333333333329</v>
      </c>
      <c r="BV117">
        <f t="shared" si="20"/>
        <v>-200</v>
      </c>
      <c r="BW117">
        <f t="shared" si="21"/>
        <v>-26.666666666666668</v>
      </c>
    </row>
    <row r="118" spans="1:75" x14ac:dyDescent="0.2">
      <c r="A118" t="s">
        <v>60</v>
      </c>
      <c r="B118" t="s">
        <v>105</v>
      </c>
      <c r="C118" t="s">
        <v>106</v>
      </c>
      <c r="D118" t="s">
        <v>63</v>
      </c>
      <c r="E118" t="s">
        <v>89</v>
      </c>
      <c r="F118" t="s">
        <v>119</v>
      </c>
      <c r="G118">
        <v>1.25</v>
      </c>
      <c r="H118">
        <v>2.85</v>
      </c>
      <c r="I118">
        <v>3.35</v>
      </c>
      <c r="J118">
        <v>2.4500000000000002</v>
      </c>
      <c r="K118">
        <v>9.9</v>
      </c>
      <c r="L118">
        <v>4.96</v>
      </c>
      <c r="M118">
        <v>34</v>
      </c>
      <c r="N118">
        <v>21</v>
      </c>
      <c r="O118">
        <v>-13</v>
      </c>
      <c r="P118">
        <v>17</v>
      </c>
      <c r="Q118">
        <v>-17</v>
      </c>
      <c r="R118">
        <v>-8.5</v>
      </c>
      <c r="S118">
        <v>30.1</v>
      </c>
      <c r="T118">
        <v>-50</v>
      </c>
      <c r="U118">
        <v>-19.047619050000002</v>
      </c>
      <c r="V118">
        <v>4</v>
      </c>
      <c r="W118">
        <v>5</v>
      </c>
      <c r="X118">
        <v>5</v>
      </c>
      <c r="Y118">
        <v>1</v>
      </c>
      <c r="Z118">
        <v>25</v>
      </c>
      <c r="AA118" t="s">
        <v>66</v>
      </c>
      <c r="AB118" t="s">
        <v>66</v>
      </c>
      <c r="AC118" t="s">
        <v>66</v>
      </c>
      <c r="AD118" t="s">
        <v>66</v>
      </c>
      <c r="AE118">
        <v>10</v>
      </c>
      <c r="AF118">
        <v>6</v>
      </c>
      <c r="AG118" t="s">
        <v>66</v>
      </c>
      <c r="AH118">
        <v>7</v>
      </c>
      <c r="AI118">
        <v>8</v>
      </c>
      <c r="AJ118" t="s">
        <v>66</v>
      </c>
      <c r="AK118">
        <v>6</v>
      </c>
      <c r="AL118">
        <v>8</v>
      </c>
      <c r="AM118">
        <v>6.5</v>
      </c>
      <c r="AN118">
        <v>8</v>
      </c>
      <c r="AO118">
        <v>23.07692308</v>
      </c>
      <c r="AP118">
        <v>-40</v>
      </c>
      <c r="AQ118">
        <v>1.538461538</v>
      </c>
      <c r="AR118">
        <v>0.75</v>
      </c>
      <c r="AS118">
        <v>-0.78846153799999996</v>
      </c>
      <c r="AT118">
        <v>0</v>
      </c>
      <c r="AU118" t="s">
        <v>66</v>
      </c>
      <c r="AV118">
        <v>2</v>
      </c>
      <c r="AW118">
        <v>3</v>
      </c>
      <c r="AX118">
        <v>0</v>
      </c>
      <c r="AY118">
        <v>1</v>
      </c>
      <c r="AZ118">
        <v>1</v>
      </c>
      <c r="BA118">
        <v>1</v>
      </c>
      <c r="BB118" t="s">
        <v>66</v>
      </c>
      <c r="BC118">
        <v>21.1</v>
      </c>
      <c r="BD118">
        <v>45.142857139999997</v>
      </c>
      <c r="BE118">
        <v>113.94719019999999</v>
      </c>
      <c r="BF118">
        <v>0</v>
      </c>
      <c r="BG118">
        <v>31.6</v>
      </c>
      <c r="BH118">
        <v>49.76303317</v>
      </c>
      <c r="BI118">
        <v>18</v>
      </c>
      <c r="BJ118">
        <v>2.2000000000000002</v>
      </c>
      <c r="BK118" t="s">
        <v>66</v>
      </c>
      <c r="BL118">
        <v>6</v>
      </c>
      <c r="BM118">
        <v>10</v>
      </c>
      <c r="BN118">
        <v>8</v>
      </c>
      <c r="BO118">
        <f t="shared" si="17"/>
        <v>9</v>
      </c>
      <c r="BP118">
        <v>3</v>
      </c>
      <c r="BQ118">
        <v>1</v>
      </c>
      <c r="BS118">
        <v>0</v>
      </c>
      <c r="BT118">
        <f t="shared" si="18"/>
        <v>-88.888888888888886</v>
      </c>
      <c r="BU118">
        <f t="shared" si="19"/>
        <v>-81.818181818181799</v>
      </c>
      <c r="BV118">
        <f t="shared" si="20"/>
        <v>-66.666666666666657</v>
      </c>
      <c r="BW118">
        <f t="shared" si="21"/>
        <v>27.777777777777779</v>
      </c>
    </row>
    <row r="119" spans="1:75" x14ac:dyDescent="0.2">
      <c r="A119" t="s">
        <v>60</v>
      </c>
      <c r="B119" t="s">
        <v>105</v>
      </c>
      <c r="C119" t="s">
        <v>106</v>
      </c>
      <c r="D119" t="s">
        <v>63</v>
      </c>
      <c r="E119" t="s">
        <v>91</v>
      </c>
      <c r="F119" t="s">
        <v>120</v>
      </c>
      <c r="G119">
        <v>1.25</v>
      </c>
      <c r="H119">
        <v>2.85</v>
      </c>
      <c r="I119">
        <v>3.35</v>
      </c>
      <c r="J119">
        <v>2.4500000000000002</v>
      </c>
      <c r="K119">
        <v>9.9</v>
      </c>
      <c r="L119">
        <v>4.96</v>
      </c>
      <c r="M119">
        <v>50</v>
      </c>
      <c r="N119">
        <v>51</v>
      </c>
      <c r="O119">
        <v>1</v>
      </c>
      <c r="P119">
        <v>56</v>
      </c>
      <c r="Q119">
        <v>6</v>
      </c>
      <c r="R119">
        <v>3</v>
      </c>
      <c r="S119">
        <v>53.1</v>
      </c>
      <c r="T119">
        <v>12</v>
      </c>
      <c r="U119">
        <v>9.8039215689999999</v>
      </c>
      <c r="V119">
        <v>6</v>
      </c>
      <c r="W119">
        <v>5</v>
      </c>
      <c r="X119">
        <v>7</v>
      </c>
      <c r="Y119">
        <v>1</v>
      </c>
      <c r="Z119">
        <v>16.666666670000001</v>
      </c>
      <c r="AA119" t="s">
        <v>66</v>
      </c>
      <c r="AB119" t="s">
        <v>66</v>
      </c>
      <c r="AC119" t="s">
        <v>66</v>
      </c>
      <c r="AD119" t="s">
        <v>66</v>
      </c>
      <c r="AE119">
        <v>26</v>
      </c>
      <c r="AF119">
        <v>30</v>
      </c>
      <c r="AG119" t="s">
        <v>66</v>
      </c>
      <c r="AH119">
        <v>22</v>
      </c>
      <c r="AI119">
        <v>28</v>
      </c>
      <c r="AJ119" t="s">
        <v>66</v>
      </c>
      <c r="AK119">
        <v>14</v>
      </c>
      <c r="AL119">
        <v>16</v>
      </c>
      <c r="AM119">
        <v>18</v>
      </c>
      <c r="AN119">
        <v>22</v>
      </c>
      <c r="AO119">
        <v>22.222222219999999</v>
      </c>
      <c r="AP119">
        <v>15.38461538</v>
      </c>
      <c r="AQ119">
        <v>1.4444444439999999</v>
      </c>
      <c r="AR119">
        <v>1.363636364</v>
      </c>
      <c r="AS119">
        <v>-8.0808080000000004E-2</v>
      </c>
      <c r="AT119">
        <v>0</v>
      </c>
      <c r="AU119" t="s">
        <v>66</v>
      </c>
      <c r="AV119">
        <v>1</v>
      </c>
      <c r="AW119">
        <v>1</v>
      </c>
      <c r="AX119">
        <v>0</v>
      </c>
      <c r="AY119">
        <v>1</v>
      </c>
      <c r="AZ119">
        <v>1</v>
      </c>
      <c r="BA119">
        <v>1</v>
      </c>
      <c r="BB119" t="s">
        <v>66</v>
      </c>
      <c r="BC119">
        <v>28</v>
      </c>
      <c r="BD119">
        <v>49.7</v>
      </c>
      <c r="BE119">
        <v>77.5</v>
      </c>
      <c r="BF119">
        <v>0</v>
      </c>
      <c r="BG119">
        <v>34.79</v>
      </c>
      <c r="BH119">
        <v>24.25</v>
      </c>
      <c r="BI119">
        <v>72</v>
      </c>
      <c r="BJ119">
        <v>6.1</v>
      </c>
      <c r="BK119" t="s">
        <v>66</v>
      </c>
      <c r="BL119">
        <v>83</v>
      </c>
      <c r="BM119">
        <v>32</v>
      </c>
      <c r="BN119">
        <v>14</v>
      </c>
      <c r="BO119">
        <f t="shared" si="17"/>
        <v>23</v>
      </c>
      <c r="BP119">
        <v>4</v>
      </c>
      <c r="BQ119">
        <v>1</v>
      </c>
      <c r="BS119">
        <v>0</v>
      </c>
      <c r="BT119">
        <f t="shared" si="18"/>
        <v>30.555555555555557</v>
      </c>
      <c r="BU119">
        <f t="shared" si="19"/>
        <v>1.6393442622950762</v>
      </c>
      <c r="BV119">
        <f t="shared" si="20"/>
        <v>68.674698795180717</v>
      </c>
      <c r="BW119">
        <f t="shared" si="21"/>
        <v>21.739130434782609</v>
      </c>
    </row>
    <row r="120" spans="1:75" x14ac:dyDescent="0.2">
      <c r="A120" t="s">
        <v>60</v>
      </c>
      <c r="B120" t="s">
        <v>105</v>
      </c>
      <c r="C120" t="s">
        <v>106</v>
      </c>
      <c r="D120" t="s">
        <v>63</v>
      </c>
      <c r="E120" t="s">
        <v>93</v>
      </c>
      <c r="F120" t="s">
        <v>121</v>
      </c>
      <c r="G120">
        <v>1.25</v>
      </c>
      <c r="H120">
        <v>2.85</v>
      </c>
      <c r="I120">
        <v>3.35</v>
      </c>
      <c r="J120">
        <v>2.4500000000000002</v>
      </c>
      <c r="K120">
        <v>9.9</v>
      </c>
      <c r="L120">
        <v>4.96</v>
      </c>
      <c r="M120">
        <v>81</v>
      </c>
      <c r="N120">
        <v>89</v>
      </c>
      <c r="O120">
        <v>8</v>
      </c>
      <c r="P120">
        <v>120</v>
      </c>
      <c r="Q120">
        <v>39</v>
      </c>
      <c r="R120">
        <v>19.5</v>
      </c>
      <c r="S120">
        <v>86.1</v>
      </c>
      <c r="T120">
        <v>48.148148149999997</v>
      </c>
      <c r="U120">
        <v>34.831460669999998</v>
      </c>
      <c r="V120">
        <v>7</v>
      </c>
      <c r="W120">
        <v>11</v>
      </c>
      <c r="X120">
        <v>12</v>
      </c>
      <c r="Y120">
        <v>5</v>
      </c>
      <c r="Z120">
        <v>71.428571430000005</v>
      </c>
      <c r="AA120" t="s">
        <v>66</v>
      </c>
      <c r="AB120" t="s">
        <v>66</v>
      </c>
      <c r="AC120" t="s">
        <v>66</v>
      </c>
      <c r="AD120" t="s">
        <v>66</v>
      </c>
      <c r="AE120">
        <v>71</v>
      </c>
      <c r="AF120">
        <v>102</v>
      </c>
      <c r="AG120" t="s">
        <v>66</v>
      </c>
      <c r="AH120">
        <v>22</v>
      </c>
      <c r="AI120">
        <v>26</v>
      </c>
      <c r="AJ120" t="s">
        <v>66</v>
      </c>
      <c r="AK120">
        <v>22</v>
      </c>
      <c r="AL120">
        <v>24</v>
      </c>
      <c r="AM120">
        <v>22</v>
      </c>
      <c r="AN120">
        <v>25</v>
      </c>
      <c r="AO120">
        <v>13.636363640000001</v>
      </c>
      <c r="AP120">
        <v>43.661971829999999</v>
      </c>
      <c r="AQ120">
        <v>3.2272727269999999</v>
      </c>
      <c r="AR120">
        <v>4.08</v>
      </c>
      <c r="AS120">
        <v>0.85272727299999995</v>
      </c>
      <c r="AT120">
        <v>0</v>
      </c>
      <c r="AU120" t="s">
        <v>66</v>
      </c>
      <c r="AV120">
        <v>4</v>
      </c>
      <c r="AW120">
        <v>4</v>
      </c>
      <c r="AX120">
        <v>0</v>
      </c>
      <c r="AY120">
        <v>1</v>
      </c>
      <c r="AZ120">
        <v>1</v>
      </c>
      <c r="BA120">
        <v>1</v>
      </c>
      <c r="BB120" t="s">
        <v>66</v>
      </c>
      <c r="BC120">
        <v>32.799999999999997</v>
      </c>
      <c r="BD120">
        <v>57</v>
      </c>
      <c r="BE120">
        <v>73.780487800000003</v>
      </c>
      <c r="BF120">
        <v>0</v>
      </c>
      <c r="BG120">
        <v>39.9</v>
      </c>
      <c r="BH120">
        <v>21.646341459999999</v>
      </c>
      <c r="BI120">
        <v>126</v>
      </c>
      <c r="BJ120">
        <v>11.2</v>
      </c>
      <c r="BK120" t="s">
        <v>66</v>
      </c>
      <c r="BL120">
        <f>126-61</f>
        <v>65</v>
      </c>
      <c r="BM120">
        <v>35</v>
      </c>
      <c r="BN120">
        <v>32</v>
      </c>
      <c r="BO120">
        <f t="shared" si="17"/>
        <v>33.5</v>
      </c>
      <c r="BP120">
        <v>4</v>
      </c>
      <c r="BQ120">
        <v>1</v>
      </c>
      <c r="BS120">
        <v>0</v>
      </c>
      <c r="BT120">
        <f t="shared" si="18"/>
        <v>35.714285714285715</v>
      </c>
      <c r="BU120">
        <f t="shared" si="19"/>
        <v>37.499999999999993</v>
      </c>
      <c r="BV120">
        <f t="shared" si="20"/>
        <v>-9.2307692307692317</v>
      </c>
      <c r="BW120">
        <f t="shared" si="21"/>
        <v>34.328358208955223</v>
      </c>
    </row>
    <row r="121" spans="1:75" x14ac:dyDescent="0.2">
      <c r="A121" t="s">
        <v>60</v>
      </c>
      <c r="B121" t="s">
        <v>105</v>
      </c>
      <c r="C121" t="s">
        <v>106</v>
      </c>
      <c r="D121" t="s">
        <v>63</v>
      </c>
      <c r="E121" t="s">
        <v>95</v>
      </c>
      <c r="F121" t="s">
        <v>122</v>
      </c>
      <c r="G121">
        <v>1.25</v>
      </c>
      <c r="H121">
        <v>2.85</v>
      </c>
      <c r="I121">
        <v>3.35</v>
      </c>
      <c r="J121">
        <v>2.4500000000000002</v>
      </c>
      <c r="K121">
        <v>9.9</v>
      </c>
      <c r="L121">
        <v>4.96</v>
      </c>
      <c r="M121">
        <v>44</v>
      </c>
      <c r="N121">
        <v>28</v>
      </c>
      <c r="O121">
        <v>-16</v>
      </c>
      <c r="P121">
        <v>29</v>
      </c>
      <c r="Q121">
        <v>-15</v>
      </c>
      <c r="R121">
        <v>-7.5</v>
      </c>
      <c r="S121">
        <v>32.1</v>
      </c>
      <c r="T121">
        <v>-34.090909089999997</v>
      </c>
      <c r="U121">
        <v>3.5714285710000002</v>
      </c>
      <c r="V121">
        <v>5</v>
      </c>
      <c r="W121">
        <v>5</v>
      </c>
      <c r="X121">
        <v>7</v>
      </c>
      <c r="Y121">
        <v>2</v>
      </c>
      <c r="Z121">
        <v>40</v>
      </c>
      <c r="AA121" t="s">
        <v>66</v>
      </c>
      <c r="AB121" t="s">
        <v>66</v>
      </c>
      <c r="AC121" t="s">
        <v>66</v>
      </c>
      <c r="AD121" t="s">
        <v>66</v>
      </c>
      <c r="AE121">
        <v>18</v>
      </c>
      <c r="AF121">
        <v>18</v>
      </c>
      <c r="AG121" t="s">
        <v>66</v>
      </c>
      <c r="AH121">
        <v>21</v>
      </c>
      <c r="AI121">
        <v>26</v>
      </c>
      <c r="AJ121" t="s">
        <v>66</v>
      </c>
      <c r="AK121">
        <v>17</v>
      </c>
      <c r="AL121">
        <v>18</v>
      </c>
      <c r="AM121">
        <v>19</v>
      </c>
      <c r="AN121">
        <v>22</v>
      </c>
      <c r="AO121">
        <v>15.78947368</v>
      </c>
      <c r="AP121">
        <v>0</v>
      </c>
      <c r="AQ121">
        <v>0.94736842099999996</v>
      </c>
      <c r="AR121">
        <v>0.81818181800000001</v>
      </c>
      <c r="AS121">
        <v>-0.12918660300000001</v>
      </c>
      <c r="AT121">
        <v>0</v>
      </c>
      <c r="AU121" t="s">
        <v>66</v>
      </c>
      <c r="AV121">
        <v>2</v>
      </c>
      <c r="AW121">
        <v>2</v>
      </c>
      <c r="AX121">
        <v>0</v>
      </c>
      <c r="AY121">
        <v>1</v>
      </c>
      <c r="AZ121">
        <v>1</v>
      </c>
      <c r="BA121">
        <v>1</v>
      </c>
      <c r="BB121" t="s">
        <v>66</v>
      </c>
      <c r="BC121">
        <v>30.6</v>
      </c>
      <c r="BD121">
        <v>48.6</v>
      </c>
      <c r="BE121">
        <v>58.823529409999999</v>
      </c>
      <c r="BF121">
        <v>0</v>
      </c>
      <c r="BG121">
        <v>34.020000000000003</v>
      </c>
      <c r="BH121">
        <v>11.176470589999999</v>
      </c>
      <c r="BI121">
        <v>36</v>
      </c>
      <c r="BJ121">
        <v>6.7</v>
      </c>
      <c r="BK121" t="s">
        <v>66</v>
      </c>
      <c r="BL121">
        <v>4</v>
      </c>
      <c r="BM121">
        <v>7</v>
      </c>
      <c r="BN121">
        <v>6</v>
      </c>
      <c r="BO121">
        <f t="shared" si="17"/>
        <v>6.5</v>
      </c>
      <c r="BP121">
        <v>2</v>
      </c>
      <c r="BQ121">
        <v>1</v>
      </c>
      <c r="BS121">
        <v>0</v>
      </c>
      <c r="BT121">
        <f t="shared" si="18"/>
        <v>-22.222222222222221</v>
      </c>
      <c r="BU121">
        <f t="shared" si="19"/>
        <v>25.373134328358208</v>
      </c>
      <c r="BV121">
        <f t="shared" si="20"/>
        <v>-350</v>
      </c>
      <c r="BW121">
        <f t="shared" si="21"/>
        <v>-192.30769230769232</v>
      </c>
    </row>
    <row r="122" spans="1:75" x14ac:dyDescent="0.2">
      <c r="A122" t="s">
        <v>60</v>
      </c>
      <c r="B122" t="s">
        <v>105</v>
      </c>
      <c r="C122" t="s">
        <v>106</v>
      </c>
      <c r="D122" t="s">
        <v>63</v>
      </c>
      <c r="E122" t="s">
        <v>97</v>
      </c>
      <c r="F122" t="s">
        <v>123</v>
      </c>
      <c r="G122">
        <v>1.25</v>
      </c>
      <c r="H122">
        <v>2.85</v>
      </c>
      <c r="I122">
        <v>3.35</v>
      </c>
      <c r="J122">
        <v>2.4500000000000002</v>
      </c>
      <c r="K122">
        <v>9.9</v>
      </c>
      <c r="L122">
        <v>4.96</v>
      </c>
      <c r="M122">
        <v>60</v>
      </c>
      <c r="N122">
        <v>58</v>
      </c>
      <c r="O122">
        <v>-2</v>
      </c>
      <c r="P122">
        <v>64</v>
      </c>
      <c r="Q122">
        <v>4</v>
      </c>
      <c r="R122">
        <v>2</v>
      </c>
      <c r="S122">
        <v>51.1</v>
      </c>
      <c r="T122">
        <v>6.6666666670000003</v>
      </c>
      <c r="U122">
        <v>10.34482759</v>
      </c>
      <c r="V122">
        <v>7</v>
      </c>
      <c r="W122">
        <v>5</v>
      </c>
      <c r="X122">
        <v>8</v>
      </c>
      <c r="Y122">
        <v>1</v>
      </c>
      <c r="Z122">
        <v>14.28571429</v>
      </c>
      <c r="AA122" t="s">
        <v>66</v>
      </c>
      <c r="AB122" t="s">
        <v>66</v>
      </c>
      <c r="AC122" t="s">
        <v>66</v>
      </c>
      <c r="AD122" t="s">
        <v>66</v>
      </c>
      <c r="AE122">
        <v>38</v>
      </c>
      <c r="AF122">
        <v>35</v>
      </c>
      <c r="AG122" t="s">
        <v>66</v>
      </c>
      <c r="AH122">
        <v>16</v>
      </c>
      <c r="AI122">
        <v>14</v>
      </c>
      <c r="AJ122" t="s">
        <v>66</v>
      </c>
      <c r="AK122">
        <v>8</v>
      </c>
      <c r="AL122">
        <v>12</v>
      </c>
      <c r="AM122">
        <v>12</v>
      </c>
      <c r="AN122">
        <v>13</v>
      </c>
      <c r="AO122">
        <v>8.3333333330000006</v>
      </c>
      <c r="AP122">
        <v>-7.8947368420000004</v>
      </c>
      <c r="AQ122">
        <v>3.1666666669999999</v>
      </c>
      <c r="AR122">
        <v>2.692307692</v>
      </c>
      <c r="AS122">
        <v>-0.47435897500000002</v>
      </c>
      <c r="AT122">
        <v>0</v>
      </c>
      <c r="AU122" t="s">
        <v>66</v>
      </c>
      <c r="AV122">
        <v>1</v>
      </c>
      <c r="AW122">
        <v>1</v>
      </c>
      <c r="AX122">
        <v>0</v>
      </c>
      <c r="AY122">
        <v>1</v>
      </c>
      <c r="AZ122">
        <v>1</v>
      </c>
      <c r="BA122">
        <v>1</v>
      </c>
      <c r="BB122" t="s">
        <v>66</v>
      </c>
      <c r="BC122">
        <v>30.5</v>
      </c>
      <c r="BD122">
        <v>47.3</v>
      </c>
      <c r="BE122">
        <v>55.081967210000002</v>
      </c>
      <c r="BF122">
        <v>0</v>
      </c>
      <c r="BG122">
        <v>33.11</v>
      </c>
      <c r="BH122">
        <v>8.5573770489999994</v>
      </c>
      <c r="BI122">
        <v>46</v>
      </c>
      <c r="BJ122">
        <v>7.2</v>
      </c>
      <c r="BK122" t="s">
        <v>66</v>
      </c>
      <c r="BL122">
        <v>15</v>
      </c>
      <c r="BM122">
        <v>20</v>
      </c>
      <c r="BN122">
        <v>13</v>
      </c>
      <c r="BO122">
        <f t="shared" si="17"/>
        <v>16.5</v>
      </c>
      <c r="BP122">
        <v>4</v>
      </c>
      <c r="BQ122">
        <v>1</v>
      </c>
      <c r="BS122">
        <v>0</v>
      </c>
      <c r="BT122">
        <f t="shared" si="18"/>
        <v>-30.434782608695656</v>
      </c>
      <c r="BU122">
        <f t="shared" si="19"/>
        <v>2.7777777777777799</v>
      </c>
      <c r="BV122">
        <f t="shared" si="20"/>
        <v>-153.33333333333334</v>
      </c>
      <c r="BW122">
        <f t="shared" si="21"/>
        <v>27.27272727272727</v>
      </c>
    </row>
    <row r="123" spans="1:75" x14ac:dyDescent="0.2">
      <c r="A123" t="s">
        <v>60</v>
      </c>
      <c r="B123" t="s">
        <v>105</v>
      </c>
      <c r="C123" t="s">
        <v>106</v>
      </c>
      <c r="D123" t="s">
        <v>63</v>
      </c>
      <c r="E123" t="s">
        <v>99</v>
      </c>
      <c r="F123" t="s">
        <v>124</v>
      </c>
      <c r="G123">
        <v>1.25</v>
      </c>
      <c r="H123">
        <v>2.85</v>
      </c>
      <c r="I123">
        <v>3.35</v>
      </c>
      <c r="J123">
        <v>2.4500000000000002</v>
      </c>
      <c r="K123">
        <v>9.9</v>
      </c>
      <c r="L123">
        <v>4.96</v>
      </c>
      <c r="M123">
        <v>40</v>
      </c>
      <c r="N123">
        <v>51</v>
      </c>
      <c r="O123">
        <v>11</v>
      </c>
      <c r="P123">
        <v>58</v>
      </c>
      <c r="Q123">
        <v>18</v>
      </c>
      <c r="R123">
        <v>9</v>
      </c>
      <c r="S123">
        <v>65.099999999999994</v>
      </c>
      <c r="T123">
        <v>45</v>
      </c>
      <c r="U123">
        <v>13.725490199999999</v>
      </c>
      <c r="V123">
        <v>4</v>
      </c>
      <c r="W123">
        <v>5</v>
      </c>
      <c r="X123">
        <v>4</v>
      </c>
      <c r="Y123">
        <v>0</v>
      </c>
      <c r="Z123">
        <v>0</v>
      </c>
      <c r="AA123" t="s">
        <v>66</v>
      </c>
      <c r="AB123" t="s">
        <v>66</v>
      </c>
      <c r="AC123" t="s">
        <v>66</v>
      </c>
      <c r="AD123" t="s">
        <v>66</v>
      </c>
      <c r="AE123">
        <v>25</v>
      </c>
      <c r="AF123">
        <v>32</v>
      </c>
      <c r="AG123" t="s">
        <v>66</v>
      </c>
      <c r="AH123">
        <v>12</v>
      </c>
      <c r="AI123">
        <v>11</v>
      </c>
      <c r="AJ123" t="s">
        <v>66</v>
      </c>
      <c r="AK123">
        <v>8</v>
      </c>
      <c r="AL123">
        <v>11</v>
      </c>
      <c r="AM123">
        <v>10</v>
      </c>
      <c r="AN123">
        <v>11</v>
      </c>
      <c r="AO123">
        <v>10</v>
      </c>
      <c r="AP123">
        <v>28</v>
      </c>
      <c r="AQ123">
        <v>2.5</v>
      </c>
      <c r="AR123">
        <v>2.9090909090000001</v>
      </c>
      <c r="AS123">
        <v>0.409090909</v>
      </c>
      <c r="AT123">
        <v>0</v>
      </c>
      <c r="AU123" t="s">
        <v>66</v>
      </c>
      <c r="AV123">
        <v>1</v>
      </c>
      <c r="AW123">
        <v>1</v>
      </c>
      <c r="AX123">
        <v>0</v>
      </c>
      <c r="AY123">
        <v>1</v>
      </c>
      <c r="AZ123">
        <v>1</v>
      </c>
      <c r="BA123">
        <v>1</v>
      </c>
      <c r="BB123" t="s">
        <v>66</v>
      </c>
      <c r="BC123">
        <v>22.2</v>
      </c>
      <c r="BD123">
        <v>39.9</v>
      </c>
      <c r="BE123">
        <v>79.729729730000003</v>
      </c>
      <c r="BF123">
        <v>0</v>
      </c>
      <c r="BG123">
        <v>27.93</v>
      </c>
      <c r="BH123">
        <v>25.81081081</v>
      </c>
      <c r="BI123">
        <v>61</v>
      </c>
      <c r="BJ123">
        <v>6.2</v>
      </c>
      <c r="BK123" t="s">
        <v>66</v>
      </c>
      <c r="BL123">
        <f>61-37</f>
        <v>24</v>
      </c>
      <c r="BM123">
        <v>16</v>
      </c>
      <c r="BN123">
        <v>13</v>
      </c>
      <c r="BO123">
        <f t="shared" si="17"/>
        <v>14.5</v>
      </c>
      <c r="BP123">
        <v>3</v>
      </c>
      <c r="BQ123">
        <v>1</v>
      </c>
      <c r="BS123">
        <v>0</v>
      </c>
      <c r="BT123">
        <f t="shared" si="18"/>
        <v>34.42622950819672</v>
      </c>
      <c r="BU123">
        <f t="shared" si="19"/>
        <v>35.483870967741936</v>
      </c>
      <c r="BV123">
        <f t="shared" si="20"/>
        <v>-4.1666666666666661</v>
      </c>
      <c r="BW123">
        <f t="shared" si="21"/>
        <v>31.03448275862069</v>
      </c>
    </row>
    <row r="124" spans="1:75" x14ac:dyDescent="0.2">
      <c r="A124" t="s">
        <v>60</v>
      </c>
      <c r="B124" t="s">
        <v>105</v>
      </c>
      <c r="C124" t="s">
        <v>106</v>
      </c>
      <c r="D124" t="s">
        <v>63</v>
      </c>
      <c r="E124" t="s">
        <v>101</v>
      </c>
      <c r="F124" t="s">
        <v>125</v>
      </c>
      <c r="G124">
        <v>1.25</v>
      </c>
      <c r="H124">
        <v>2.85</v>
      </c>
      <c r="I124">
        <v>3.35</v>
      </c>
      <c r="J124">
        <v>2.4500000000000002</v>
      </c>
      <c r="K124">
        <v>9.9</v>
      </c>
      <c r="L124">
        <v>4.96</v>
      </c>
      <c r="M124">
        <v>31</v>
      </c>
      <c r="N124">
        <v>36</v>
      </c>
      <c r="O124">
        <v>5</v>
      </c>
      <c r="P124">
        <v>35</v>
      </c>
      <c r="Q124">
        <v>4</v>
      </c>
      <c r="R124">
        <v>2</v>
      </c>
      <c r="S124">
        <v>51.1</v>
      </c>
      <c r="T124">
        <v>12.90322581</v>
      </c>
      <c r="U124">
        <v>-2.7777777779999999</v>
      </c>
      <c r="V124">
        <v>2</v>
      </c>
      <c r="W124">
        <v>3</v>
      </c>
      <c r="X124">
        <v>2</v>
      </c>
      <c r="Y124">
        <v>0</v>
      </c>
      <c r="Z124">
        <v>0</v>
      </c>
      <c r="AA124" t="s">
        <v>66</v>
      </c>
      <c r="AB124" t="s">
        <v>66</v>
      </c>
      <c r="AC124" t="s">
        <v>66</v>
      </c>
      <c r="AD124" t="s">
        <v>66</v>
      </c>
      <c r="AE124">
        <v>17</v>
      </c>
      <c r="AF124">
        <v>17</v>
      </c>
      <c r="AG124" t="s">
        <v>66</v>
      </c>
      <c r="AH124">
        <v>10</v>
      </c>
      <c r="AI124">
        <v>10</v>
      </c>
      <c r="AJ124" t="s">
        <v>66</v>
      </c>
      <c r="AK124">
        <v>8</v>
      </c>
      <c r="AL124">
        <v>6</v>
      </c>
      <c r="AM124">
        <v>9</v>
      </c>
      <c r="AN124">
        <v>8</v>
      </c>
      <c r="AO124">
        <v>-11.11111111</v>
      </c>
      <c r="AP124">
        <v>0</v>
      </c>
      <c r="AQ124">
        <v>1.888888889</v>
      </c>
      <c r="AR124">
        <v>2.125</v>
      </c>
      <c r="AS124">
        <v>0.23611111100000001</v>
      </c>
      <c r="AT124">
        <v>0</v>
      </c>
      <c r="AU124" t="s">
        <v>66</v>
      </c>
      <c r="AV124">
        <v>0</v>
      </c>
      <c r="AW124">
        <v>1</v>
      </c>
      <c r="AX124">
        <v>0</v>
      </c>
      <c r="AY124">
        <v>1</v>
      </c>
      <c r="AZ124">
        <v>1</v>
      </c>
      <c r="BA124">
        <v>1</v>
      </c>
      <c r="BB124" t="s">
        <v>66</v>
      </c>
      <c r="BC124">
        <v>23.7</v>
      </c>
      <c r="BD124">
        <v>35</v>
      </c>
      <c r="BE124">
        <v>47.679324889999997</v>
      </c>
      <c r="BF124">
        <v>0</v>
      </c>
      <c r="BG124">
        <v>24.5</v>
      </c>
      <c r="BH124">
        <v>3.3755274260000001</v>
      </c>
      <c r="BI124">
        <v>32</v>
      </c>
      <c r="BJ124">
        <v>3.6</v>
      </c>
      <c r="BK124" t="s">
        <v>66</v>
      </c>
      <c r="BL124">
        <f>32-18</f>
        <v>14</v>
      </c>
      <c r="BM124">
        <v>13</v>
      </c>
      <c r="BN124">
        <v>7</v>
      </c>
      <c r="BO124">
        <f t="shared" si="17"/>
        <v>10</v>
      </c>
      <c r="BP124">
        <v>4</v>
      </c>
      <c r="BQ124">
        <v>1</v>
      </c>
      <c r="BS124">
        <v>0</v>
      </c>
      <c r="BT124">
        <f t="shared" si="18"/>
        <v>3.125</v>
      </c>
      <c r="BU124">
        <f t="shared" si="19"/>
        <v>44.44444444444445</v>
      </c>
      <c r="BV124">
        <f t="shared" si="20"/>
        <v>-21.428571428571427</v>
      </c>
      <c r="BW124">
        <f t="shared" si="21"/>
        <v>10</v>
      </c>
    </row>
    <row r="125" spans="1:75" x14ac:dyDescent="0.2">
      <c r="A125" t="s">
        <v>60</v>
      </c>
      <c r="B125" t="s">
        <v>105</v>
      </c>
      <c r="C125" t="s">
        <v>106</v>
      </c>
      <c r="D125" t="s">
        <v>63</v>
      </c>
      <c r="E125" t="s">
        <v>103</v>
      </c>
      <c r="F125" t="s">
        <v>126</v>
      </c>
      <c r="G125">
        <v>1.25</v>
      </c>
      <c r="H125">
        <v>2.85</v>
      </c>
      <c r="I125">
        <v>3.35</v>
      </c>
      <c r="J125">
        <v>2.4500000000000002</v>
      </c>
      <c r="K125">
        <v>9.9</v>
      </c>
      <c r="L125">
        <v>4.96</v>
      </c>
      <c r="M125">
        <v>55</v>
      </c>
      <c r="N125">
        <v>58</v>
      </c>
      <c r="O125">
        <v>3</v>
      </c>
      <c r="P125">
        <v>49</v>
      </c>
      <c r="Q125">
        <v>-6</v>
      </c>
      <c r="R125">
        <v>-3</v>
      </c>
      <c r="S125">
        <v>41.1</v>
      </c>
      <c r="T125">
        <v>-10.90909091</v>
      </c>
      <c r="U125">
        <v>-15.51724138</v>
      </c>
      <c r="V125">
        <v>6</v>
      </c>
      <c r="W125">
        <v>7</v>
      </c>
      <c r="X125">
        <v>7</v>
      </c>
      <c r="Y125">
        <v>1</v>
      </c>
      <c r="Z125">
        <v>16.666666670000001</v>
      </c>
      <c r="AA125" t="s">
        <v>66</v>
      </c>
      <c r="AB125" t="s">
        <v>66</v>
      </c>
      <c r="AC125" t="s">
        <v>66</v>
      </c>
      <c r="AD125" t="s">
        <v>66</v>
      </c>
      <c r="AE125">
        <v>34</v>
      </c>
      <c r="AF125">
        <v>29</v>
      </c>
      <c r="AG125" t="s">
        <v>66</v>
      </c>
      <c r="AH125">
        <v>15</v>
      </c>
      <c r="AI125">
        <v>17</v>
      </c>
      <c r="AJ125" t="s">
        <v>66</v>
      </c>
      <c r="AK125">
        <v>12</v>
      </c>
      <c r="AL125">
        <v>10</v>
      </c>
      <c r="AM125">
        <v>13.5</v>
      </c>
      <c r="AN125">
        <v>13.5</v>
      </c>
      <c r="AO125">
        <v>0</v>
      </c>
      <c r="AP125">
        <v>-14.70588235</v>
      </c>
      <c r="AQ125">
        <v>2.5185185190000001</v>
      </c>
      <c r="AR125">
        <v>2.1481481480000002</v>
      </c>
      <c r="AS125">
        <v>-0.37037037099999998</v>
      </c>
      <c r="AT125">
        <v>0</v>
      </c>
      <c r="AU125" t="s">
        <v>66</v>
      </c>
      <c r="AV125">
        <v>2</v>
      </c>
      <c r="AW125">
        <v>3</v>
      </c>
      <c r="AX125">
        <v>0</v>
      </c>
      <c r="AY125">
        <v>1</v>
      </c>
      <c r="AZ125">
        <v>1</v>
      </c>
      <c r="BA125">
        <v>1</v>
      </c>
      <c r="BB125" t="s">
        <v>66</v>
      </c>
      <c r="BC125">
        <v>22.6</v>
      </c>
      <c r="BD125">
        <v>28.3</v>
      </c>
      <c r="BE125">
        <v>25.221238939999999</v>
      </c>
      <c r="BF125">
        <v>0</v>
      </c>
      <c r="BG125">
        <v>19.809999999999999</v>
      </c>
      <c r="BH125">
        <v>-12.34513274</v>
      </c>
      <c r="BI125">
        <v>19</v>
      </c>
      <c r="BJ125">
        <v>6.2</v>
      </c>
      <c r="BK125" t="s">
        <v>66</v>
      </c>
      <c r="BL125">
        <v>15</v>
      </c>
      <c r="BM125">
        <v>7</v>
      </c>
      <c r="BN125">
        <v>6</v>
      </c>
      <c r="BO125">
        <f t="shared" si="17"/>
        <v>6.5</v>
      </c>
      <c r="BP125">
        <v>4</v>
      </c>
      <c r="BQ125">
        <v>1</v>
      </c>
      <c r="BS125">
        <v>0</v>
      </c>
      <c r="BT125">
        <f t="shared" si="18"/>
        <v>-189.4736842105263</v>
      </c>
      <c r="BU125">
        <f t="shared" si="19"/>
        <v>3.2258064516129057</v>
      </c>
      <c r="BV125">
        <f t="shared" si="20"/>
        <v>-126.66666666666666</v>
      </c>
      <c r="BW125">
        <f t="shared" si="21"/>
        <v>-107.69230769230769</v>
      </c>
    </row>
    <row r="126" spans="1:75" x14ac:dyDescent="0.2">
      <c r="A126" t="s">
        <v>60</v>
      </c>
      <c r="B126" t="s">
        <v>105</v>
      </c>
      <c r="C126" t="s">
        <v>106</v>
      </c>
      <c r="D126" t="s">
        <v>63</v>
      </c>
      <c r="E126" t="s">
        <v>77</v>
      </c>
      <c r="F126" t="s">
        <v>113</v>
      </c>
      <c r="G126">
        <v>1.25</v>
      </c>
      <c r="H126">
        <v>2.85</v>
      </c>
      <c r="I126">
        <v>3.35</v>
      </c>
      <c r="J126">
        <v>2.4500000000000002</v>
      </c>
      <c r="K126">
        <v>9.9</v>
      </c>
      <c r="L126">
        <v>4.96</v>
      </c>
      <c r="M126">
        <v>112</v>
      </c>
      <c r="N126">
        <v>91</v>
      </c>
      <c r="O126">
        <v>-21</v>
      </c>
      <c r="P126">
        <v>70</v>
      </c>
      <c r="Q126">
        <v>-42</v>
      </c>
      <c r="R126">
        <v>-21</v>
      </c>
      <c r="S126">
        <v>5.0999999999999996</v>
      </c>
      <c r="T126">
        <v>-37.5</v>
      </c>
      <c r="U126">
        <v>-23.07692308</v>
      </c>
      <c r="V126">
        <v>6</v>
      </c>
      <c r="W126">
        <v>8</v>
      </c>
      <c r="X126">
        <v>7</v>
      </c>
      <c r="Y126">
        <v>1</v>
      </c>
      <c r="Z126">
        <v>16.666666670000001</v>
      </c>
      <c r="AA126" t="s">
        <v>66</v>
      </c>
      <c r="AB126" t="s">
        <v>66</v>
      </c>
      <c r="AC126" t="s">
        <v>66</v>
      </c>
      <c r="AD126" t="s">
        <v>66</v>
      </c>
      <c r="AE126">
        <v>32</v>
      </c>
      <c r="AF126">
        <v>31</v>
      </c>
      <c r="AG126" t="s">
        <v>66</v>
      </c>
      <c r="AH126">
        <v>17</v>
      </c>
      <c r="AI126">
        <v>16</v>
      </c>
      <c r="AJ126" t="s">
        <v>66</v>
      </c>
      <c r="AK126">
        <v>15</v>
      </c>
      <c r="AL126">
        <v>10</v>
      </c>
      <c r="AM126">
        <v>16</v>
      </c>
      <c r="AN126">
        <v>13</v>
      </c>
      <c r="AO126">
        <v>-18.75</v>
      </c>
      <c r="AP126">
        <v>-3.125</v>
      </c>
      <c r="AQ126">
        <v>2</v>
      </c>
      <c r="AR126">
        <v>2.384615385</v>
      </c>
      <c r="AS126">
        <v>0.38461538499999998</v>
      </c>
      <c r="AT126">
        <v>0</v>
      </c>
      <c r="AU126" t="s">
        <v>66</v>
      </c>
      <c r="AV126">
        <v>3</v>
      </c>
      <c r="AW126">
        <v>1</v>
      </c>
      <c r="AX126">
        <v>1</v>
      </c>
      <c r="AY126">
        <v>1</v>
      </c>
      <c r="AZ126">
        <v>1</v>
      </c>
      <c r="BA126">
        <v>1</v>
      </c>
      <c r="BB126" t="s">
        <v>66</v>
      </c>
      <c r="BC126">
        <v>33.6</v>
      </c>
      <c r="BD126">
        <v>44.5</v>
      </c>
      <c r="BE126">
        <v>32.440476189999998</v>
      </c>
      <c r="BF126">
        <v>0</v>
      </c>
      <c r="BG126">
        <v>31.15</v>
      </c>
      <c r="BH126">
        <v>-7.2916666670000003</v>
      </c>
      <c r="BI126">
        <v>134</v>
      </c>
      <c r="BJ126">
        <v>8.4</v>
      </c>
      <c r="BK126" t="s">
        <v>66</v>
      </c>
      <c r="BL126">
        <f>134-66</f>
        <v>68</v>
      </c>
      <c r="BM126">
        <v>34</v>
      </c>
      <c r="BN126">
        <v>25</v>
      </c>
      <c r="BO126">
        <f t="shared" si="17"/>
        <v>29.5</v>
      </c>
      <c r="BP126">
        <v>4</v>
      </c>
      <c r="BQ126">
        <v>1</v>
      </c>
      <c r="BS126">
        <v>0</v>
      </c>
      <c r="BT126">
        <f t="shared" si="18"/>
        <v>16.417910447761194</v>
      </c>
      <c r="BU126">
        <f t="shared" si="19"/>
        <v>28.571428571428577</v>
      </c>
      <c r="BV126">
        <f t="shared" si="20"/>
        <v>52.941176470588239</v>
      </c>
      <c r="BW126">
        <f t="shared" si="21"/>
        <v>45.762711864406782</v>
      </c>
    </row>
    <row r="127" spans="1:75" x14ac:dyDescent="0.2">
      <c r="A127" t="s">
        <v>60</v>
      </c>
      <c r="B127" t="s">
        <v>105</v>
      </c>
      <c r="C127" t="s">
        <v>106</v>
      </c>
      <c r="D127" t="s">
        <v>63</v>
      </c>
      <c r="E127" t="s">
        <v>83</v>
      </c>
      <c r="F127" t="s">
        <v>116</v>
      </c>
      <c r="G127">
        <v>1.25</v>
      </c>
      <c r="H127">
        <v>2.85</v>
      </c>
      <c r="I127">
        <v>3.35</v>
      </c>
      <c r="J127">
        <v>2.4500000000000002</v>
      </c>
      <c r="K127">
        <v>9.9</v>
      </c>
      <c r="L127">
        <v>4.96</v>
      </c>
      <c r="M127">
        <v>200</v>
      </c>
      <c r="N127">
        <v>215</v>
      </c>
      <c r="O127">
        <v>15</v>
      </c>
      <c r="P127">
        <v>227</v>
      </c>
      <c r="Q127">
        <v>27</v>
      </c>
      <c r="R127">
        <v>13.5</v>
      </c>
      <c r="S127">
        <v>74.099999999999994</v>
      </c>
      <c r="T127">
        <v>13.5</v>
      </c>
      <c r="U127">
        <v>5.5813953490000001</v>
      </c>
      <c r="V127">
        <v>7</v>
      </c>
      <c r="W127">
        <v>25</v>
      </c>
      <c r="X127">
        <v>25</v>
      </c>
      <c r="Y127">
        <v>18</v>
      </c>
      <c r="Z127">
        <v>257.14285710000001</v>
      </c>
      <c r="AA127" t="s">
        <v>66</v>
      </c>
      <c r="AB127">
        <v>10</v>
      </c>
      <c r="AC127">
        <v>12</v>
      </c>
      <c r="AD127" t="s">
        <v>66</v>
      </c>
      <c r="AE127">
        <v>120</v>
      </c>
      <c r="AF127">
        <v>131</v>
      </c>
      <c r="AG127" t="s">
        <v>66</v>
      </c>
      <c r="AH127">
        <v>119</v>
      </c>
      <c r="AI127">
        <v>113</v>
      </c>
      <c r="AJ127" t="s">
        <v>66</v>
      </c>
      <c r="AK127">
        <v>68</v>
      </c>
      <c r="AL127">
        <v>78</v>
      </c>
      <c r="AM127">
        <v>93.5</v>
      </c>
      <c r="AN127">
        <v>95.5</v>
      </c>
      <c r="AO127">
        <v>2.1390374329999999</v>
      </c>
      <c r="AP127">
        <v>9.1666666669999994</v>
      </c>
      <c r="AQ127">
        <v>1.2834224599999999</v>
      </c>
      <c r="AR127">
        <v>1.3717277489999999</v>
      </c>
      <c r="AS127">
        <v>8.8305288999999995E-2</v>
      </c>
      <c r="AT127">
        <v>0</v>
      </c>
      <c r="AU127" t="s">
        <v>66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 t="s">
        <v>66</v>
      </c>
      <c r="BC127">
        <v>38.299999999999997</v>
      </c>
      <c r="BD127">
        <v>79.099999999999994</v>
      </c>
      <c r="BE127">
        <v>106.5274151</v>
      </c>
      <c r="BF127">
        <v>0</v>
      </c>
      <c r="BG127">
        <v>55.37</v>
      </c>
      <c r="BH127">
        <v>44.569190599999999</v>
      </c>
      <c r="BI127">
        <v>353</v>
      </c>
      <c r="BJ127">
        <v>29.4</v>
      </c>
      <c r="BK127">
        <v>2</v>
      </c>
      <c r="BL127">
        <v>251</v>
      </c>
      <c r="BM127">
        <v>140</v>
      </c>
      <c r="BN127">
        <v>60</v>
      </c>
      <c r="BO127">
        <f t="shared" si="17"/>
        <v>100</v>
      </c>
      <c r="BP127">
        <v>4</v>
      </c>
      <c r="BQ127">
        <v>1</v>
      </c>
      <c r="BS127">
        <v>0</v>
      </c>
      <c r="BT127">
        <f t="shared" si="18"/>
        <v>43.342776203966004</v>
      </c>
      <c r="BU127">
        <f t="shared" si="19"/>
        <v>76.19047619047619</v>
      </c>
      <c r="BV127">
        <f t="shared" si="20"/>
        <v>52.191235059760956</v>
      </c>
      <c r="BW127">
        <f t="shared" si="21"/>
        <v>6.5</v>
      </c>
    </row>
    <row r="128" spans="1:75" x14ac:dyDescent="0.2">
      <c r="A128" t="s">
        <v>127</v>
      </c>
      <c r="B128" t="s">
        <v>149</v>
      </c>
      <c r="C128" t="s">
        <v>106</v>
      </c>
      <c r="D128" t="s">
        <v>63</v>
      </c>
      <c r="E128" t="s">
        <v>83</v>
      </c>
      <c r="F128" t="s">
        <v>159</v>
      </c>
      <c r="G128">
        <v>2.95</v>
      </c>
      <c r="H128">
        <v>10.5</v>
      </c>
      <c r="I128">
        <v>2.2999999999999998</v>
      </c>
      <c r="J128">
        <v>1.05</v>
      </c>
      <c r="K128">
        <v>16.8</v>
      </c>
      <c r="L128">
        <v>4.3389830509999996</v>
      </c>
      <c r="M128">
        <v>78</v>
      </c>
      <c r="N128">
        <v>95</v>
      </c>
      <c r="O128">
        <v>17</v>
      </c>
      <c r="P128">
        <v>59</v>
      </c>
      <c r="Q128">
        <v>-19</v>
      </c>
      <c r="R128">
        <v>-9.5</v>
      </c>
      <c r="S128">
        <v>28.1</v>
      </c>
      <c r="T128">
        <v>-24.358974360000001</v>
      </c>
      <c r="U128">
        <v>-37.89473684</v>
      </c>
      <c r="V128">
        <v>6</v>
      </c>
      <c r="W128">
        <v>8</v>
      </c>
      <c r="X128">
        <v>14</v>
      </c>
      <c r="Y128">
        <v>8</v>
      </c>
      <c r="Z128">
        <v>133.33333329999999</v>
      </c>
      <c r="AA128" t="s">
        <v>66</v>
      </c>
      <c r="AB128" t="s">
        <v>66</v>
      </c>
      <c r="AC128" t="s">
        <v>66</v>
      </c>
      <c r="AD128" t="s">
        <v>66</v>
      </c>
      <c r="AE128">
        <v>60</v>
      </c>
      <c r="AF128">
        <v>33</v>
      </c>
      <c r="AG128" t="s">
        <v>66</v>
      </c>
      <c r="AH128">
        <v>22</v>
      </c>
      <c r="AI128">
        <v>20</v>
      </c>
      <c r="AJ128" t="s">
        <v>66</v>
      </c>
      <c r="AK128">
        <v>12</v>
      </c>
      <c r="AL128">
        <v>7</v>
      </c>
      <c r="AM128">
        <v>17</v>
      </c>
      <c r="AN128">
        <v>13.5</v>
      </c>
      <c r="AO128">
        <v>-20.58823529</v>
      </c>
      <c r="AP128">
        <v>-45</v>
      </c>
      <c r="AQ128">
        <v>3.5294117649999999</v>
      </c>
      <c r="AR128">
        <v>2.4444444440000002</v>
      </c>
      <c r="AS128">
        <v>-1.0849673209999999</v>
      </c>
      <c r="AT128">
        <v>0</v>
      </c>
      <c r="AU128" t="s">
        <v>66</v>
      </c>
      <c r="AV128">
        <v>2</v>
      </c>
      <c r="AW128">
        <v>4</v>
      </c>
      <c r="AX128">
        <v>0</v>
      </c>
      <c r="AY128">
        <v>1</v>
      </c>
      <c r="AZ128">
        <v>1</v>
      </c>
      <c r="BA128">
        <v>1</v>
      </c>
      <c r="BB128" t="s">
        <v>66</v>
      </c>
      <c r="BC128">
        <v>24.3</v>
      </c>
      <c r="BD128" t="s">
        <v>66</v>
      </c>
      <c r="BE128" t="s">
        <v>66</v>
      </c>
      <c r="BF128">
        <v>0</v>
      </c>
      <c r="BG128" t="s">
        <v>66</v>
      </c>
      <c r="BH128" t="s">
        <v>66</v>
      </c>
      <c r="BI128" t="s">
        <v>66</v>
      </c>
      <c r="BJ128" t="s">
        <v>66</v>
      </c>
      <c r="BK128" t="s">
        <v>66</v>
      </c>
      <c r="BL128" t="s">
        <v>66</v>
      </c>
      <c r="BM128" t="s">
        <v>66</v>
      </c>
      <c r="BN128" t="s">
        <v>66</v>
      </c>
      <c r="BO128" t="s">
        <v>66</v>
      </c>
      <c r="BP128" t="s">
        <v>66</v>
      </c>
      <c r="BQ128">
        <v>0</v>
      </c>
      <c r="BS128">
        <v>0</v>
      </c>
      <c r="BT128" t="s">
        <v>66</v>
      </c>
      <c r="BU128" t="s">
        <v>66</v>
      </c>
      <c r="BV128" t="s">
        <v>66</v>
      </c>
      <c r="BW128" t="s">
        <v>66</v>
      </c>
    </row>
    <row r="129" spans="1:75" x14ac:dyDescent="0.2">
      <c r="A129" t="s">
        <v>127</v>
      </c>
      <c r="B129" t="s">
        <v>149</v>
      </c>
      <c r="C129" t="s">
        <v>106</v>
      </c>
      <c r="D129" t="s">
        <v>63</v>
      </c>
      <c r="E129" t="s">
        <v>64</v>
      </c>
      <c r="F129" t="s">
        <v>150</v>
      </c>
      <c r="G129">
        <v>2.95</v>
      </c>
      <c r="H129">
        <v>10.5</v>
      </c>
      <c r="I129">
        <v>2.2999999999999998</v>
      </c>
      <c r="J129">
        <v>1.05</v>
      </c>
      <c r="K129">
        <v>16.8</v>
      </c>
      <c r="L129">
        <v>4.3389830509999996</v>
      </c>
      <c r="M129">
        <v>105</v>
      </c>
      <c r="N129">
        <v>147</v>
      </c>
      <c r="O129">
        <v>42</v>
      </c>
      <c r="P129">
        <v>152</v>
      </c>
      <c r="Q129">
        <v>47</v>
      </c>
      <c r="R129">
        <v>23.5</v>
      </c>
      <c r="S129">
        <v>94.1</v>
      </c>
      <c r="T129">
        <v>44.76190476</v>
      </c>
      <c r="U129">
        <v>3.4013605440000001</v>
      </c>
      <c r="V129">
        <v>9</v>
      </c>
      <c r="W129">
        <v>11</v>
      </c>
      <c r="X129">
        <v>23</v>
      </c>
      <c r="Y129">
        <v>14</v>
      </c>
      <c r="Z129">
        <v>155.55555559999999</v>
      </c>
      <c r="AA129" t="s">
        <v>66</v>
      </c>
      <c r="AB129">
        <v>2</v>
      </c>
      <c r="AC129">
        <v>2</v>
      </c>
      <c r="AD129" t="s">
        <v>66</v>
      </c>
      <c r="AE129">
        <v>112</v>
      </c>
      <c r="AF129">
        <v>87</v>
      </c>
      <c r="AG129" t="s">
        <v>66</v>
      </c>
      <c r="AH129">
        <v>36</v>
      </c>
      <c r="AI129">
        <v>52</v>
      </c>
      <c r="AJ129" t="s">
        <v>66</v>
      </c>
      <c r="AK129">
        <v>22</v>
      </c>
      <c r="AL129">
        <v>35</v>
      </c>
      <c r="AM129">
        <v>29</v>
      </c>
      <c r="AN129">
        <v>43.5</v>
      </c>
      <c r="AO129">
        <v>50</v>
      </c>
      <c r="AP129">
        <v>-22.321428569999998</v>
      </c>
      <c r="AQ129">
        <v>3.8620689659999998</v>
      </c>
      <c r="AR129">
        <v>2</v>
      </c>
      <c r="AS129">
        <v>-1.862068966</v>
      </c>
      <c r="AT129">
        <v>0</v>
      </c>
      <c r="AU129" t="s">
        <v>66</v>
      </c>
      <c r="AV129">
        <v>0</v>
      </c>
      <c r="AW129">
        <v>4</v>
      </c>
      <c r="AX129">
        <v>0</v>
      </c>
      <c r="AY129">
        <v>1</v>
      </c>
      <c r="AZ129">
        <v>1</v>
      </c>
      <c r="BA129">
        <v>1</v>
      </c>
      <c r="BB129" t="s">
        <v>66</v>
      </c>
      <c r="BC129">
        <v>34.6</v>
      </c>
      <c r="BD129">
        <v>61.7</v>
      </c>
      <c r="BE129">
        <v>78.323699419999997</v>
      </c>
      <c r="BF129">
        <v>0</v>
      </c>
      <c r="BG129">
        <v>43.19</v>
      </c>
      <c r="BH129">
        <v>24.826589599999998</v>
      </c>
      <c r="BI129">
        <v>159</v>
      </c>
      <c r="BJ129">
        <v>12.8</v>
      </c>
      <c r="BK129">
        <v>2.5</v>
      </c>
      <c r="BL129">
        <f>159-82</f>
        <v>77</v>
      </c>
      <c r="BM129">
        <v>55</v>
      </c>
      <c r="BN129">
        <v>31</v>
      </c>
      <c r="BO129">
        <f t="shared" ref="BO129:BO147" si="22">AVERAGE(BM129,BN129)</f>
        <v>43</v>
      </c>
      <c r="BP129">
        <v>3</v>
      </c>
      <c r="BQ129">
        <v>1</v>
      </c>
      <c r="BS129">
        <v>0</v>
      </c>
      <c r="BT129">
        <f t="shared" ref="BT129:BT147" si="23">(BI129-M129)/BI129*100</f>
        <v>33.962264150943398</v>
      </c>
      <c r="BU129">
        <f t="shared" ref="BU129:BU147" si="24">(BJ129-V129)/BJ129*100</f>
        <v>29.687500000000007</v>
      </c>
      <c r="BV129">
        <f t="shared" ref="BV129:BV147" si="25">(BL129-AE129)/BL129*100</f>
        <v>-45.454545454545453</v>
      </c>
      <c r="BW129">
        <f t="shared" ref="BW129:BW147" si="26">(BO129-AM129)/BO129*100</f>
        <v>32.558139534883722</v>
      </c>
    </row>
    <row r="130" spans="1:75" x14ac:dyDescent="0.2">
      <c r="A130" t="s">
        <v>127</v>
      </c>
      <c r="B130" t="s">
        <v>149</v>
      </c>
      <c r="C130" t="s">
        <v>106</v>
      </c>
      <c r="D130" t="s">
        <v>63</v>
      </c>
      <c r="E130" t="s">
        <v>69</v>
      </c>
      <c r="F130" t="s">
        <v>152</v>
      </c>
      <c r="G130">
        <v>2.95</v>
      </c>
      <c r="H130">
        <v>10.5</v>
      </c>
      <c r="I130">
        <v>2.2999999999999998</v>
      </c>
      <c r="J130">
        <v>1.05</v>
      </c>
      <c r="K130">
        <v>16.8</v>
      </c>
      <c r="L130">
        <v>4.3389830509999996</v>
      </c>
      <c r="M130">
        <v>94</v>
      </c>
      <c r="N130">
        <v>100</v>
      </c>
      <c r="O130">
        <v>6</v>
      </c>
      <c r="P130">
        <v>132</v>
      </c>
      <c r="Q130">
        <v>38</v>
      </c>
      <c r="R130">
        <v>19</v>
      </c>
      <c r="S130">
        <v>85.1</v>
      </c>
      <c r="T130">
        <v>40.425531909999997</v>
      </c>
      <c r="U130">
        <v>32</v>
      </c>
      <c r="V130">
        <v>7</v>
      </c>
      <c r="W130">
        <v>10</v>
      </c>
      <c r="X130">
        <v>11</v>
      </c>
      <c r="Y130">
        <v>4</v>
      </c>
      <c r="Z130">
        <v>57.142857139999997</v>
      </c>
      <c r="AA130" t="s">
        <v>66</v>
      </c>
      <c r="AB130" t="s">
        <v>66</v>
      </c>
      <c r="AC130" t="s">
        <v>66</v>
      </c>
      <c r="AD130" t="s">
        <v>66</v>
      </c>
      <c r="AE130">
        <v>64</v>
      </c>
      <c r="AF130">
        <v>86</v>
      </c>
      <c r="AG130" t="s">
        <v>66</v>
      </c>
      <c r="AH130">
        <v>21</v>
      </c>
      <c r="AI130">
        <v>34</v>
      </c>
      <c r="AJ130" t="s">
        <v>66</v>
      </c>
      <c r="AK130">
        <v>19</v>
      </c>
      <c r="AL130">
        <v>20</v>
      </c>
      <c r="AM130">
        <v>20</v>
      </c>
      <c r="AN130">
        <v>27</v>
      </c>
      <c r="AO130">
        <v>35</v>
      </c>
      <c r="AP130">
        <v>34.375</v>
      </c>
      <c r="AQ130">
        <v>3.2</v>
      </c>
      <c r="AR130">
        <v>3.1851851849999999</v>
      </c>
      <c r="AS130">
        <v>-1.4814815E-2</v>
      </c>
      <c r="AT130">
        <v>0</v>
      </c>
      <c r="AU130" t="s">
        <v>66</v>
      </c>
      <c r="AV130">
        <v>2</v>
      </c>
      <c r="AW130">
        <v>1</v>
      </c>
      <c r="AX130">
        <v>0</v>
      </c>
      <c r="AY130">
        <v>1</v>
      </c>
      <c r="AZ130">
        <v>1</v>
      </c>
      <c r="BA130">
        <v>1</v>
      </c>
      <c r="BB130" t="s">
        <v>66</v>
      </c>
      <c r="BC130">
        <v>31.8</v>
      </c>
      <c r="BD130">
        <v>49.1</v>
      </c>
      <c r="BE130">
        <v>54.402515719999997</v>
      </c>
      <c r="BF130">
        <v>0</v>
      </c>
      <c r="BG130">
        <v>34.369999999999997</v>
      </c>
      <c r="BH130">
        <v>8.0817610060000007</v>
      </c>
      <c r="BI130">
        <v>133</v>
      </c>
      <c r="BJ130">
        <v>9.8000000000000007</v>
      </c>
      <c r="BK130" t="s">
        <v>66</v>
      </c>
      <c r="BL130">
        <v>90</v>
      </c>
      <c r="BM130">
        <v>20</v>
      </c>
      <c r="BN130">
        <v>16</v>
      </c>
      <c r="BO130">
        <f t="shared" si="22"/>
        <v>18</v>
      </c>
      <c r="BP130">
        <v>3</v>
      </c>
      <c r="BQ130">
        <v>1</v>
      </c>
      <c r="BS130">
        <v>0</v>
      </c>
      <c r="BT130">
        <f t="shared" si="23"/>
        <v>29.323308270676691</v>
      </c>
      <c r="BU130">
        <f t="shared" si="24"/>
        <v>28.571428571428577</v>
      </c>
      <c r="BV130">
        <f t="shared" si="25"/>
        <v>28.888888888888886</v>
      </c>
      <c r="BW130">
        <f t="shared" si="26"/>
        <v>-11.111111111111111</v>
      </c>
    </row>
    <row r="131" spans="1:75" x14ac:dyDescent="0.2">
      <c r="A131" t="s">
        <v>127</v>
      </c>
      <c r="B131" t="s">
        <v>149</v>
      </c>
      <c r="C131" t="s">
        <v>106</v>
      </c>
      <c r="D131" t="s">
        <v>63</v>
      </c>
      <c r="E131" t="s">
        <v>73</v>
      </c>
      <c r="F131" t="s">
        <v>154</v>
      </c>
      <c r="G131">
        <v>2.95</v>
      </c>
      <c r="H131">
        <v>10.5</v>
      </c>
      <c r="I131">
        <v>2.2999999999999998</v>
      </c>
      <c r="J131">
        <v>1.05</v>
      </c>
      <c r="K131">
        <v>16.8</v>
      </c>
      <c r="L131">
        <v>4.3389830509999996</v>
      </c>
      <c r="M131">
        <v>27</v>
      </c>
      <c r="N131">
        <v>34</v>
      </c>
      <c r="O131">
        <v>7</v>
      </c>
      <c r="P131">
        <v>35</v>
      </c>
      <c r="Q131">
        <v>8</v>
      </c>
      <c r="R131">
        <v>4</v>
      </c>
      <c r="S131">
        <v>55.1</v>
      </c>
      <c r="T131">
        <v>29.62962963</v>
      </c>
      <c r="U131">
        <v>2.9411764709999999</v>
      </c>
      <c r="V131">
        <v>3</v>
      </c>
      <c r="W131">
        <v>5</v>
      </c>
      <c r="X131">
        <v>5</v>
      </c>
      <c r="Y131">
        <v>2</v>
      </c>
      <c r="Z131">
        <v>66.666666669999998</v>
      </c>
      <c r="AA131" t="s">
        <v>66</v>
      </c>
      <c r="AB131" t="s">
        <v>66</v>
      </c>
      <c r="AC131" t="s">
        <v>66</v>
      </c>
      <c r="AD131" t="s">
        <v>66</v>
      </c>
      <c r="AE131">
        <v>19</v>
      </c>
      <c r="AF131">
        <v>23</v>
      </c>
      <c r="AG131" t="s">
        <v>66</v>
      </c>
      <c r="AH131">
        <v>20</v>
      </c>
      <c r="AI131">
        <v>22</v>
      </c>
      <c r="AJ131" t="s">
        <v>66</v>
      </c>
      <c r="AK131">
        <v>11</v>
      </c>
      <c r="AL131">
        <v>12</v>
      </c>
      <c r="AM131">
        <v>15.5</v>
      </c>
      <c r="AN131">
        <v>17</v>
      </c>
      <c r="AO131">
        <v>9.6774193549999996</v>
      </c>
      <c r="AP131">
        <v>21.05263158</v>
      </c>
      <c r="AQ131">
        <v>1.225806452</v>
      </c>
      <c r="AR131">
        <v>1.3529411760000001</v>
      </c>
      <c r="AS131">
        <v>0.127134724</v>
      </c>
      <c r="AT131">
        <v>0</v>
      </c>
      <c r="AU131" t="s">
        <v>66</v>
      </c>
      <c r="AV131">
        <v>4</v>
      </c>
      <c r="AW131">
        <v>4</v>
      </c>
      <c r="AX131">
        <v>0</v>
      </c>
      <c r="AY131">
        <v>1</v>
      </c>
      <c r="AZ131">
        <v>1</v>
      </c>
      <c r="BA131">
        <v>1</v>
      </c>
      <c r="BB131" t="s">
        <v>66</v>
      </c>
      <c r="BC131">
        <v>27.8</v>
      </c>
      <c r="BD131">
        <v>45.7</v>
      </c>
      <c r="BE131">
        <v>64.388489210000003</v>
      </c>
      <c r="BF131">
        <v>0</v>
      </c>
      <c r="BG131">
        <v>31.99</v>
      </c>
      <c r="BH131">
        <v>15.07194245</v>
      </c>
      <c r="BI131">
        <v>35</v>
      </c>
      <c r="BJ131">
        <v>4.8</v>
      </c>
      <c r="BK131" t="s">
        <v>66</v>
      </c>
      <c r="BL131">
        <f>35-24</f>
        <v>11</v>
      </c>
      <c r="BM131">
        <v>10</v>
      </c>
      <c r="BN131">
        <v>5</v>
      </c>
      <c r="BO131">
        <f t="shared" si="22"/>
        <v>7.5</v>
      </c>
      <c r="BP131">
        <v>2</v>
      </c>
      <c r="BQ131">
        <v>1</v>
      </c>
      <c r="BS131">
        <v>0</v>
      </c>
      <c r="BT131">
        <f t="shared" si="23"/>
        <v>22.857142857142858</v>
      </c>
      <c r="BU131">
        <f t="shared" si="24"/>
        <v>37.5</v>
      </c>
      <c r="BV131">
        <f t="shared" si="25"/>
        <v>-72.727272727272734</v>
      </c>
      <c r="BW131">
        <f t="shared" si="26"/>
        <v>-106.66666666666667</v>
      </c>
    </row>
    <row r="132" spans="1:75" x14ac:dyDescent="0.2">
      <c r="A132" t="s">
        <v>127</v>
      </c>
      <c r="B132" t="s">
        <v>149</v>
      </c>
      <c r="C132" t="s">
        <v>106</v>
      </c>
      <c r="D132" t="s">
        <v>63</v>
      </c>
      <c r="E132" t="s">
        <v>77</v>
      </c>
      <c r="F132" t="s">
        <v>156</v>
      </c>
      <c r="G132">
        <v>2.95</v>
      </c>
      <c r="H132">
        <v>10.5</v>
      </c>
      <c r="I132">
        <v>2.2999999999999998</v>
      </c>
      <c r="J132">
        <v>1.05</v>
      </c>
      <c r="K132">
        <v>16.8</v>
      </c>
      <c r="L132">
        <v>4.3389830509999996</v>
      </c>
      <c r="M132">
        <v>78</v>
      </c>
      <c r="N132">
        <v>97</v>
      </c>
      <c r="O132">
        <v>19</v>
      </c>
      <c r="P132">
        <v>126</v>
      </c>
      <c r="Q132">
        <v>48</v>
      </c>
      <c r="R132">
        <v>24</v>
      </c>
      <c r="S132">
        <v>95.1</v>
      </c>
      <c r="T132">
        <v>61.53846154</v>
      </c>
      <c r="U132">
        <v>29.896907219999999</v>
      </c>
      <c r="V132">
        <v>6</v>
      </c>
      <c r="W132">
        <v>10</v>
      </c>
      <c r="X132">
        <v>8</v>
      </c>
      <c r="Y132">
        <v>2</v>
      </c>
      <c r="Z132">
        <v>33.333333330000002</v>
      </c>
      <c r="AA132" t="s">
        <v>66</v>
      </c>
      <c r="AB132" t="s">
        <v>66</v>
      </c>
      <c r="AC132" t="s">
        <v>66</v>
      </c>
      <c r="AD132" t="s">
        <v>66</v>
      </c>
      <c r="AE132">
        <v>39</v>
      </c>
      <c r="AF132">
        <v>66</v>
      </c>
      <c r="AG132" t="s">
        <v>66</v>
      </c>
      <c r="AH132">
        <v>27</v>
      </c>
      <c r="AI132">
        <v>34</v>
      </c>
      <c r="AJ132" t="s">
        <v>66</v>
      </c>
      <c r="AK132">
        <v>16</v>
      </c>
      <c r="AL132">
        <v>18</v>
      </c>
      <c r="AM132">
        <v>21.5</v>
      </c>
      <c r="AN132">
        <v>26</v>
      </c>
      <c r="AO132">
        <v>20.93023256</v>
      </c>
      <c r="AP132">
        <v>69.230769230000007</v>
      </c>
      <c r="AQ132">
        <v>1.8139534879999999</v>
      </c>
      <c r="AR132">
        <v>2.538461538</v>
      </c>
      <c r="AS132">
        <v>0.72450804999999996</v>
      </c>
      <c r="AT132">
        <v>0</v>
      </c>
      <c r="AU132" t="s">
        <v>66</v>
      </c>
      <c r="AV132">
        <v>2</v>
      </c>
      <c r="AW132">
        <v>3</v>
      </c>
      <c r="AX132">
        <v>0</v>
      </c>
      <c r="AY132">
        <v>1</v>
      </c>
      <c r="AZ132">
        <v>1</v>
      </c>
      <c r="BA132">
        <v>1</v>
      </c>
      <c r="BB132" t="s">
        <v>66</v>
      </c>
      <c r="BC132">
        <v>32.299999999999997</v>
      </c>
      <c r="BD132">
        <v>57.3</v>
      </c>
      <c r="BE132">
        <v>77.399380800000003</v>
      </c>
      <c r="BF132">
        <v>0</v>
      </c>
      <c r="BG132">
        <v>40.11</v>
      </c>
      <c r="BH132">
        <v>24.179566560000001</v>
      </c>
      <c r="BI132">
        <v>146</v>
      </c>
      <c r="BJ132">
        <v>9.6</v>
      </c>
      <c r="BK132">
        <v>2</v>
      </c>
      <c r="BL132">
        <f>146-83</f>
        <v>63</v>
      </c>
      <c r="BM132">
        <v>16</v>
      </c>
      <c r="BN132">
        <v>14</v>
      </c>
      <c r="BO132">
        <f t="shared" si="22"/>
        <v>15</v>
      </c>
      <c r="BP132">
        <v>4</v>
      </c>
      <c r="BQ132">
        <v>1</v>
      </c>
      <c r="BS132">
        <v>0</v>
      </c>
      <c r="BT132">
        <f t="shared" si="23"/>
        <v>46.575342465753423</v>
      </c>
      <c r="BU132">
        <f t="shared" si="24"/>
        <v>37.5</v>
      </c>
      <c r="BV132">
        <f t="shared" si="25"/>
        <v>38.095238095238095</v>
      </c>
      <c r="BW132">
        <f t="shared" si="26"/>
        <v>-43.333333333333336</v>
      </c>
    </row>
    <row r="133" spans="1:75" x14ac:dyDescent="0.2">
      <c r="A133" t="s">
        <v>127</v>
      </c>
      <c r="B133" t="s">
        <v>149</v>
      </c>
      <c r="C133" t="s">
        <v>106</v>
      </c>
      <c r="D133" t="s">
        <v>63</v>
      </c>
      <c r="E133" t="s">
        <v>79</v>
      </c>
      <c r="F133" t="s">
        <v>157</v>
      </c>
      <c r="G133">
        <v>2.95</v>
      </c>
      <c r="H133">
        <v>10.5</v>
      </c>
      <c r="I133">
        <v>2.2999999999999998</v>
      </c>
      <c r="J133">
        <v>1.05</v>
      </c>
      <c r="K133">
        <v>16.8</v>
      </c>
      <c r="L133">
        <v>4.3389830509999996</v>
      </c>
      <c r="M133">
        <v>70</v>
      </c>
      <c r="N133">
        <v>83</v>
      </c>
      <c r="O133">
        <v>13</v>
      </c>
      <c r="P133">
        <v>91</v>
      </c>
      <c r="Q133">
        <v>21</v>
      </c>
      <c r="R133">
        <v>10.5</v>
      </c>
      <c r="S133">
        <v>68.099999999999994</v>
      </c>
      <c r="T133">
        <v>30</v>
      </c>
      <c r="U133">
        <v>9.6385542169999994</v>
      </c>
      <c r="V133">
        <v>5</v>
      </c>
      <c r="W133">
        <v>6</v>
      </c>
      <c r="X133">
        <v>6</v>
      </c>
      <c r="Y133">
        <v>1</v>
      </c>
      <c r="Z133">
        <v>20</v>
      </c>
      <c r="AA133" t="s">
        <v>66</v>
      </c>
      <c r="AB133" t="s">
        <v>66</v>
      </c>
      <c r="AC133" t="s">
        <v>66</v>
      </c>
      <c r="AD133" t="s">
        <v>66</v>
      </c>
      <c r="AE133">
        <v>53</v>
      </c>
      <c r="AF133">
        <v>49</v>
      </c>
      <c r="AG133" t="s">
        <v>66</v>
      </c>
      <c r="AH133">
        <v>18</v>
      </c>
      <c r="AI133">
        <v>22</v>
      </c>
      <c r="AJ133" t="s">
        <v>66</v>
      </c>
      <c r="AK133">
        <v>14</v>
      </c>
      <c r="AL133">
        <v>14</v>
      </c>
      <c r="AM133">
        <v>16</v>
      </c>
      <c r="AN133">
        <v>18</v>
      </c>
      <c r="AO133">
        <v>12.5</v>
      </c>
      <c r="AP133">
        <v>-7.5471698109999998</v>
      </c>
      <c r="AQ133">
        <v>3.3125</v>
      </c>
      <c r="AR133">
        <v>2.7222222220000001</v>
      </c>
      <c r="AS133">
        <v>-0.59027777800000003</v>
      </c>
      <c r="AT133">
        <v>0</v>
      </c>
      <c r="AU133" t="s">
        <v>66</v>
      </c>
      <c r="AV133">
        <v>0</v>
      </c>
      <c r="AW133">
        <v>4</v>
      </c>
      <c r="AX133">
        <v>0</v>
      </c>
      <c r="AY133">
        <v>1</v>
      </c>
      <c r="AZ133">
        <v>1</v>
      </c>
      <c r="BA133">
        <v>1</v>
      </c>
      <c r="BB133" t="s">
        <v>66</v>
      </c>
      <c r="BC133">
        <v>34.4</v>
      </c>
      <c r="BD133">
        <v>52.1</v>
      </c>
      <c r="BE133">
        <v>51.453488370000002</v>
      </c>
      <c r="BF133">
        <v>0</v>
      </c>
      <c r="BG133">
        <v>36.47</v>
      </c>
      <c r="BH133">
        <v>6.0174418599999999</v>
      </c>
      <c r="BI133">
        <v>81</v>
      </c>
      <c r="BJ133">
        <v>5.5</v>
      </c>
      <c r="BK133" t="s">
        <v>66</v>
      </c>
      <c r="BL133">
        <f>81-45</f>
        <v>36</v>
      </c>
      <c r="BM133">
        <v>19</v>
      </c>
      <c r="BN133">
        <v>10</v>
      </c>
      <c r="BO133">
        <f t="shared" si="22"/>
        <v>14.5</v>
      </c>
      <c r="BP133">
        <v>2</v>
      </c>
      <c r="BQ133">
        <v>1</v>
      </c>
      <c r="BS133">
        <v>0</v>
      </c>
      <c r="BT133">
        <f t="shared" si="23"/>
        <v>13.580246913580247</v>
      </c>
      <c r="BU133">
        <f t="shared" si="24"/>
        <v>9.0909090909090917</v>
      </c>
      <c r="BV133">
        <f t="shared" si="25"/>
        <v>-47.222222222222221</v>
      </c>
      <c r="BW133">
        <f t="shared" si="26"/>
        <v>-10.344827586206897</v>
      </c>
    </row>
    <row r="134" spans="1:75" x14ac:dyDescent="0.2">
      <c r="A134" t="s">
        <v>127</v>
      </c>
      <c r="B134" t="s">
        <v>149</v>
      </c>
      <c r="C134" t="s">
        <v>106</v>
      </c>
      <c r="D134" t="s">
        <v>63</v>
      </c>
      <c r="E134" t="s">
        <v>81</v>
      </c>
      <c r="F134" t="s">
        <v>158</v>
      </c>
      <c r="G134">
        <v>2.95</v>
      </c>
      <c r="H134">
        <v>10.5</v>
      </c>
      <c r="I134">
        <v>2.2999999999999998</v>
      </c>
      <c r="J134">
        <v>1.05</v>
      </c>
      <c r="K134">
        <v>16.8</v>
      </c>
      <c r="L134">
        <v>4.3389830509999996</v>
      </c>
      <c r="M134">
        <v>48</v>
      </c>
      <c r="N134">
        <v>49</v>
      </c>
      <c r="O134">
        <v>1</v>
      </c>
      <c r="P134">
        <v>50</v>
      </c>
      <c r="Q134">
        <v>2</v>
      </c>
      <c r="R134">
        <v>1</v>
      </c>
      <c r="S134">
        <v>49.1</v>
      </c>
      <c r="T134">
        <v>4.1666666670000003</v>
      </c>
      <c r="U134">
        <v>2.0408163269999999</v>
      </c>
      <c r="V134">
        <v>5</v>
      </c>
      <c r="W134">
        <v>5</v>
      </c>
      <c r="X134">
        <v>7</v>
      </c>
      <c r="Y134">
        <v>2</v>
      </c>
      <c r="Z134">
        <v>40</v>
      </c>
      <c r="AA134" t="s">
        <v>66</v>
      </c>
      <c r="AB134" t="s">
        <v>66</v>
      </c>
      <c r="AC134" t="s">
        <v>66</v>
      </c>
      <c r="AD134" t="s">
        <v>66</v>
      </c>
      <c r="AE134">
        <v>30</v>
      </c>
      <c r="AF134">
        <v>26</v>
      </c>
      <c r="AG134" t="s">
        <v>66</v>
      </c>
      <c r="AH134">
        <v>20</v>
      </c>
      <c r="AI134">
        <v>23</v>
      </c>
      <c r="AJ134" t="s">
        <v>66</v>
      </c>
      <c r="AK134">
        <v>11</v>
      </c>
      <c r="AL134">
        <v>15</v>
      </c>
      <c r="AM134">
        <v>15.5</v>
      </c>
      <c r="AN134">
        <v>19</v>
      </c>
      <c r="AO134">
        <v>22.58064516</v>
      </c>
      <c r="AP134">
        <v>-13.33333333</v>
      </c>
      <c r="AQ134">
        <v>1.935483871</v>
      </c>
      <c r="AR134">
        <v>1.3684210530000001</v>
      </c>
      <c r="AS134">
        <v>-0.56706281800000002</v>
      </c>
      <c r="AT134">
        <v>0</v>
      </c>
      <c r="AU134" t="s">
        <v>66</v>
      </c>
      <c r="AV134">
        <v>1</v>
      </c>
      <c r="AW134">
        <v>4</v>
      </c>
      <c r="AX134">
        <v>0</v>
      </c>
      <c r="AY134">
        <v>1</v>
      </c>
      <c r="AZ134">
        <v>1</v>
      </c>
      <c r="BA134">
        <v>1</v>
      </c>
      <c r="BB134" t="s">
        <v>66</v>
      </c>
      <c r="BC134">
        <v>31.7</v>
      </c>
      <c r="BD134">
        <v>48.4</v>
      </c>
      <c r="BE134">
        <v>52.681388009999999</v>
      </c>
      <c r="BF134">
        <v>0</v>
      </c>
      <c r="BG134">
        <v>33.880000000000003</v>
      </c>
      <c r="BH134">
        <v>6.8769716089999999</v>
      </c>
      <c r="BI134">
        <v>49</v>
      </c>
      <c r="BJ134">
        <v>4.0999999999999996</v>
      </c>
      <c r="BK134" t="s">
        <v>66</v>
      </c>
      <c r="BL134">
        <v>42</v>
      </c>
      <c r="BM134">
        <v>12</v>
      </c>
      <c r="BN134">
        <v>5</v>
      </c>
      <c r="BO134">
        <f t="shared" si="22"/>
        <v>8.5</v>
      </c>
      <c r="BP134">
        <v>4</v>
      </c>
      <c r="BQ134">
        <v>1</v>
      </c>
      <c r="BS134">
        <v>0</v>
      </c>
      <c r="BT134">
        <f t="shared" si="23"/>
        <v>2.0408163265306123</v>
      </c>
      <c r="BU134">
        <f t="shared" si="24"/>
        <v>-21.951219512195134</v>
      </c>
      <c r="BV134">
        <f t="shared" si="25"/>
        <v>28.571428571428569</v>
      </c>
      <c r="BW134">
        <f t="shared" si="26"/>
        <v>-82.35294117647058</v>
      </c>
    </row>
    <row r="135" spans="1:75" x14ac:dyDescent="0.2">
      <c r="A135" t="s">
        <v>127</v>
      </c>
      <c r="B135" t="s">
        <v>149</v>
      </c>
      <c r="C135" t="s">
        <v>106</v>
      </c>
      <c r="D135" t="s">
        <v>63</v>
      </c>
      <c r="E135" t="s">
        <v>85</v>
      </c>
      <c r="F135" t="s">
        <v>160</v>
      </c>
      <c r="G135">
        <v>2.95</v>
      </c>
      <c r="H135">
        <v>10.5</v>
      </c>
      <c r="I135">
        <v>2.2999999999999998</v>
      </c>
      <c r="J135">
        <v>1.05</v>
      </c>
      <c r="K135">
        <v>16.8</v>
      </c>
      <c r="L135">
        <v>4.3389830509999996</v>
      </c>
      <c r="M135">
        <v>120</v>
      </c>
      <c r="N135">
        <v>135</v>
      </c>
      <c r="O135">
        <v>15</v>
      </c>
      <c r="P135">
        <v>134</v>
      </c>
      <c r="Q135">
        <v>14</v>
      </c>
      <c r="R135">
        <v>7</v>
      </c>
      <c r="S135">
        <v>61.1</v>
      </c>
      <c r="T135">
        <v>11.66666667</v>
      </c>
      <c r="U135">
        <v>-0.74074074099999998</v>
      </c>
      <c r="V135">
        <v>10</v>
      </c>
      <c r="W135">
        <v>15</v>
      </c>
      <c r="X135">
        <v>14</v>
      </c>
      <c r="Y135">
        <v>4</v>
      </c>
      <c r="Z135">
        <v>40</v>
      </c>
      <c r="AA135" t="s">
        <v>66</v>
      </c>
      <c r="AB135" t="s">
        <v>66</v>
      </c>
      <c r="AC135" t="s">
        <v>66</v>
      </c>
      <c r="AD135" t="s">
        <v>66</v>
      </c>
      <c r="AE135">
        <v>100</v>
      </c>
      <c r="AF135">
        <v>74</v>
      </c>
      <c r="AG135" t="s">
        <v>66</v>
      </c>
      <c r="AH135">
        <v>73</v>
      </c>
      <c r="AI135">
        <v>56</v>
      </c>
      <c r="AJ135" t="s">
        <v>66</v>
      </c>
      <c r="AK135">
        <v>24</v>
      </c>
      <c r="AL135">
        <v>23</v>
      </c>
      <c r="AM135">
        <v>48.5</v>
      </c>
      <c r="AN135">
        <v>39.5</v>
      </c>
      <c r="AO135">
        <v>-18.556701029999999</v>
      </c>
      <c r="AP135">
        <v>-26</v>
      </c>
      <c r="AQ135">
        <v>2.0618556699999999</v>
      </c>
      <c r="AR135">
        <v>1.8734177219999999</v>
      </c>
      <c r="AS135">
        <v>-0.18843794799999999</v>
      </c>
      <c r="AT135">
        <v>0</v>
      </c>
      <c r="AU135" t="s">
        <v>66</v>
      </c>
      <c r="AV135">
        <v>1</v>
      </c>
      <c r="AW135">
        <v>4</v>
      </c>
      <c r="AX135">
        <v>0</v>
      </c>
      <c r="AY135">
        <v>1</v>
      </c>
      <c r="AZ135">
        <v>1</v>
      </c>
      <c r="BA135">
        <v>1</v>
      </c>
      <c r="BB135" t="s">
        <v>66</v>
      </c>
      <c r="BC135">
        <v>27.6</v>
      </c>
      <c r="BD135">
        <v>44.9</v>
      </c>
      <c r="BE135">
        <v>62.68115942</v>
      </c>
      <c r="BF135">
        <v>0</v>
      </c>
      <c r="BG135">
        <v>31.43</v>
      </c>
      <c r="BH135">
        <v>13.876811590000001</v>
      </c>
      <c r="BI135">
        <v>137</v>
      </c>
      <c r="BJ135">
        <v>13</v>
      </c>
      <c r="BK135" t="s">
        <v>66</v>
      </c>
      <c r="BL135">
        <f>137-71</f>
        <v>66</v>
      </c>
      <c r="BM135">
        <v>52</v>
      </c>
      <c r="BN135">
        <v>23</v>
      </c>
      <c r="BO135">
        <f t="shared" si="22"/>
        <v>37.5</v>
      </c>
      <c r="BP135">
        <v>3</v>
      </c>
      <c r="BQ135">
        <v>1</v>
      </c>
      <c r="BS135">
        <v>0</v>
      </c>
      <c r="BT135">
        <f t="shared" si="23"/>
        <v>12.408759124087592</v>
      </c>
      <c r="BU135">
        <f t="shared" si="24"/>
        <v>23.076923076923077</v>
      </c>
      <c r="BV135">
        <f t="shared" si="25"/>
        <v>-51.515151515151516</v>
      </c>
      <c r="BW135">
        <f t="shared" si="26"/>
        <v>-29.333333333333332</v>
      </c>
    </row>
    <row r="136" spans="1:75" x14ac:dyDescent="0.2">
      <c r="A136" t="s">
        <v>127</v>
      </c>
      <c r="B136" t="s">
        <v>149</v>
      </c>
      <c r="C136" t="s">
        <v>106</v>
      </c>
      <c r="D136" t="s">
        <v>63</v>
      </c>
      <c r="E136" t="s">
        <v>87</v>
      </c>
      <c r="F136" t="s">
        <v>161</v>
      </c>
      <c r="G136">
        <v>2.95</v>
      </c>
      <c r="H136">
        <v>10.5</v>
      </c>
      <c r="I136">
        <v>2.2999999999999998</v>
      </c>
      <c r="J136">
        <v>1.05</v>
      </c>
      <c r="K136">
        <v>16.8</v>
      </c>
      <c r="L136">
        <v>4.3389830509999996</v>
      </c>
      <c r="M136">
        <v>46</v>
      </c>
      <c r="N136">
        <v>50</v>
      </c>
      <c r="O136">
        <v>4</v>
      </c>
      <c r="P136">
        <v>45</v>
      </c>
      <c r="Q136">
        <v>-1</v>
      </c>
      <c r="R136">
        <v>-0.5</v>
      </c>
      <c r="S136">
        <v>46.1</v>
      </c>
      <c r="T136">
        <v>-2.1739130430000002</v>
      </c>
      <c r="U136">
        <v>-10</v>
      </c>
      <c r="V136">
        <v>16</v>
      </c>
      <c r="W136">
        <v>5</v>
      </c>
      <c r="X136">
        <v>7</v>
      </c>
      <c r="Y136">
        <v>-9</v>
      </c>
      <c r="Z136">
        <v>-56.25</v>
      </c>
      <c r="AA136" t="s">
        <v>66</v>
      </c>
      <c r="AB136" t="s">
        <v>66</v>
      </c>
      <c r="AC136" t="s">
        <v>66</v>
      </c>
      <c r="AD136" t="s">
        <v>66</v>
      </c>
      <c r="AE136">
        <v>29</v>
      </c>
      <c r="AF136">
        <v>14</v>
      </c>
      <c r="AG136" t="s">
        <v>66</v>
      </c>
      <c r="AH136">
        <v>13</v>
      </c>
      <c r="AI136">
        <v>15</v>
      </c>
      <c r="AJ136" t="s">
        <v>66</v>
      </c>
      <c r="AK136">
        <v>10</v>
      </c>
      <c r="AL136">
        <v>10</v>
      </c>
      <c r="AM136">
        <v>11.5</v>
      </c>
      <c r="AN136">
        <v>12.5</v>
      </c>
      <c r="AO136">
        <v>8.6956521739999992</v>
      </c>
      <c r="AP136">
        <v>-51.724137929999998</v>
      </c>
      <c r="AQ136">
        <v>2.5217391299999998</v>
      </c>
      <c r="AR136">
        <v>1.1200000000000001</v>
      </c>
      <c r="AS136">
        <v>-1.4017391299999999</v>
      </c>
      <c r="AT136">
        <v>0</v>
      </c>
      <c r="AU136" t="s">
        <v>66</v>
      </c>
      <c r="AV136">
        <v>1</v>
      </c>
      <c r="AW136">
        <v>4</v>
      </c>
      <c r="AX136">
        <v>0</v>
      </c>
      <c r="AY136">
        <v>1</v>
      </c>
      <c r="AZ136">
        <v>1</v>
      </c>
      <c r="BA136">
        <v>1</v>
      </c>
      <c r="BB136" t="s">
        <v>66</v>
      </c>
      <c r="BC136">
        <v>28.2</v>
      </c>
      <c r="BD136">
        <v>64</v>
      </c>
      <c r="BE136">
        <v>126.9503546</v>
      </c>
      <c r="BF136">
        <v>0</v>
      </c>
      <c r="BG136">
        <v>44.8</v>
      </c>
      <c r="BH136">
        <v>58.865248229999999</v>
      </c>
      <c r="BI136">
        <v>49</v>
      </c>
      <c r="BJ136">
        <v>5.8</v>
      </c>
      <c r="BK136" t="s">
        <v>66</v>
      </c>
      <c r="BL136">
        <v>10</v>
      </c>
      <c r="BM136">
        <v>12</v>
      </c>
      <c r="BN136">
        <v>11</v>
      </c>
      <c r="BO136">
        <f t="shared" si="22"/>
        <v>11.5</v>
      </c>
      <c r="BP136">
        <v>3</v>
      </c>
      <c r="BQ136">
        <v>1</v>
      </c>
      <c r="BS136">
        <v>0</v>
      </c>
      <c r="BT136">
        <f t="shared" si="23"/>
        <v>6.1224489795918364</v>
      </c>
      <c r="BU136">
        <f t="shared" si="24"/>
        <v>-175.86206896551724</v>
      </c>
      <c r="BV136">
        <f t="shared" si="25"/>
        <v>-190</v>
      </c>
      <c r="BW136">
        <f t="shared" si="26"/>
        <v>0</v>
      </c>
    </row>
    <row r="137" spans="1:75" x14ac:dyDescent="0.2">
      <c r="A137" t="s">
        <v>127</v>
      </c>
      <c r="B137" t="s">
        <v>149</v>
      </c>
      <c r="C137" t="s">
        <v>106</v>
      </c>
      <c r="D137" t="s">
        <v>63</v>
      </c>
      <c r="E137" t="s">
        <v>89</v>
      </c>
      <c r="F137" t="s">
        <v>162</v>
      </c>
      <c r="G137">
        <v>2.95</v>
      </c>
      <c r="H137">
        <v>10.5</v>
      </c>
      <c r="I137">
        <v>2.2999999999999998</v>
      </c>
      <c r="J137">
        <v>1.05</v>
      </c>
      <c r="K137">
        <v>16.8</v>
      </c>
      <c r="L137">
        <v>4.3389830509999996</v>
      </c>
      <c r="M137">
        <v>90</v>
      </c>
      <c r="N137">
        <v>95</v>
      </c>
      <c r="O137">
        <v>5</v>
      </c>
      <c r="P137">
        <v>80</v>
      </c>
      <c r="Q137">
        <v>-10</v>
      </c>
      <c r="R137">
        <v>-5</v>
      </c>
      <c r="S137">
        <v>37.1</v>
      </c>
      <c r="T137">
        <v>-11.11111111</v>
      </c>
      <c r="U137">
        <v>-15.78947368</v>
      </c>
      <c r="V137">
        <v>6</v>
      </c>
      <c r="W137">
        <v>6</v>
      </c>
      <c r="X137">
        <v>7</v>
      </c>
      <c r="Y137">
        <v>1</v>
      </c>
      <c r="Z137">
        <v>16.666666670000001</v>
      </c>
      <c r="AA137" t="s">
        <v>66</v>
      </c>
      <c r="AB137" t="s">
        <v>66</v>
      </c>
      <c r="AC137" t="s">
        <v>66</v>
      </c>
      <c r="AD137" t="s">
        <v>66</v>
      </c>
      <c r="AE137">
        <v>76</v>
      </c>
      <c r="AF137">
        <v>63</v>
      </c>
      <c r="AG137" t="s">
        <v>66</v>
      </c>
      <c r="AH137">
        <v>48</v>
      </c>
      <c r="AI137">
        <v>27</v>
      </c>
      <c r="AJ137" t="s">
        <v>66</v>
      </c>
      <c r="AK137">
        <v>29</v>
      </c>
      <c r="AL137">
        <v>11</v>
      </c>
      <c r="AM137">
        <v>38.5</v>
      </c>
      <c r="AN137">
        <v>19</v>
      </c>
      <c r="AO137">
        <v>-50.649350650000002</v>
      </c>
      <c r="AP137">
        <v>-17.10526316</v>
      </c>
      <c r="AQ137">
        <v>1.9740259739999999</v>
      </c>
      <c r="AR137">
        <v>3.3157894739999998</v>
      </c>
      <c r="AS137">
        <v>1.3417635000000001</v>
      </c>
      <c r="AT137">
        <v>0</v>
      </c>
      <c r="AU137" t="s">
        <v>66</v>
      </c>
      <c r="AV137">
        <v>1</v>
      </c>
      <c r="AW137">
        <v>4</v>
      </c>
      <c r="AX137">
        <v>0</v>
      </c>
      <c r="AY137">
        <v>1</v>
      </c>
      <c r="AZ137">
        <v>1</v>
      </c>
      <c r="BA137">
        <v>1</v>
      </c>
      <c r="BB137" t="s">
        <v>66</v>
      </c>
      <c r="BC137">
        <v>34.6</v>
      </c>
      <c r="BD137">
        <v>39</v>
      </c>
      <c r="BE137">
        <v>12.716763009999999</v>
      </c>
      <c r="BF137">
        <v>0</v>
      </c>
      <c r="BG137">
        <v>27.3</v>
      </c>
      <c r="BH137">
        <v>-21.098265900000001</v>
      </c>
      <c r="BI137">
        <v>18</v>
      </c>
      <c r="BJ137">
        <v>7.2</v>
      </c>
      <c r="BK137" t="s">
        <v>66</v>
      </c>
      <c r="BL137">
        <f>18-13</f>
        <v>5</v>
      </c>
      <c r="BM137">
        <v>12</v>
      </c>
      <c r="BN137">
        <v>8</v>
      </c>
      <c r="BO137">
        <f t="shared" si="22"/>
        <v>10</v>
      </c>
      <c r="BP137">
        <v>4</v>
      </c>
      <c r="BQ137">
        <v>1</v>
      </c>
      <c r="BS137">
        <v>0</v>
      </c>
      <c r="BT137">
        <f t="shared" si="23"/>
        <v>-400</v>
      </c>
      <c r="BU137">
        <f t="shared" si="24"/>
        <v>16.666666666666668</v>
      </c>
      <c r="BV137">
        <f t="shared" si="25"/>
        <v>-1420</v>
      </c>
      <c r="BW137">
        <f t="shared" si="26"/>
        <v>-285</v>
      </c>
    </row>
    <row r="138" spans="1:75" x14ac:dyDescent="0.2">
      <c r="A138" t="s">
        <v>127</v>
      </c>
      <c r="B138" t="s">
        <v>149</v>
      </c>
      <c r="C138" t="s">
        <v>106</v>
      </c>
      <c r="D138" t="s">
        <v>63</v>
      </c>
      <c r="E138" t="s">
        <v>91</v>
      </c>
      <c r="F138" t="s">
        <v>163</v>
      </c>
      <c r="G138">
        <v>2.95</v>
      </c>
      <c r="H138">
        <v>10.5</v>
      </c>
      <c r="I138">
        <v>2.2999999999999998</v>
      </c>
      <c r="J138">
        <v>1.05</v>
      </c>
      <c r="K138">
        <v>16.8</v>
      </c>
      <c r="L138">
        <v>4.3389830509999996</v>
      </c>
      <c r="M138">
        <v>130</v>
      </c>
      <c r="N138">
        <v>184</v>
      </c>
      <c r="O138">
        <v>54</v>
      </c>
      <c r="P138">
        <v>221</v>
      </c>
      <c r="Q138">
        <v>91</v>
      </c>
      <c r="R138">
        <v>45.5</v>
      </c>
      <c r="S138">
        <v>138.1</v>
      </c>
      <c r="T138">
        <v>70</v>
      </c>
      <c r="U138">
        <v>20.108695650000001</v>
      </c>
      <c r="V138">
        <v>9</v>
      </c>
      <c r="W138">
        <v>11</v>
      </c>
      <c r="X138">
        <v>12</v>
      </c>
      <c r="Y138">
        <v>3</v>
      </c>
      <c r="Z138">
        <v>33.333333330000002</v>
      </c>
      <c r="AA138" t="s">
        <v>66</v>
      </c>
      <c r="AB138">
        <v>3</v>
      </c>
      <c r="AC138">
        <v>5</v>
      </c>
      <c r="AD138" t="s">
        <v>66</v>
      </c>
      <c r="AE138">
        <v>116</v>
      </c>
      <c r="AF138">
        <v>88</v>
      </c>
      <c r="AG138" t="s">
        <v>66</v>
      </c>
      <c r="AH138">
        <v>48</v>
      </c>
      <c r="AI138">
        <v>52</v>
      </c>
      <c r="AJ138" t="s">
        <v>66</v>
      </c>
      <c r="AK138">
        <v>31</v>
      </c>
      <c r="AL138">
        <v>39</v>
      </c>
      <c r="AM138">
        <v>39.5</v>
      </c>
      <c r="AN138">
        <v>45.5</v>
      </c>
      <c r="AO138">
        <v>15.18987342</v>
      </c>
      <c r="AP138">
        <v>-24.137931030000001</v>
      </c>
      <c r="AQ138">
        <v>2.9367088610000001</v>
      </c>
      <c r="AR138">
        <v>1.9340659339999999</v>
      </c>
      <c r="AS138">
        <v>-1.0026429269999999</v>
      </c>
      <c r="AT138">
        <v>0</v>
      </c>
      <c r="AU138" t="s">
        <v>66</v>
      </c>
      <c r="AV138">
        <v>1</v>
      </c>
      <c r="AW138">
        <v>4</v>
      </c>
      <c r="AX138">
        <v>0</v>
      </c>
      <c r="AY138">
        <v>1</v>
      </c>
      <c r="AZ138">
        <v>1</v>
      </c>
      <c r="BA138">
        <v>1</v>
      </c>
      <c r="BB138" t="s">
        <v>66</v>
      </c>
      <c r="BC138">
        <v>33.799999999999997</v>
      </c>
      <c r="BD138">
        <v>61.9</v>
      </c>
      <c r="BE138">
        <v>83.136094670000006</v>
      </c>
      <c r="BF138">
        <v>0</v>
      </c>
      <c r="BG138">
        <v>43.33</v>
      </c>
      <c r="BH138">
        <v>28.195266270000001</v>
      </c>
      <c r="BI138">
        <v>238</v>
      </c>
      <c r="BJ138">
        <v>13</v>
      </c>
      <c r="BK138">
        <v>7.4</v>
      </c>
      <c r="BL138">
        <f>238-146</f>
        <v>92</v>
      </c>
      <c r="BM138">
        <v>52</v>
      </c>
      <c r="BN138">
        <v>24</v>
      </c>
      <c r="BO138">
        <f t="shared" si="22"/>
        <v>38</v>
      </c>
      <c r="BP138">
        <v>3</v>
      </c>
      <c r="BQ138">
        <v>1</v>
      </c>
      <c r="BS138">
        <v>0</v>
      </c>
      <c r="BT138">
        <f t="shared" si="23"/>
        <v>45.378151260504204</v>
      </c>
      <c r="BU138">
        <f t="shared" si="24"/>
        <v>30.76923076923077</v>
      </c>
      <c r="BV138">
        <f t="shared" si="25"/>
        <v>-26.086956521739129</v>
      </c>
      <c r="BW138">
        <f t="shared" si="26"/>
        <v>-3.9473684210526314</v>
      </c>
    </row>
    <row r="139" spans="1:75" x14ac:dyDescent="0.2">
      <c r="A139" t="s">
        <v>127</v>
      </c>
      <c r="B139" t="s">
        <v>149</v>
      </c>
      <c r="C139" t="s">
        <v>106</v>
      </c>
      <c r="D139" t="s">
        <v>63</v>
      </c>
      <c r="E139" t="s">
        <v>95</v>
      </c>
      <c r="F139" t="s">
        <v>165</v>
      </c>
      <c r="G139">
        <v>2.95</v>
      </c>
      <c r="H139">
        <v>10.5</v>
      </c>
      <c r="I139">
        <v>2.2999999999999998</v>
      </c>
      <c r="J139">
        <v>1.05</v>
      </c>
      <c r="K139">
        <v>16.8</v>
      </c>
      <c r="L139">
        <v>4.3389830509999996</v>
      </c>
      <c r="M139">
        <v>77</v>
      </c>
      <c r="N139">
        <v>81</v>
      </c>
      <c r="O139">
        <v>4</v>
      </c>
      <c r="P139">
        <v>79</v>
      </c>
      <c r="Q139">
        <v>2</v>
      </c>
      <c r="R139">
        <v>1</v>
      </c>
      <c r="S139">
        <v>49.1</v>
      </c>
      <c r="T139">
        <v>2.5974025969999999</v>
      </c>
      <c r="U139">
        <v>-2.4691358019999998</v>
      </c>
      <c r="V139">
        <v>5</v>
      </c>
      <c r="W139">
        <v>7</v>
      </c>
      <c r="X139">
        <v>7</v>
      </c>
      <c r="Y139">
        <v>2</v>
      </c>
      <c r="Z139">
        <v>40</v>
      </c>
      <c r="AA139" t="s">
        <v>66</v>
      </c>
      <c r="AB139" t="s">
        <v>66</v>
      </c>
      <c r="AC139" t="s">
        <v>66</v>
      </c>
      <c r="AD139" t="s">
        <v>66</v>
      </c>
      <c r="AE139">
        <v>61</v>
      </c>
      <c r="AF139">
        <v>51</v>
      </c>
      <c r="AG139" t="s">
        <v>66</v>
      </c>
      <c r="AH139">
        <v>15</v>
      </c>
      <c r="AI139">
        <v>15</v>
      </c>
      <c r="AJ139" t="s">
        <v>66</v>
      </c>
      <c r="AK139">
        <v>12</v>
      </c>
      <c r="AL139">
        <v>13</v>
      </c>
      <c r="AM139">
        <v>13.5</v>
      </c>
      <c r="AN139">
        <v>14</v>
      </c>
      <c r="AO139">
        <v>3.703703704</v>
      </c>
      <c r="AP139">
        <v>-16.393442619999998</v>
      </c>
      <c r="AQ139">
        <v>4.5185185189999997</v>
      </c>
      <c r="AR139">
        <v>3.6428571430000001</v>
      </c>
      <c r="AS139">
        <v>-0.87566137600000005</v>
      </c>
      <c r="AT139">
        <v>0</v>
      </c>
      <c r="AU139" t="s">
        <v>66</v>
      </c>
      <c r="AV139">
        <v>1</v>
      </c>
      <c r="AW139">
        <v>4</v>
      </c>
      <c r="AX139">
        <v>0</v>
      </c>
      <c r="AY139">
        <v>1</v>
      </c>
      <c r="AZ139">
        <v>1</v>
      </c>
      <c r="BA139">
        <v>1</v>
      </c>
      <c r="BB139" t="s">
        <v>66</v>
      </c>
      <c r="BC139">
        <v>31.8</v>
      </c>
      <c r="BD139">
        <v>51.1</v>
      </c>
      <c r="BE139">
        <v>60.691823900000003</v>
      </c>
      <c r="BF139">
        <v>0</v>
      </c>
      <c r="BG139">
        <v>35.770000000000003</v>
      </c>
      <c r="BH139">
        <v>12.484276729999999</v>
      </c>
      <c r="BI139">
        <v>81</v>
      </c>
      <c r="BJ139">
        <v>6.6</v>
      </c>
      <c r="BK139" t="s">
        <v>66</v>
      </c>
      <c r="BL139">
        <f>81-30</f>
        <v>51</v>
      </c>
      <c r="BM139">
        <v>13</v>
      </c>
      <c r="BN139">
        <v>9</v>
      </c>
      <c r="BO139">
        <f t="shared" si="22"/>
        <v>11</v>
      </c>
      <c r="BP139">
        <v>4</v>
      </c>
      <c r="BQ139">
        <v>1</v>
      </c>
      <c r="BS139">
        <v>0</v>
      </c>
      <c r="BT139">
        <f t="shared" si="23"/>
        <v>4.9382716049382713</v>
      </c>
      <c r="BU139">
        <f t="shared" si="24"/>
        <v>24.242424242424239</v>
      </c>
      <c r="BV139">
        <f t="shared" si="25"/>
        <v>-19.607843137254903</v>
      </c>
      <c r="BW139">
        <f t="shared" si="26"/>
        <v>-22.727272727272727</v>
      </c>
    </row>
    <row r="140" spans="1:75" x14ac:dyDescent="0.2">
      <c r="A140" t="s">
        <v>127</v>
      </c>
      <c r="B140" t="s">
        <v>149</v>
      </c>
      <c r="C140" t="s">
        <v>106</v>
      </c>
      <c r="D140" t="s">
        <v>63</v>
      </c>
      <c r="E140" t="s">
        <v>99</v>
      </c>
      <c r="F140" t="s">
        <v>167</v>
      </c>
      <c r="G140">
        <v>2.95</v>
      </c>
      <c r="H140">
        <v>10.5</v>
      </c>
      <c r="I140">
        <v>2.2999999999999998</v>
      </c>
      <c r="J140">
        <v>1.05</v>
      </c>
      <c r="K140">
        <v>16.8</v>
      </c>
      <c r="L140">
        <v>4.3389830509999996</v>
      </c>
      <c r="M140">
        <v>81</v>
      </c>
      <c r="N140">
        <v>86</v>
      </c>
      <c r="O140">
        <v>5</v>
      </c>
      <c r="P140">
        <v>78</v>
      </c>
      <c r="Q140">
        <v>-3</v>
      </c>
      <c r="R140">
        <v>-1.5</v>
      </c>
      <c r="S140">
        <v>44.1</v>
      </c>
      <c r="T140">
        <v>-3.703703704</v>
      </c>
      <c r="U140">
        <v>-9.3023255809999998</v>
      </c>
      <c r="V140">
        <v>5</v>
      </c>
      <c r="W140">
        <v>6</v>
      </c>
      <c r="X140">
        <v>6</v>
      </c>
      <c r="Y140">
        <v>1</v>
      </c>
      <c r="Z140">
        <v>20</v>
      </c>
      <c r="AA140" t="s">
        <v>66</v>
      </c>
      <c r="AB140" t="s">
        <v>66</v>
      </c>
      <c r="AC140" t="s">
        <v>66</v>
      </c>
      <c r="AD140" t="s">
        <v>66</v>
      </c>
      <c r="AE140">
        <v>43</v>
      </c>
      <c r="AF140">
        <v>35</v>
      </c>
      <c r="AG140" t="s">
        <v>66</v>
      </c>
      <c r="AH140">
        <v>22</v>
      </c>
      <c r="AI140">
        <v>21</v>
      </c>
      <c r="AJ140" t="s">
        <v>66</v>
      </c>
      <c r="AK140">
        <v>20</v>
      </c>
      <c r="AL140">
        <v>16</v>
      </c>
      <c r="AM140">
        <v>21</v>
      </c>
      <c r="AN140">
        <v>18.5</v>
      </c>
      <c r="AO140">
        <v>-11.9047619</v>
      </c>
      <c r="AP140">
        <v>-18.60465116</v>
      </c>
      <c r="AQ140">
        <v>2.0476190480000001</v>
      </c>
      <c r="AR140">
        <v>1.8918918920000001</v>
      </c>
      <c r="AS140">
        <v>-0.15572715600000001</v>
      </c>
      <c r="AT140">
        <v>0</v>
      </c>
      <c r="AU140" t="s">
        <v>66</v>
      </c>
      <c r="AV140">
        <v>4</v>
      </c>
      <c r="AW140">
        <v>4</v>
      </c>
      <c r="AX140">
        <v>0</v>
      </c>
      <c r="AY140">
        <v>1</v>
      </c>
      <c r="AZ140">
        <v>1</v>
      </c>
      <c r="BA140">
        <v>1</v>
      </c>
      <c r="BB140" t="s">
        <v>66</v>
      </c>
      <c r="BC140">
        <v>27.7</v>
      </c>
      <c r="BD140">
        <v>54.1</v>
      </c>
      <c r="BE140">
        <v>95.306859209999999</v>
      </c>
      <c r="BF140">
        <v>0</v>
      </c>
      <c r="BG140">
        <v>37.869999999999997</v>
      </c>
      <c r="BH140">
        <v>36.714801440000002</v>
      </c>
      <c r="BI140">
        <v>74</v>
      </c>
      <c r="BJ140">
        <v>5.8</v>
      </c>
      <c r="BK140" t="s">
        <v>66</v>
      </c>
      <c r="BL140">
        <v>69</v>
      </c>
      <c r="BM140">
        <v>26</v>
      </c>
      <c r="BN140">
        <v>12</v>
      </c>
      <c r="BO140">
        <f t="shared" si="22"/>
        <v>19</v>
      </c>
      <c r="BP140">
        <v>2</v>
      </c>
      <c r="BQ140">
        <v>1</v>
      </c>
      <c r="BS140">
        <v>0</v>
      </c>
      <c r="BT140">
        <f t="shared" si="23"/>
        <v>-9.4594594594594597</v>
      </c>
      <c r="BU140">
        <f t="shared" si="24"/>
        <v>13.793103448275859</v>
      </c>
      <c r="BV140">
        <f t="shared" si="25"/>
        <v>37.681159420289859</v>
      </c>
      <c r="BW140">
        <f t="shared" si="26"/>
        <v>-10.526315789473683</v>
      </c>
    </row>
    <row r="141" spans="1:75" x14ac:dyDescent="0.2">
      <c r="A141" t="s">
        <v>127</v>
      </c>
      <c r="B141" t="s">
        <v>149</v>
      </c>
      <c r="C141" t="s">
        <v>106</v>
      </c>
      <c r="D141" t="s">
        <v>63</v>
      </c>
      <c r="E141" t="s">
        <v>67</v>
      </c>
      <c r="F141" t="s">
        <v>151</v>
      </c>
      <c r="G141">
        <v>2.95</v>
      </c>
      <c r="H141">
        <v>10.5</v>
      </c>
      <c r="I141">
        <v>2.2999999999999998</v>
      </c>
      <c r="J141">
        <v>1.05</v>
      </c>
      <c r="K141">
        <v>16.8</v>
      </c>
      <c r="L141">
        <v>4.3389830509999996</v>
      </c>
      <c r="M141">
        <v>135</v>
      </c>
      <c r="N141">
        <v>177</v>
      </c>
      <c r="O141">
        <v>42</v>
      </c>
      <c r="P141">
        <v>196</v>
      </c>
      <c r="Q141">
        <v>61</v>
      </c>
      <c r="R141">
        <v>30.5</v>
      </c>
      <c r="S141">
        <v>108.1</v>
      </c>
      <c r="T141">
        <v>45.185185189999999</v>
      </c>
      <c r="U141">
        <v>10.73446328</v>
      </c>
      <c r="V141">
        <v>10</v>
      </c>
      <c r="W141">
        <v>6</v>
      </c>
      <c r="X141">
        <v>13</v>
      </c>
      <c r="Y141">
        <v>3</v>
      </c>
      <c r="Z141">
        <v>30</v>
      </c>
      <c r="AA141" t="s">
        <v>66</v>
      </c>
      <c r="AB141">
        <v>3</v>
      </c>
      <c r="AC141">
        <v>5</v>
      </c>
      <c r="AD141" t="s">
        <v>66</v>
      </c>
      <c r="AE141">
        <v>109</v>
      </c>
      <c r="AF141">
        <v>68</v>
      </c>
      <c r="AG141" t="s">
        <v>66</v>
      </c>
      <c r="AH141">
        <v>77</v>
      </c>
      <c r="AI141">
        <v>12</v>
      </c>
      <c r="AJ141" t="s">
        <v>66</v>
      </c>
      <c r="AK141">
        <v>48</v>
      </c>
      <c r="AL141">
        <v>10</v>
      </c>
      <c r="AM141">
        <v>62.5</v>
      </c>
      <c r="AN141">
        <v>11</v>
      </c>
      <c r="AO141">
        <v>-82.4</v>
      </c>
      <c r="AP141">
        <v>-37.614678900000001</v>
      </c>
      <c r="AQ141">
        <v>1.744</v>
      </c>
      <c r="AR141">
        <v>6.1818181819999998</v>
      </c>
      <c r="AS141">
        <v>4.437818182</v>
      </c>
      <c r="AT141">
        <v>0</v>
      </c>
      <c r="AU141" t="s">
        <v>66</v>
      </c>
      <c r="AV141">
        <v>4</v>
      </c>
      <c r="AW141">
        <v>4</v>
      </c>
      <c r="AX141">
        <v>1</v>
      </c>
      <c r="AY141">
        <v>1</v>
      </c>
      <c r="AZ141">
        <v>1</v>
      </c>
      <c r="BA141">
        <v>1</v>
      </c>
      <c r="BB141" t="s">
        <v>66</v>
      </c>
      <c r="BC141">
        <v>31.5</v>
      </c>
      <c r="BD141">
        <v>56</v>
      </c>
      <c r="BE141">
        <v>77.777777779999994</v>
      </c>
      <c r="BF141">
        <v>0</v>
      </c>
      <c r="BG141">
        <v>39.200000000000003</v>
      </c>
      <c r="BH141">
        <v>24.444444440000002</v>
      </c>
      <c r="BI141">
        <v>218</v>
      </c>
      <c r="BJ141">
        <v>13.8</v>
      </c>
      <c r="BK141">
        <v>5.7</v>
      </c>
      <c r="BL141">
        <f>218-153</f>
        <v>65</v>
      </c>
      <c r="BM141">
        <v>28</v>
      </c>
      <c r="BN141">
        <v>25</v>
      </c>
      <c r="BO141">
        <f t="shared" si="22"/>
        <v>26.5</v>
      </c>
      <c r="BP141">
        <v>3</v>
      </c>
      <c r="BQ141">
        <v>1</v>
      </c>
      <c r="BS141">
        <v>0</v>
      </c>
      <c r="BT141">
        <f t="shared" si="23"/>
        <v>38.073394495412842</v>
      </c>
      <c r="BU141">
        <f t="shared" si="24"/>
        <v>27.536231884057976</v>
      </c>
      <c r="BV141">
        <f t="shared" si="25"/>
        <v>-67.692307692307693</v>
      </c>
      <c r="BW141">
        <f t="shared" si="26"/>
        <v>-135.84905660377359</v>
      </c>
    </row>
    <row r="142" spans="1:75" x14ac:dyDescent="0.2">
      <c r="A142" t="s">
        <v>127</v>
      </c>
      <c r="B142" t="s">
        <v>149</v>
      </c>
      <c r="C142" t="s">
        <v>106</v>
      </c>
      <c r="D142" t="s">
        <v>63</v>
      </c>
      <c r="E142" t="s">
        <v>71</v>
      </c>
      <c r="F142" t="s">
        <v>153</v>
      </c>
      <c r="G142">
        <v>2.95</v>
      </c>
      <c r="H142">
        <v>10.5</v>
      </c>
      <c r="I142">
        <v>2.2999999999999998</v>
      </c>
      <c r="J142">
        <v>1.05</v>
      </c>
      <c r="K142">
        <v>16.8</v>
      </c>
      <c r="L142">
        <v>4.3389830509999996</v>
      </c>
      <c r="M142">
        <v>76</v>
      </c>
      <c r="N142">
        <v>95</v>
      </c>
      <c r="O142">
        <v>19</v>
      </c>
      <c r="P142">
        <v>131</v>
      </c>
      <c r="Q142">
        <v>55</v>
      </c>
      <c r="R142">
        <v>27.5</v>
      </c>
      <c r="S142">
        <v>102.1</v>
      </c>
      <c r="T142">
        <v>72.368421049999995</v>
      </c>
      <c r="U142">
        <v>37.89473684</v>
      </c>
      <c r="V142">
        <v>9</v>
      </c>
      <c r="W142">
        <v>10</v>
      </c>
      <c r="X142">
        <v>11</v>
      </c>
      <c r="Y142">
        <v>2</v>
      </c>
      <c r="Z142">
        <v>22.222222219999999</v>
      </c>
      <c r="AA142" t="s">
        <v>66</v>
      </c>
      <c r="AB142" t="s">
        <v>66</v>
      </c>
      <c r="AC142" t="s">
        <v>66</v>
      </c>
      <c r="AD142" t="s">
        <v>66</v>
      </c>
      <c r="AE142">
        <v>77</v>
      </c>
      <c r="AF142">
        <v>111</v>
      </c>
      <c r="AG142" t="s">
        <v>66</v>
      </c>
      <c r="AH142">
        <v>52</v>
      </c>
      <c r="AI142">
        <v>42</v>
      </c>
      <c r="AJ142" t="s">
        <v>66</v>
      </c>
      <c r="AK142">
        <v>24</v>
      </c>
      <c r="AL142">
        <v>27</v>
      </c>
      <c r="AM142">
        <v>38</v>
      </c>
      <c r="AN142">
        <v>34.5</v>
      </c>
      <c r="AO142">
        <v>-9.2105263159999993</v>
      </c>
      <c r="AP142">
        <v>44.155844160000001</v>
      </c>
      <c r="AQ142">
        <v>2.0263157889999999</v>
      </c>
      <c r="AR142">
        <v>3.217391304</v>
      </c>
      <c r="AS142">
        <v>1.1910755150000001</v>
      </c>
      <c r="AT142">
        <v>0</v>
      </c>
      <c r="AU142" t="s">
        <v>66</v>
      </c>
      <c r="AV142">
        <v>1</v>
      </c>
      <c r="AW142">
        <v>4</v>
      </c>
      <c r="AX142">
        <v>1</v>
      </c>
      <c r="AY142">
        <v>1</v>
      </c>
      <c r="AZ142">
        <v>1</v>
      </c>
      <c r="BA142">
        <v>1</v>
      </c>
      <c r="BB142" t="s">
        <v>66</v>
      </c>
      <c r="BC142">
        <v>28.3</v>
      </c>
      <c r="BD142">
        <v>45.6</v>
      </c>
      <c r="BE142">
        <v>61.130742050000002</v>
      </c>
      <c r="BF142">
        <v>0</v>
      </c>
      <c r="BG142">
        <v>31.92</v>
      </c>
      <c r="BH142">
        <v>12.791519429999999</v>
      </c>
      <c r="BI142">
        <v>164</v>
      </c>
      <c r="BJ142">
        <v>14.3</v>
      </c>
      <c r="BK142">
        <v>3.4</v>
      </c>
      <c r="BL142">
        <f>164-50</f>
        <v>114</v>
      </c>
      <c r="BM142">
        <v>54</v>
      </c>
      <c r="BN142">
        <v>30</v>
      </c>
      <c r="BO142">
        <f t="shared" si="22"/>
        <v>42</v>
      </c>
      <c r="BP142">
        <v>3</v>
      </c>
      <c r="BQ142">
        <v>1</v>
      </c>
      <c r="BS142">
        <v>0</v>
      </c>
      <c r="BT142">
        <f t="shared" si="23"/>
        <v>53.658536585365859</v>
      </c>
      <c r="BU142">
        <f t="shared" si="24"/>
        <v>37.062937062937067</v>
      </c>
      <c r="BV142">
        <f t="shared" si="25"/>
        <v>32.456140350877192</v>
      </c>
      <c r="BW142">
        <f t="shared" si="26"/>
        <v>9.5238095238095237</v>
      </c>
    </row>
    <row r="143" spans="1:75" x14ac:dyDescent="0.2">
      <c r="A143" t="s">
        <v>127</v>
      </c>
      <c r="B143" t="s">
        <v>149</v>
      </c>
      <c r="C143" t="s">
        <v>106</v>
      </c>
      <c r="D143" t="s">
        <v>63</v>
      </c>
      <c r="E143" t="s">
        <v>75</v>
      </c>
      <c r="F143" t="s">
        <v>155</v>
      </c>
      <c r="G143">
        <v>2.95</v>
      </c>
      <c r="H143">
        <v>10.5</v>
      </c>
      <c r="I143">
        <v>2.2999999999999998</v>
      </c>
      <c r="J143">
        <v>1.05</v>
      </c>
      <c r="K143">
        <v>16.8</v>
      </c>
      <c r="L143">
        <v>4.3389830509999996</v>
      </c>
      <c r="M143">
        <v>110</v>
      </c>
      <c r="N143">
        <v>156</v>
      </c>
      <c r="O143">
        <v>46</v>
      </c>
      <c r="P143">
        <v>182</v>
      </c>
      <c r="Q143">
        <v>72</v>
      </c>
      <c r="R143">
        <v>36</v>
      </c>
      <c r="S143">
        <v>119.1</v>
      </c>
      <c r="T143">
        <v>65.454545449999998</v>
      </c>
      <c r="U143">
        <v>16.666666670000001</v>
      </c>
      <c r="V143">
        <v>10</v>
      </c>
      <c r="W143">
        <v>13</v>
      </c>
      <c r="X143">
        <v>15</v>
      </c>
      <c r="Y143">
        <v>5</v>
      </c>
      <c r="Z143">
        <v>50</v>
      </c>
      <c r="AA143" t="s">
        <v>66</v>
      </c>
      <c r="AB143">
        <v>2</v>
      </c>
      <c r="AC143">
        <v>3</v>
      </c>
      <c r="AD143" t="s">
        <v>66</v>
      </c>
      <c r="AE143">
        <v>116</v>
      </c>
      <c r="AF143">
        <v>141</v>
      </c>
      <c r="AG143" t="s">
        <v>66</v>
      </c>
      <c r="AH143">
        <v>54</v>
      </c>
      <c r="AI143">
        <v>35</v>
      </c>
      <c r="AJ143" t="s">
        <v>66</v>
      </c>
      <c r="AK143">
        <v>41</v>
      </c>
      <c r="AL143">
        <v>26</v>
      </c>
      <c r="AM143">
        <v>47.5</v>
      </c>
      <c r="AN143">
        <v>30.5</v>
      </c>
      <c r="AO143">
        <v>-35.78947368</v>
      </c>
      <c r="AP143">
        <v>21.551724140000001</v>
      </c>
      <c r="AQ143">
        <v>2.4421052630000002</v>
      </c>
      <c r="AR143">
        <v>4.6229508199999998</v>
      </c>
      <c r="AS143">
        <v>2.180845557</v>
      </c>
      <c r="AT143">
        <v>0</v>
      </c>
      <c r="AU143" t="s">
        <v>66</v>
      </c>
      <c r="AV143">
        <v>1</v>
      </c>
      <c r="AW143">
        <v>4</v>
      </c>
      <c r="AX143">
        <v>1</v>
      </c>
      <c r="AY143">
        <v>1</v>
      </c>
      <c r="AZ143">
        <v>1</v>
      </c>
      <c r="BA143">
        <v>1</v>
      </c>
      <c r="BB143" t="s">
        <v>66</v>
      </c>
      <c r="BC143">
        <v>33.200000000000003</v>
      </c>
      <c r="BD143">
        <v>51.5</v>
      </c>
      <c r="BE143">
        <v>55.120481929999997</v>
      </c>
      <c r="BF143">
        <v>0</v>
      </c>
      <c r="BG143">
        <v>36.049999999999997</v>
      </c>
      <c r="BH143">
        <v>8.5843373490000001</v>
      </c>
      <c r="BI143">
        <v>247</v>
      </c>
      <c r="BJ143">
        <v>18.5</v>
      </c>
      <c r="BK143">
        <v>7.4</v>
      </c>
      <c r="BL143">
        <f>247-80</f>
        <v>167</v>
      </c>
      <c r="BM143">
        <v>64</v>
      </c>
      <c r="BN143">
        <v>40</v>
      </c>
      <c r="BO143">
        <f t="shared" si="22"/>
        <v>52</v>
      </c>
      <c r="BP143">
        <v>3</v>
      </c>
      <c r="BQ143">
        <v>1</v>
      </c>
      <c r="BS143">
        <v>0</v>
      </c>
      <c r="BT143">
        <f t="shared" si="23"/>
        <v>55.465587044534416</v>
      </c>
      <c r="BU143">
        <f t="shared" si="24"/>
        <v>45.945945945945951</v>
      </c>
      <c r="BV143">
        <f t="shared" si="25"/>
        <v>30.538922155688624</v>
      </c>
      <c r="BW143">
        <f t="shared" si="26"/>
        <v>8.6538461538461533</v>
      </c>
    </row>
    <row r="144" spans="1:75" x14ac:dyDescent="0.2">
      <c r="A144" t="s">
        <v>127</v>
      </c>
      <c r="B144" t="s">
        <v>149</v>
      </c>
      <c r="C144" t="s">
        <v>106</v>
      </c>
      <c r="D144" t="s">
        <v>63</v>
      </c>
      <c r="E144" t="s">
        <v>93</v>
      </c>
      <c r="F144" t="s">
        <v>164</v>
      </c>
      <c r="G144">
        <v>2.95</v>
      </c>
      <c r="H144">
        <v>10.5</v>
      </c>
      <c r="I144">
        <v>2.2999999999999998</v>
      </c>
      <c r="J144">
        <v>1.05</v>
      </c>
      <c r="K144">
        <v>16.8</v>
      </c>
      <c r="L144">
        <v>4.3389830509999996</v>
      </c>
      <c r="M144">
        <v>130</v>
      </c>
      <c r="N144">
        <v>141</v>
      </c>
      <c r="O144">
        <v>11</v>
      </c>
      <c r="P144">
        <v>156</v>
      </c>
      <c r="Q144">
        <v>26</v>
      </c>
      <c r="R144">
        <v>13</v>
      </c>
      <c r="S144">
        <v>73.099999999999994</v>
      </c>
      <c r="T144">
        <v>20</v>
      </c>
      <c r="U144">
        <v>10.638297870000001</v>
      </c>
      <c r="V144">
        <v>11</v>
      </c>
      <c r="W144">
        <v>14</v>
      </c>
      <c r="X144">
        <v>12</v>
      </c>
      <c r="Y144">
        <v>1</v>
      </c>
      <c r="Z144">
        <v>9.0909090910000003</v>
      </c>
      <c r="AA144" t="s">
        <v>66</v>
      </c>
      <c r="AB144" t="s">
        <v>66</v>
      </c>
      <c r="AC144">
        <v>2</v>
      </c>
      <c r="AD144" t="s">
        <v>66</v>
      </c>
      <c r="AE144">
        <v>89</v>
      </c>
      <c r="AF144">
        <v>77</v>
      </c>
      <c r="AG144" t="s">
        <v>66</v>
      </c>
      <c r="AH144">
        <v>60</v>
      </c>
      <c r="AI144">
        <v>25</v>
      </c>
      <c r="AJ144" t="s">
        <v>66</v>
      </c>
      <c r="AK144">
        <v>35</v>
      </c>
      <c r="AL144">
        <v>17</v>
      </c>
      <c r="AM144">
        <v>47.5</v>
      </c>
      <c r="AN144">
        <v>21</v>
      </c>
      <c r="AO144">
        <v>-55.78947368</v>
      </c>
      <c r="AP144">
        <v>-13.48314607</v>
      </c>
      <c r="AQ144">
        <v>1.873684211</v>
      </c>
      <c r="AR144">
        <v>3.6666666669999999</v>
      </c>
      <c r="AS144">
        <v>1.7929824560000001</v>
      </c>
      <c r="AT144">
        <v>0</v>
      </c>
      <c r="AU144" t="s">
        <v>66</v>
      </c>
      <c r="AV144">
        <v>1</v>
      </c>
      <c r="AW144">
        <v>4</v>
      </c>
      <c r="AX144">
        <v>1</v>
      </c>
      <c r="AY144">
        <v>1</v>
      </c>
      <c r="AZ144">
        <v>1</v>
      </c>
      <c r="BA144">
        <v>1</v>
      </c>
      <c r="BB144" t="s">
        <v>66</v>
      </c>
      <c r="BC144">
        <v>29.4</v>
      </c>
      <c r="BD144">
        <v>63.2</v>
      </c>
      <c r="BE144">
        <v>114.96598640000001</v>
      </c>
      <c r="BF144">
        <v>0</v>
      </c>
      <c r="BG144">
        <v>44.24</v>
      </c>
      <c r="BH144">
        <v>50.47619048</v>
      </c>
      <c r="BI144">
        <v>101</v>
      </c>
      <c r="BJ144">
        <v>13</v>
      </c>
      <c r="BK144" t="s">
        <v>66</v>
      </c>
      <c r="BL144">
        <v>61</v>
      </c>
      <c r="BM144">
        <v>28</v>
      </c>
      <c r="BN144">
        <v>27</v>
      </c>
      <c r="BO144">
        <f t="shared" si="22"/>
        <v>27.5</v>
      </c>
      <c r="BP144">
        <v>3</v>
      </c>
      <c r="BQ144">
        <v>1</v>
      </c>
      <c r="BS144">
        <v>0</v>
      </c>
      <c r="BT144">
        <f t="shared" si="23"/>
        <v>-28.71287128712871</v>
      </c>
      <c r="BU144">
        <f t="shared" si="24"/>
        <v>15.384615384615385</v>
      </c>
      <c r="BV144">
        <f t="shared" si="25"/>
        <v>-45.901639344262293</v>
      </c>
      <c r="BW144">
        <f t="shared" si="26"/>
        <v>-72.727272727272734</v>
      </c>
    </row>
    <row r="145" spans="1:75" x14ac:dyDescent="0.2">
      <c r="A145" t="s">
        <v>127</v>
      </c>
      <c r="B145" t="s">
        <v>149</v>
      </c>
      <c r="C145" t="s">
        <v>106</v>
      </c>
      <c r="D145" t="s">
        <v>63</v>
      </c>
      <c r="E145" t="s">
        <v>97</v>
      </c>
      <c r="F145" t="s">
        <v>166</v>
      </c>
      <c r="G145">
        <v>2.95</v>
      </c>
      <c r="H145">
        <v>10.5</v>
      </c>
      <c r="I145">
        <v>2.2999999999999998</v>
      </c>
      <c r="J145">
        <v>1.05</v>
      </c>
      <c r="K145">
        <v>16.8</v>
      </c>
      <c r="L145">
        <v>4.3389830509999996</v>
      </c>
      <c r="M145">
        <v>200</v>
      </c>
      <c r="N145">
        <v>245</v>
      </c>
      <c r="O145">
        <v>45</v>
      </c>
      <c r="P145">
        <v>277</v>
      </c>
      <c r="Q145">
        <v>77</v>
      </c>
      <c r="R145">
        <v>38.5</v>
      </c>
      <c r="S145">
        <v>124.1</v>
      </c>
      <c r="T145">
        <v>38.5</v>
      </c>
      <c r="U145">
        <v>13.061224490000001</v>
      </c>
      <c r="V145">
        <v>14</v>
      </c>
      <c r="W145">
        <v>17</v>
      </c>
      <c r="X145">
        <v>17</v>
      </c>
      <c r="Y145">
        <v>3</v>
      </c>
      <c r="Z145">
        <v>21.428571430000002</v>
      </c>
      <c r="AA145">
        <v>6</v>
      </c>
      <c r="AB145">
        <v>8</v>
      </c>
      <c r="AC145">
        <v>9</v>
      </c>
      <c r="AD145" t="s">
        <v>66</v>
      </c>
      <c r="AE145">
        <v>155</v>
      </c>
      <c r="AF145">
        <v>127</v>
      </c>
      <c r="AG145" t="s">
        <v>66</v>
      </c>
      <c r="AH145">
        <v>70</v>
      </c>
      <c r="AI145">
        <v>44</v>
      </c>
      <c r="AJ145" t="s">
        <v>66</v>
      </c>
      <c r="AK145">
        <v>32</v>
      </c>
      <c r="AL145">
        <v>44</v>
      </c>
      <c r="AM145">
        <v>51</v>
      </c>
      <c r="AN145">
        <v>44</v>
      </c>
      <c r="AO145">
        <v>-13.725490199999999</v>
      </c>
      <c r="AP145">
        <v>-18.064516130000001</v>
      </c>
      <c r="AQ145">
        <v>3.0392156859999999</v>
      </c>
      <c r="AR145">
        <v>2.886363636</v>
      </c>
      <c r="AS145">
        <v>-0.15285204999999999</v>
      </c>
      <c r="AT145">
        <v>0</v>
      </c>
      <c r="AU145" t="s">
        <v>66</v>
      </c>
      <c r="AV145">
        <v>2</v>
      </c>
      <c r="AW145">
        <v>4</v>
      </c>
      <c r="AX145">
        <v>1</v>
      </c>
      <c r="AY145">
        <v>1</v>
      </c>
      <c r="AZ145">
        <v>1</v>
      </c>
      <c r="BA145">
        <v>1</v>
      </c>
      <c r="BB145" t="s">
        <v>66</v>
      </c>
      <c r="BC145">
        <v>37.5</v>
      </c>
      <c r="BD145">
        <v>64.5</v>
      </c>
      <c r="BE145">
        <v>72</v>
      </c>
      <c r="BF145">
        <v>0</v>
      </c>
      <c r="BG145">
        <v>45.15</v>
      </c>
      <c r="BH145">
        <v>20.399999999999999</v>
      </c>
      <c r="BI145">
        <v>274</v>
      </c>
      <c r="BJ145">
        <v>18.399999999999999</v>
      </c>
      <c r="BK145">
        <v>9.6</v>
      </c>
      <c r="BL145">
        <f>274-190</f>
        <v>84</v>
      </c>
      <c r="BM145">
        <v>52</v>
      </c>
      <c r="BN145">
        <v>45</v>
      </c>
      <c r="BO145">
        <f t="shared" si="22"/>
        <v>48.5</v>
      </c>
      <c r="BP145">
        <v>4</v>
      </c>
      <c r="BQ145">
        <v>1</v>
      </c>
      <c r="BS145">
        <v>0</v>
      </c>
      <c r="BT145">
        <f t="shared" si="23"/>
        <v>27.007299270072991</v>
      </c>
      <c r="BU145">
        <f t="shared" si="24"/>
        <v>23.913043478260864</v>
      </c>
      <c r="BV145">
        <f t="shared" si="25"/>
        <v>-84.523809523809518</v>
      </c>
      <c r="BW145">
        <f t="shared" si="26"/>
        <v>-5.1546391752577314</v>
      </c>
    </row>
    <row r="146" spans="1:75" x14ac:dyDescent="0.2">
      <c r="A146" t="s">
        <v>127</v>
      </c>
      <c r="B146" t="s">
        <v>149</v>
      </c>
      <c r="C146" t="s">
        <v>106</v>
      </c>
      <c r="D146" t="s">
        <v>63</v>
      </c>
      <c r="E146" t="s">
        <v>101</v>
      </c>
      <c r="F146" t="s">
        <v>168</v>
      </c>
      <c r="G146">
        <v>2.95</v>
      </c>
      <c r="H146">
        <v>10.5</v>
      </c>
      <c r="I146">
        <v>2.2999999999999998</v>
      </c>
      <c r="J146">
        <v>1.05</v>
      </c>
      <c r="K146">
        <v>16.8</v>
      </c>
      <c r="L146">
        <v>4.3389830509999996</v>
      </c>
      <c r="M146">
        <v>162</v>
      </c>
      <c r="N146">
        <v>235</v>
      </c>
      <c r="O146">
        <v>73</v>
      </c>
      <c r="P146">
        <v>279</v>
      </c>
      <c r="Q146">
        <v>117</v>
      </c>
      <c r="R146">
        <v>58.5</v>
      </c>
      <c r="S146">
        <v>164.1</v>
      </c>
      <c r="T146">
        <v>72.222222220000006</v>
      </c>
      <c r="U146">
        <v>18.723404259999999</v>
      </c>
      <c r="V146">
        <v>12</v>
      </c>
      <c r="W146">
        <v>16</v>
      </c>
      <c r="X146">
        <v>17</v>
      </c>
      <c r="Y146">
        <v>5</v>
      </c>
      <c r="Z146">
        <v>41.666666669999998</v>
      </c>
      <c r="AA146">
        <v>5</v>
      </c>
      <c r="AB146">
        <v>8</v>
      </c>
      <c r="AC146">
        <v>10</v>
      </c>
      <c r="AD146" t="s">
        <v>66</v>
      </c>
      <c r="AE146">
        <v>199</v>
      </c>
      <c r="AF146">
        <v>179</v>
      </c>
      <c r="AG146" t="s">
        <v>66</v>
      </c>
      <c r="AH146">
        <v>82</v>
      </c>
      <c r="AI146">
        <v>67</v>
      </c>
      <c r="AJ146" t="s">
        <v>66</v>
      </c>
      <c r="AK146">
        <v>65</v>
      </c>
      <c r="AL146">
        <v>57</v>
      </c>
      <c r="AM146">
        <v>73.5</v>
      </c>
      <c r="AN146">
        <v>62</v>
      </c>
      <c r="AO146">
        <v>-15.6462585</v>
      </c>
      <c r="AP146">
        <v>-10.05025126</v>
      </c>
      <c r="AQ146">
        <v>2.7074829930000002</v>
      </c>
      <c r="AR146">
        <v>2.8870967740000002</v>
      </c>
      <c r="AS146">
        <v>0.179613781</v>
      </c>
      <c r="AT146">
        <v>0</v>
      </c>
      <c r="AU146" t="s">
        <v>66</v>
      </c>
      <c r="AV146">
        <v>4</v>
      </c>
      <c r="AW146">
        <v>4</v>
      </c>
      <c r="AX146">
        <v>1</v>
      </c>
      <c r="AY146">
        <v>1</v>
      </c>
      <c r="AZ146">
        <v>1</v>
      </c>
      <c r="BA146">
        <v>1</v>
      </c>
      <c r="BB146" t="s">
        <v>66</v>
      </c>
      <c r="BC146">
        <v>39.6</v>
      </c>
      <c r="BD146">
        <v>71.2</v>
      </c>
      <c r="BE146">
        <v>79.797979799999993</v>
      </c>
      <c r="BF146">
        <v>0</v>
      </c>
      <c r="BG146">
        <v>49.84</v>
      </c>
      <c r="BH146">
        <v>25.858585860000002</v>
      </c>
      <c r="BI146">
        <v>289</v>
      </c>
      <c r="BJ146">
        <v>19</v>
      </c>
      <c r="BK146">
        <v>10</v>
      </c>
      <c r="BL146">
        <f>289-166</f>
        <v>123</v>
      </c>
      <c r="BM146">
        <v>68</v>
      </c>
      <c r="BN146">
        <v>60</v>
      </c>
      <c r="BO146">
        <f t="shared" si="22"/>
        <v>64</v>
      </c>
      <c r="BP146">
        <v>3</v>
      </c>
      <c r="BQ146">
        <v>1</v>
      </c>
      <c r="BS146">
        <v>0</v>
      </c>
      <c r="BT146">
        <f t="shared" si="23"/>
        <v>43.944636678200695</v>
      </c>
      <c r="BU146">
        <f t="shared" si="24"/>
        <v>36.84210526315789</v>
      </c>
      <c r="BV146">
        <f t="shared" si="25"/>
        <v>-61.788617886178862</v>
      </c>
      <c r="BW146">
        <f t="shared" si="26"/>
        <v>-14.84375</v>
      </c>
    </row>
    <row r="147" spans="1:75" x14ac:dyDescent="0.2">
      <c r="A147" t="s">
        <v>127</v>
      </c>
      <c r="B147" t="s">
        <v>149</v>
      </c>
      <c r="C147" t="s">
        <v>106</v>
      </c>
      <c r="D147" t="s">
        <v>63</v>
      </c>
      <c r="E147" t="s">
        <v>103</v>
      </c>
      <c r="F147" t="s">
        <v>169</v>
      </c>
      <c r="G147">
        <v>2.95</v>
      </c>
      <c r="H147">
        <v>10.5</v>
      </c>
      <c r="I147">
        <v>2.2999999999999998</v>
      </c>
      <c r="J147">
        <v>1.05</v>
      </c>
      <c r="K147">
        <v>16.8</v>
      </c>
      <c r="L147">
        <v>4.3389830509999996</v>
      </c>
      <c r="M147">
        <v>210</v>
      </c>
      <c r="N147">
        <v>314</v>
      </c>
      <c r="O147">
        <v>104</v>
      </c>
      <c r="P147">
        <v>352</v>
      </c>
      <c r="Q147">
        <v>142</v>
      </c>
      <c r="R147">
        <v>71</v>
      </c>
      <c r="S147">
        <v>189.1</v>
      </c>
      <c r="T147">
        <v>67.619047620000003</v>
      </c>
      <c r="U147">
        <v>12.10191083</v>
      </c>
      <c r="V147">
        <v>16</v>
      </c>
      <c r="W147">
        <v>26</v>
      </c>
      <c r="X147">
        <v>26</v>
      </c>
      <c r="Y147">
        <v>10</v>
      </c>
      <c r="Z147">
        <v>62.5</v>
      </c>
      <c r="AA147">
        <v>9</v>
      </c>
      <c r="AB147">
        <v>16</v>
      </c>
      <c r="AC147">
        <v>8</v>
      </c>
      <c r="AD147" t="s">
        <v>66</v>
      </c>
      <c r="AE147">
        <v>244</v>
      </c>
      <c r="AF147">
        <v>229</v>
      </c>
      <c r="AG147" t="s">
        <v>66</v>
      </c>
      <c r="AH147">
        <v>117</v>
      </c>
      <c r="AI147">
        <v>113</v>
      </c>
      <c r="AJ147" t="s">
        <v>66</v>
      </c>
      <c r="AK147">
        <v>92</v>
      </c>
      <c r="AL147">
        <v>72</v>
      </c>
      <c r="AM147">
        <v>104.5</v>
      </c>
      <c r="AN147">
        <v>92.5</v>
      </c>
      <c r="AO147">
        <v>-11.48325359</v>
      </c>
      <c r="AP147">
        <v>-6.1475409839999999</v>
      </c>
      <c r="AQ147">
        <v>2.33492823</v>
      </c>
      <c r="AR147">
        <v>2.4756756759999998</v>
      </c>
      <c r="AS147">
        <v>0.140747446</v>
      </c>
      <c r="AT147">
        <v>0</v>
      </c>
      <c r="AU147" t="s">
        <v>66</v>
      </c>
      <c r="AV147">
        <v>2</v>
      </c>
      <c r="AW147">
        <v>4</v>
      </c>
      <c r="AX147">
        <v>1</v>
      </c>
      <c r="AY147">
        <v>1</v>
      </c>
      <c r="AZ147">
        <v>1</v>
      </c>
      <c r="BA147">
        <v>1</v>
      </c>
      <c r="BB147" t="s">
        <v>66</v>
      </c>
      <c r="BC147">
        <v>36.6</v>
      </c>
      <c r="BD147">
        <v>75.599999999999994</v>
      </c>
      <c r="BE147">
        <v>106.557377</v>
      </c>
      <c r="BF147">
        <v>0</v>
      </c>
      <c r="BG147">
        <v>52.92</v>
      </c>
      <c r="BH147">
        <v>44.590163930000003</v>
      </c>
      <c r="BI147">
        <v>379</v>
      </c>
      <c r="BJ147">
        <v>30.2</v>
      </c>
      <c r="BK147">
        <v>20.9</v>
      </c>
      <c r="BL147">
        <f>379-167</f>
        <v>212</v>
      </c>
      <c r="BM147">
        <v>150</v>
      </c>
      <c r="BN147">
        <v>93</v>
      </c>
      <c r="BO147">
        <f t="shared" si="22"/>
        <v>121.5</v>
      </c>
      <c r="BP147">
        <v>3</v>
      </c>
      <c r="BQ147">
        <v>1</v>
      </c>
      <c r="BS147">
        <v>0</v>
      </c>
      <c r="BT147">
        <f t="shared" si="23"/>
        <v>44.591029023746707</v>
      </c>
      <c r="BU147">
        <f t="shared" si="24"/>
        <v>47.019867549668874</v>
      </c>
      <c r="BV147">
        <f t="shared" si="25"/>
        <v>-15.09433962264151</v>
      </c>
      <c r="BW147">
        <f t="shared" si="26"/>
        <v>13.991769547325102</v>
      </c>
    </row>
    <row r="148" spans="1:75" x14ac:dyDescent="0.2">
      <c r="A148" t="s">
        <v>170</v>
      </c>
      <c r="B148" t="s">
        <v>192</v>
      </c>
      <c r="C148" t="s">
        <v>106</v>
      </c>
      <c r="D148" t="s">
        <v>63</v>
      </c>
      <c r="E148" t="s">
        <v>87</v>
      </c>
      <c r="F148" t="s">
        <v>204</v>
      </c>
      <c r="G148">
        <v>2.2000000000000002</v>
      </c>
      <c r="H148">
        <v>17.2</v>
      </c>
      <c r="I148">
        <v>18.149999999999999</v>
      </c>
      <c r="J148">
        <v>3.95</v>
      </c>
      <c r="K148">
        <v>41.5</v>
      </c>
      <c r="L148">
        <v>16.06818182</v>
      </c>
      <c r="M148">
        <v>32</v>
      </c>
      <c r="N148">
        <v>34</v>
      </c>
      <c r="O148">
        <v>2</v>
      </c>
      <c r="P148">
        <v>40</v>
      </c>
      <c r="Q148">
        <v>8</v>
      </c>
      <c r="R148">
        <v>4</v>
      </c>
      <c r="S148">
        <v>55.1</v>
      </c>
      <c r="T148">
        <v>25</v>
      </c>
      <c r="U148">
        <v>17.647058820000002</v>
      </c>
      <c r="V148">
        <v>3</v>
      </c>
      <c r="W148">
        <v>2</v>
      </c>
      <c r="X148">
        <v>5</v>
      </c>
      <c r="Y148">
        <v>2</v>
      </c>
      <c r="Z148">
        <v>66.666666669999998</v>
      </c>
      <c r="AA148" t="s">
        <v>66</v>
      </c>
      <c r="AB148" t="s">
        <v>66</v>
      </c>
      <c r="AC148" t="s">
        <v>66</v>
      </c>
      <c r="AD148" t="s">
        <v>66</v>
      </c>
      <c r="AE148">
        <v>21</v>
      </c>
      <c r="AF148">
        <v>23</v>
      </c>
      <c r="AG148" t="s">
        <v>66</v>
      </c>
      <c r="AH148">
        <v>14</v>
      </c>
      <c r="AI148">
        <v>16</v>
      </c>
      <c r="AJ148" t="s">
        <v>66</v>
      </c>
      <c r="AK148">
        <v>10</v>
      </c>
      <c r="AL148">
        <v>12</v>
      </c>
      <c r="AM148">
        <v>12</v>
      </c>
      <c r="AN148">
        <v>14</v>
      </c>
      <c r="AO148">
        <v>16.666666670000001</v>
      </c>
      <c r="AP148">
        <v>9.5238095240000007</v>
      </c>
      <c r="AQ148">
        <v>1.75</v>
      </c>
      <c r="AR148">
        <v>1.6428571430000001</v>
      </c>
      <c r="AS148">
        <v>-0.10714285699999999</v>
      </c>
      <c r="AT148">
        <v>0</v>
      </c>
      <c r="AU148" t="s">
        <v>66</v>
      </c>
      <c r="AV148">
        <v>1</v>
      </c>
      <c r="AW148">
        <v>1</v>
      </c>
      <c r="AX148">
        <v>0</v>
      </c>
      <c r="AY148">
        <v>1</v>
      </c>
      <c r="AZ148">
        <v>1</v>
      </c>
      <c r="BA148">
        <v>1</v>
      </c>
      <c r="BB148" t="s">
        <v>66</v>
      </c>
      <c r="BC148">
        <v>35.9</v>
      </c>
      <c r="BD148">
        <v>51.6</v>
      </c>
      <c r="BE148">
        <v>43.732590530000003</v>
      </c>
      <c r="BF148">
        <v>0</v>
      </c>
      <c r="BG148">
        <v>36.119999999999997</v>
      </c>
      <c r="BH148">
        <v>0.61281337000000002</v>
      </c>
      <c r="BI148" t="s">
        <v>66</v>
      </c>
      <c r="BJ148" t="s">
        <v>66</v>
      </c>
      <c r="BK148" t="s">
        <v>66</v>
      </c>
      <c r="BL148" t="s">
        <v>66</v>
      </c>
      <c r="BM148" t="s">
        <v>66</v>
      </c>
      <c r="BN148" t="s">
        <v>66</v>
      </c>
      <c r="BO148" t="s">
        <v>66</v>
      </c>
      <c r="BP148" t="s">
        <v>66</v>
      </c>
      <c r="BQ148">
        <v>0</v>
      </c>
      <c r="BS148">
        <v>0</v>
      </c>
      <c r="BT148" t="s">
        <v>66</v>
      </c>
      <c r="BU148" t="s">
        <v>66</v>
      </c>
      <c r="BV148" t="s">
        <v>66</v>
      </c>
      <c r="BW148" t="s">
        <v>66</v>
      </c>
    </row>
    <row r="149" spans="1:75" x14ac:dyDescent="0.2">
      <c r="A149" t="s">
        <v>170</v>
      </c>
      <c r="B149" t="s">
        <v>192</v>
      </c>
      <c r="C149" t="s">
        <v>106</v>
      </c>
      <c r="D149" t="s">
        <v>63</v>
      </c>
      <c r="E149" t="s">
        <v>64</v>
      </c>
      <c r="F149" t="s">
        <v>193</v>
      </c>
      <c r="G149">
        <v>2.2000000000000002</v>
      </c>
      <c r="H149">
        <v>17.2</v>
      </c>
      <c r="I149">
        <v>18.149999999999999</v>
      </c>
      <c r="J149">
        <v>3.95</v>
      </c>
      <c r="K149">
        <v>41.5</v>
      </c>
      <c r="L149">
        <v>16.06818182</v>
      </c>
      <c r="M149">
        <v>105</v>
      </c>
      <c r="N149">
        <v>154</v>
      </c>
      <c r="O149">
        <v>49</v>
      </c>
      <c r="P149">
        <v>184</v>
      </c>
      <c r="Q149">
        <v>79</v>
      </c>
      <c r="R149">
        <v>39.5</v>
      </c>
      <c r="S149">
        <v>126.1</v>
      </c>
      <c r="T149">
        <v>75.238095240000007</v>
      </c>
      <c r="U149">
        <v>19.480519480000002</v>
      </c>
      <c r="V149">
        <v>9</v>
      </c>
      <c r="W149">
        <v>11</v>
      </c>
      <c r="X149">
        <v>15</v>
      </c>
      <c r="Y149">
        <v>6</v>
      </c>
      <c r="Z149">
        <v>66.666666669999998</v>
      </c>
      <c r="AA149" t="s">
        <v>66</v>
      </c>
      <c r="AB149">
        <v>3</v>
      </c>
      <c r="AC149">
        <v>5</v>
      </c>
      <c r="AD149" t="s">
        <v>66</v>
      </c>
      <c r="AE149">
        <v>110</v>
      </c>
      <c r="AF149">
        <v>128</v>
      </c>
      <c r="AG149" t="s">
        <v>66</v>
      </c>
      <c r="AH149">
        <v>45</v>
      </c>
      <c r="AI149">
        <v>42</v>
      </c>
      <c r="AJ149" t="s">
        <v>66</v>
      </c>
      <c r="AK149">
        <v>32</v>
      </c>
      <c r="AL149">
        <v>33</v>
      </c>
      <c r="AM149">
        <v>38.5</v>
      </c>
      <c r="AN149">
        <v>37.5</v>
      </c>
      <c r="AO149">
        <v>-2.5974025969999999</v>
      </c>
      <c r="AP149">
        <v>16.363636360000001</v>
      </c>
      <c r="AQ149">
        <v>2.8571428569999999</v>
      </c>
      <c r="AR149">
        <v>3.4133333330000002</v>
      </c>
      <c r="AS149">
        <v>0.55619047600000004</v>
      </c>
      <c r="AT149">
        <v>0</v>
      </c>
      <c r="AU149" t="s">
        <v>66</v>
      </c>
      <c r="AV149">
        <v>1</v>
      </c>
      <c r="AW149">
        <v>2</v>
      </c>
      <c r="AX149">
        <v>0</v>
      </c>
      <c r="AY149">
        <v>1</v>
      </c>
      <c r="AZ149">
        <v>1</v>
      </c>
      <c r="BA149">
        <v>1</v>
      </c>
      <c r="BB149" t="s">
        <v>66</v>
      </c>
      <c r="BC149">
        <v>27</v>
      </c>
      <c r="BD149">
        <v>43.7</v>
      </c>
      <c r="BE149">
        <v>61.851851850000003</v>
      </c>
      <c r="BF149">
        <v>0</v>
      </c>
      <c r="BG149">
        <v>30.59</v>
      </c>
      <c r="BH149">
        <v>13.2962963</v>
      </c>
      <c r="BI149">
        <v>285</v>
      </c>
      <c r="BJ149">
        <v>14.2</v>
      </c>
      <c r="BK149">
        <v>8.9</v>
      </c>
      <c r="BL149">
        <f>285-106</f>
        <v>179</v>
      </c>
      <c r="BM149">
        <v>33</v>
      </c>
      <c r="BN149">
        <v>23</v>
      </c>
      <c r="BO149">
        <f t="shared" ref="BO149:BO166" si="27">AVERAGE(BM149,BN149)</f>
        <v>28</v>
      </c>
      <c r="BP149">
        <v>3</v>
      </c>
      <c r="BQ149">
        <v>1</v>
      </c>
      <c r="BS149">
        <v>0</v>
      </c>
      <c r="BT149">
        <f t="shared" ref="BT149:BT166" si="28">(BI149-M149)/BI149*100</f>
        <v>63.157894736842103</v>
      </c>
      <c r="BU149">
        <f t="shared" ref="BU149:BU166" si="29">(BJ149-V149)/BJ149*100</f>
        <v>36.619718309859152</v>
      </c>
      <c r="BV149">
        <f t="shared" ref="BV149:BV166" si="30">(BL149-AE149)/BL149*100</f>
        <v>38.547486033519554</v>
      </c>
      <c r="BW149">
        <f t="shared" ref="BW149:BW166" si="31">(BO149-AM149)/BO149*100</f>
        <v>-37.5</v>
      </c>
    </row>
    <row r="150" spans="1:75" x14ac:dyDescent="0.2">
      <c r="A150" t="s">
        <v>170</v>
      </c>
      <c r="B150" t="s">
        <v>192</v>
      </c>
      <c r="C150" t="s">
        <v>106</v>
      </c>
      <c r="D150" t="s">
        <v>63</v>
      </c>
      <c r="E150" t="s">
        <v>71</v>
      </c>
      <c r="F150" t="s">
        <v>196</v>
      </c>
      <c r="G150">
        <v>2.2000000000000002</v>
      </c>
      <c r="H150">
        <v>17.2</v>
      </c>
      <c r="I150">
        <v>18.149999999999999</v>
      </c>
      <c r="J150">
        <v>3.95</v>
      </c>
      <c r="K150">
        <v>41.5</v>
      </c>
      <c r="L150">
        <v>16.06818182</v>
      </c>
      <c r="M150">
        <v>82</v>
      </c>
      <c r="N150">
        <v>100</v>
      </c>
      <c r="O150">
        <v>18</v>
      </c>
      <c r="P150">
        <v>124</v>
      </c>
      <c r="Q150">
        <v>42</v>
      </c>
      <c r="R150">
        <v>21</v>
      </c>
      <c r="S150">
        <v>89.1</v>
      </c>
      <c r="T150">
        <v>51.219512199999997</v>
      </c>
      <c r="U150">
        <v>24</v>
      </c>
      <c r="V150">
        <v>9</v>
      </c>
      <c r="W150">
        <v>11</v>
      </c>
      <c r="X150">
        <v>10</v>
      </c>
      <c r="Y150">
        <v>1</v>
      </c>
      <c r="Z150">
        <v>11.11111111</v>
      </c>
      <c r="AA150" t="s">
        <v>66</v>
      </c>
      <c r="AB150" t="s">
        <v>66</v>
      </c>
      <c r="AC150" t="s">
        <v>66</v>
      </c>
      <c r="AD150" t="s">
        <v>66</v>
      </c>
      <c r="AE150">
        <v>71</v>
      </c>
      <c r="AF150">
        <v>78</v>
      </c>
      <c r="AG150" t="s">
        <v>66</v>
      </c>
      <c r="AH150">
        <v>32</v>
      </c>
      <c r="AI150">
        <v>34</v>
      </c>
      <c r="AJ150" t="s">
        <v>66</v>
      </c>
      <c r="AK150">
        <v>20</v>
      </c>
      <c r="AL150">
        <v>25</v>
      </c>
      <c r="AM150">
        <v>26</v>
      </c>
      <c r="AN150">
        <v>29.5</v>
      </c>
      <c r="AO150">
        <v>13.46153846</v>
      </c>
      <c r="AP150">
        <v>9.8591549300000008</v>
      </c>
      <c r="AQ150">
        <v>2.730769231</v>
      </c>
      <c r="AR150">
        <v>2.6440677969999999</v>
      </c>
      <c r="AS150">
        <v>-8.6701433999999994E-2</v>
      </c>
      <c r="AT150">
        <v>0</v>
      </c>
      <c r="AU150" t="s">
        <v>66</v>
      </c>
      <c r="AV150">
        <v>4</v>
      </c>
      <c r="AW150">
        <v>3</v>
      </c>
      <c r="AX150">
        <v>0</v>
      </c>
      <c r="AY150">
        <v>1</v>
      </c>
      <c r="AZ150">
        <v>1</v>
      </c>
      <c r="BA150">
        <v>1</v>
      </c>
      <c r="BB150" t="s">
        <v>66</v>
      </c>
      <c r="BC150">
        <v>30.7</v>
      </c>
      <c r="BD150">
        <v>48.1</v>
      </c>
      <c r="BE150">
        <v>56.677524429999998</v>
      </c>
      <c r="BF150">
        <v>0</v>
      </c>
      <c r="BG150">
        <v>33.67</v>
      </c>
      <c r="BH150">
        <v>9.6742671009999999</v>
      </c>
      <c r="BI150">
        <v>142</v>
      </c>
      <c r="BJ150">
        <v>10.6</v>
      </c>
      <c r="BK150">
        <v>3.6</v>
      </c>
      <c r="BL150">
        <f>142-92</f>
        <v>50</v>
      </c>
      <c r="BM150">
        <v>38</v>
      </c>
      <c r="BN150">
        <v>26</v>
      </c>
      <c r="BO150">
        <f t="shared" si="27"/>
        <v>32</v>
      </c>
      <c r="BP150">
        <v>4</v>
      </c>
      <c r="BQ150">
        <v>1</v>
      </c>
      <c r="BS150">
        <v>0</v>
      </c>
      <c r="BT150">
        <f t="shared" si="28"/>
        <v>42.25352112676056</v>
      </c>
      <c r="BU150">
        <f t="shared" si="29"/>
        <v>15.094339622641506</v>
      </c>
      <c r="BV150">
        <f t="shared" si="30"/>
        <v>-42</v>
      </c>
      <c r="BW150">
        <f t="shared" si="31"/>
        <v>18.75</v>
      </c>
    </row>
    <row r="151" spans="1:75" x14ac:dyDescent="0.2">
      <c r="A151" t="s">
        <v>170</v>
      </c>
      <c r="B151" t="s">
        <v>192</v>
      </c>
      <c r="C151" t="s">
        <v>106</v>
      </c>
      <c r="D151" t="s">
        <v>63</v>
      </c>
      <c r="E151" t="s">
        <v>77</v>
      </c>
      <c r="F151" t="s">
        <v>199</v>
      </c>
      <c r="G151">
        <v>2.2000000000000002</v>
      </c>
      <c r="H151">
        <v>17.2</v>
      </c>
      <c r="I151">
        <v>18.149999999999999</v>
      </c>
      <c r="J151">
        <v>3.95</v>
      </c>
      <c r="K151">
        <v>41.5</v>
      </c>
      <c r="L151">
        <v>16.06818182</v>
      </c>
      <c r="M151">
        <v>28</v>
      </c>
      <c r="N151">
        <v>34</v>
      </c>
      <c r="O151">
        <v>6</v>
      </c>
      <c r="P151">
        <v>33</v>
      </c>
      <c r="Q151">
        <v>5</v>
      </c>
      <c r="R151">
        <v>2.5</v>
      </c>
      <c r="S151">
        <v>52.1</v>
      </c>
      <c r="T151">
        <v>17.85714286</v>
      </c>
      <c r="U151">
        <v>-2.9411764709999999</v>
      </c>
      <c r="V151">
        <v>3</v>
      </c>
      <c r="W151">
        <v>4</v>
      </c>
      <c r="X151">
        <v>4</v>
      </c>
      <c r="Y151">
        <v>1</v>
      </c>
      <c r="Z151">
        <v>33.333333330000002</v>
      </c>
      <c r="AA151" t="s">
        <v>66</v>
      </c>
      <c r="AB151" t="s">
        <v>66</v>
      </c>
      <c r="AC151" t="s">
        <v>66</v>
      </c>
      <c r="AD151" t="s">
        <v>66</v>
      </c>
      <c r="AE151">
        <v>15</v>
      </c>
      <c r="AF151">
        <v>17</v>
      </c>
      <c r="AG151" t="s">
        <v>66</v>
      </c>
      <c r="AH151">
        <v>15</v>
      </c>
      <c r="AI151">
        <v>14</v>
      </c>
      <c r="AJ151" t="s">
        <v>66</v>
      </c>
      <c r="AK151">
        <v>8</v>
      </c>
      <c r="AL151">
        <v>8</v>
      </c>
      <c r="AM151">
        <v>11.5</v>
      </c>
      <c r="AN151">
        <v>11</v>
      </c>
      <c r="AO151">
        <v>-4.3478260869999996</v>
      </c>
      <c r="AP151">
        <v>13.33333333</v>
      </c>
      <c r="AQ151">
        <v>1.3043478260000001</v>
      </c>
      <c r="AR151">
        <v>1.5454545449999999</v>
      </c>
      <c r="AS151">
        <v>0.241106719</v>
      </c>
      <c r="AT151">
        <v>0</v>
      </c>
      <c r="AU151" t="s">
        <v>66</v>
      </c>
      <c r="AV151">
        <v>2</v>
      </c>
      <c r="AW151">
        <v>1</v>
      </c>
      <c r="AX151">
        <v>0</v>
      </c>
      <c r="AY151">
        <v>1</v>
      </c>
      <c r="AZ151">
        <v>1</v>
      </c>
      <c r="BA151">
        <v>1</v>
      </c>
      <c r="BB151" t="s">
        <v>66</v>
      </c>
      <c r="BC151">
        <v>24.1</v>
      </c>
      <c r="BD151">
        <v>35.700000000000003</v>
      </c>
      <c r="BE151">
        <v>48.132780080000003</v>
      </c>
      <c r="BF151">
        <v>0</v>
      </c>
      <c r="BG151">
        <v>24.99</v>
      </c>
      <c r="BH151">
        <v>3.692946058</v>
      </c>
      <c r="BI151">
        <v>36</v>
      </c>
      <c r="BJ151">
        <v>4.5999999999999996</v>
      </c>
      <c r="BK151" t="s">
        <v>66</v>
      </c>
      <c r="BL151">
        <v>15</v>
      </c>
      <c r="BM151">
        <v>13</v>
      </c>
      <c r="BN151">
        <v>9</v>
      </c>
      <c r="BO151">
        <f t="shared" si="27"/>
        <v>11</v>
      </c>
      <c r="BP151">
        <v>4</v>
      </c>
      <c r="BQ151">
        <v>1</v>
      </c>
      <c r="BS151">
        <v>0</v>
      </c>
      <c r="BT151">
        <f t="shared" si="28"/>
        <v>22.222222222222221</v>
      </c>
      <c r="BU151">
        <f t="shared" si="29"/>
        <v>34.782608695652165</v>
      </c>
      <c r="BV151">
        <f t="shared" si="30"/>
        <v>0</v>
      </c>
      <c r="BW151">
        <f t="shared" si="31"/>
        <v>-4.5454545454545459</v>
      </c>
    </row>
    <row r="152" spans="1:75" x14ac:dyDescent="0.2">
      <c r="A152" t="s">
        <v>170</v>
      </c>
      <c r="B152" t="s">
        <v>192</v>
      </c>
      <c r="C152" t="s">
        <v>106</v>
      </c>
      <c r="D152" t="s">
        <v>63</v>
      </c>
      <c r="E152" t="s">
        <v>79</v>
      </c>
      <c r="F152" t="s">
        <v>200</v>
      </c>
      <c r="G152">
        <v>2.2000000000000002</v>
      </c>
      <c r="H152">
        <v>17.2</v>
      </c>
      <c r="I152">
        <v>18.149999999999999</v>
      </c>
      <c r="J152">
        <v>3.95</v>
      </c>
      <c r="K152">
        <v>41.5</v>
      </c>
      <c r="L152">
        <v>16.06818182</v>
      </c>
      <c r="M152">
        <v>44</v>
      </c>
      <c r="N152">
        <v>56</v>
      </c>
      <c r="O152">
        <v>12</v>
      </c>
      <c r="P152">
        <v>69</v>
      </c>
      <c r="Q152">
        <v>25</v>
      </c>
      <c r="R152">
        <v>12.5</v>
      </c>
      <c r="S152">
        <v>72.099999999999994</v>
      </c>
      <c r="T152">
        <v>56.81818182</v>
      </c>
      <c r="U152">
        <v>23.214285709999999</v>
      </c>
      <c r="V152">
        <v>6</v>
      </c>
      <c r="W152">
        <v>9</v>
      </c>
      <c r="X152">
        <v>8</v>
      </c>
      <c r="Y152">
        <v>2</v>
      </c>
      <c r="Z152">
        <v>33.333333330000002</v>
      </c>
      <c r="AA152" t="s">
        <v>66</v>
      </c>
      <c r="AB152" t="s">
        <v>66</v>
      </c>
      <c r="AC152" t="s">
        <v>66</v>
      </c>
      <c r="AD152" t="s">
        <v>66</v>
      </c>
      <c r="AE152">
        <v>33</v>
      </c>
      <c r="AF152">
        <v>41</v>
      </c>
      <c r="AG152" t="s">
        <v>66</v>
      </c>
      <c r="AH152">
        <v>20</v>
      </c>
      <c r="AI152">
        <v>16</v>
      </c>
      <c r="AJ152" t="s">
        <v>66</v>
      </c>
      <c r="AK152">
        <v>18</v>
      </c>
      <c r="AL152">
        <v>20</v>
      </c>
      <c r="AM152">
        <v>19</v>
      </c>
      <c r="AN152">
        <v>18</v>
      </c>
      <c r="AO152">
        <v>-5.263157895</v>
      </c>
      <c r="AP152">
        <v>24.242424239999998</v>
      </c>
      <c r="AQ152">
        <v>1.736842105</v>
      </c>
      <c r="AR152">
        <v>2.2777777779999999</v>
      </c>
      <c r="AS152">
        <v>0.54093567300000001</v>
      </c>
      <c r="AT152">
        <v>0</v>
      </c>
      <c r="AU152" t="s">
        <v>66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 t="s">
        <v>66</v>
      </c>
      <c r="BC152">
        <v>31.4</v>
      </c>
      <c r="BD152">
        <v>47.1</v>
      </c>
      <c r="BE152">
        <v>50</v>
      </c>
      <c r="BF152">
        <v>0</v>
      </c>
      <c r="BG152">
        <v>32.97</v>
      </c>
      <c r="BH152">
        <v>5</v>
      </c>
      <c r="BI152">
        <v>109</v>
      </c>
      <c r="BJ152">
        <v>8.9</v>
      </c>
      <c r="BK152" t="s">
        <v>66</v>
      </c>
      <c r="BL152">
        <f>109-55</f>
        <v>54</v>
      </c>
      <c r="BM152">
        <v>35</v>
      </c>
      <c r="BN152">
        <v>22</v>
      </c>
      <c r="BO152">
        <f t="shared" si="27"/>
        <v>28.5</v>
      </c>
      <c r="BP152">
        <v>4</v>
      </c>
      <c r="BQ152">
        <v>1</v>
      </c>
      <c r="BS152">
        <v>0</v>
      </c>
      <c r="BT152">
        <f t="shared" si="28"/>
        <v>59.633027522935777</v>
      </c>
      <c r="BU152">
        <f t="shared" si="29"/>
        <v>32.584269662921351</v>
      </c>
      <c r="BV152">
        <f t="shared" si="30"/>
        <v>38.888888888888893</v>
      </c>
      <c r="BW152">
        <f t="shared" si="31"/>
        <v>33.333333333333329</v>
      </c>
    </row>
    <row r="153" spans="1:75" x14ac:dyDescent="0.2">
      <c r="A153" t="s">
        <v>170</v>
      </c>
      <c r="B153" t="s">
        <v>192</v>
      </c>
      <c r="C153" t="s">
        <v>106</v>
      </c>
      <c r="D153" t="s">
        <v>63</v>
      </c>
      <c r="E153" t="s">
        <v>81</v>
      </c>
      <c r="F153" t="s">
        <v>201</v>
      </c>
      <c r="G153">
        <v>2.2000000000000002</v>
      </c>
      <c r="H153">
        <v>17.2</v>
      </c>
      <c r="I153">
        <v>18.149999999999999</v>
      </c>
      <c r="J153">
        <v>3.95</v>
      </c>
      <c r="K153">
        <v>41.5</v>
      </c>
      <c r="L153">
        <v>16.06818182</v>
      </c>
      <c r="M153">
        <v>48</v>
      </c>
      <c r="N153">
        <v>53</v>
      </c>
      <c r="O153">
        <v>5</v>
      </c>
      <c r="P153">
        <v>54</v>
      </c>
      <c r="Q153">
        <v>6</v>
      </c>
      <c r="R153">
        <v>3</v>
      </c>
      <c r="S153">
        <v>53.1</v>
      </c>
      <c r="T153">
        <v>12.5</v>
      </c>
      <c r="U153">
        <v>1.886792453</v>
      </c>
      <c r="V153">
        <v>5</v>
      </c>
      <c r="W153">
        <v>6</v>
      </c>
      <c r="X153">
        <v>6</v>
      </c>
      <c r="Y153">
        <v>1</v>
      </c>
      <c r="Z153">
        <v>20</v>
      </c>
      <c r="AA153" t="s">
        <v>66</v>
      </c>
      <c r="AB153" t="s">
        <v>66</v>
      </c>
      <c r="AC153" t="s">
        <v>66</v>
      </c>
      <c r="AD153" t="s">
        <v>66</v>
      </c>
      <c r="AE153">
        <v>25</v>
      </c>
      <c r="AF153">
        <v>22</v>
      </c>
      <c r="AG153" t="s">
        <v>66</v>
      </c>
      <c r="AH153">
        <v>20</v>
      </c>
      <c r="AI153">
        <v>18</v>
      </c>
      <c r="AJ153" t="s">
        <v>66</v>
      </c>
      <c r="AK153">
        <v>15</v>
      </c>
      <c r="AL153">
        <v>13</v>
      </c>
      <c r="AM153">
        <v>17.5</v>
      </c>
      <c r="AN153">
        <v>15.5</v>
      </c>
      <c r="AO153">
        <v>-11.42857143</v>
      </c>
      <c r="AP153">
        <v>-12</v>
      </c>
      <c r="AQ153">
        <v>1.428571429</v>
      </c>
      <c r="AR153">
        <v>1.4193548389999999</v>
      </c>
      <c r="AS153">
        <v>-9.2165900000000002E-3</v>
      </c>
      <c r="AT153">
        <v>0</v>
      </c>
      <c r="AU153" t="s">
        <v>66</v>
      </c>
      <c r="AV153">
        <v>1</v>
      </c>
      <c r="AW153">
        <v>1</v>
      </c>
      <c r="AX153">
        <v>0</v>
      </c>
      <c r="AY153">
        <v>1</v>
      </c>
      <c r="AZ153">
        <v>1</v>
      </c>
      <c r="BA153">
        <v>1</v>
      </c>
      <c r="BB153" t="s">
        <v>66</v>
      </c>
      <c r="BC153">
        <v>27.3</v>
      </c>
      <c r="BD153">
        <v>37.4</v>
      </c>
      <c r="BE153">
        <v>36.996336999999997</v>
      </c>
      <c r="BF153">
        <v>0</v>
      </c>
      <c r="BG153">
        <v>26.18</v>
      </c>
      <c r="BH153">
        <v>-4.1025641029999997</v>
      </c>
      <c r="BI153">
        <v>55</v>
      </c>
      <c r="BJ153">
        <v>5.7</v>
      </c>
      <c r="BK153" t="s">
        <v>66</v>
      </c>
      <c r="BL153">
        <v>14</v>
      </c>
      <c r="BM153">
        <v>13</v>
      </c>
      <c r="BN153">
        <v>10</v>
      </c>
      <c r="BO153">
        <f t="shared" si="27"/>
        <v>11.5</v>
      </c>
      <c r="BP153">
        <v>4</v>
      </c>
      <c r="BQ153">
        <v>1</v>
      </c>
      <c r="BS153">
        <v>0</v>
      </c>
      <c r="BT153">
        <f t="shared" si="28"/>
        <v>12.727272727272727</v>
      </c>
      <c r="BU153">
        <f t="shared" si="29"/>
        <v>12.280701754385968</v>
      </c>
      <c r="BV153">
        <f t="shared" si="30"/>
        <v>-78.571428571428569</v>
      </c>
      <c r="BW153">
        <f t="shared" si="31"/>
        <v>-52.173913043478258</v>
      </c>
    </row>
    <row r="154" spans="1:75" x14ac:dyDescent="0.2">
      <c r="A154" t="s">
        <v>170</v>
      </c>
      <c r="B154" t="s">
        <v>192</v>
      </c>
      <c r="C154" t="s">
        <v>106</v>
      </c>
      <c r="D154" t="s">
        <v>63</v>
      </c>
      <c r="E154" t="s">
        <v>83</v>
      </c>
      <c r="F154" t="s">
        <v>202</v>
      </c>
      <c r="G154">
        <v>2.2000000000000002</v>
      </c>
      <c r="H154">
        <v>17.2</v>
      </c>
      <c r="I154">
        <v>18.149999999999999</v>
      </c>
      <c r="J154">
        <v>3.95</v>
      </c>
      <c r="K154">
        <v>41.5</v>
      </c>
      <c r="L154">
        <v>16.06818182</v>
      </c>
      <c r="M154">
        <v>27</v>
      </c>
      <c r="N154">
        <v>48</v>
      </c>
      <c r="O154">
        <v>21</v>
      </c>
      <c r="P154">
        <v>47</v>
      </c>
      <c r="Q154">
        <v>20</v>
      </c>
      <c r="R154">
        <v>10</v>
      </c>
      <c r="S154">
        <v>67.099999999999994</v>
      </c>
      <c r="T154">
        <v>74.074074069999995</v>
      </c>
      <c r="U154">
        <v>-2.0833333330000001</v>
      </c>
      <c r="V154">
        <v>3</v>
      </c>
      <c r="W154">
        <v>4</v>
      </c>
      <c r="X154">
        <v>4</v>
      </c>
      <c r="Y154">
        <v>1</v>
      </c>
      <c r="Z154">
        <v>33.333333330000002</v>
      </c>
      <c r="AA154" t="s">
        <v>66</v>
      </c>
      <c r="AB154" t="s">
        <v>66</v>
      </c>
      <c r="AC154" t="s">
        <v>66</v>
      </c>
      <c r="AD154" t="s">
        <v>66</v>
      </c>
      <c r="AE154">
        <v>16</v>
      </c>
      <c r="AF154">
        <v>12</v>
      </c>
      <c r="AG154" t="s">
        <v>66</v>
      </c>
      <c r="AH154">
        <v>10</v>
      </c>
      <c r="AI154">
        <v>9</v>
      </c>
      <c r="AJ154" t="s">
        <v>66</v>
      </c>
      <c r="AK154">
        <v>8</v>
      </c>
      <c r="AL154">
        <v>9</v>
      </c>
      <c r="AM154">
        <v>9</v>
      </c>
      <c r="AN154">
        <v>9</v>
      </c>
      <c r="AO154">
        <v>0</v>
      </c>
      <c r="AP154">
        <v>-25</v>
      </c>
      <c r="AQ154">
        <v>1.7777777779999999</v>
      </c>
      <c r="AR154">
        <v>1.3333333329999999</v>
      </c>
      <c r="AS154">
        <v>-0.44444444500000002</v>
      </c>
      <c r="AT154">
        <v>0</v>
      </c>
      <c r="AU154" t="s">
        <v>66</v>
      </c>
      <c r="AV154">
        <v>1</v>
      </c>
      <c r="AW154">
        <v>1</v>
      </c>
      <c r="AX154">
        <v>0</v>
      </c>
      <c r="AY154">
        <v>1</v>
      </c>
      <c r="AZ154">
        <v>1</v>
      </c>
      <c r="BA154">
        <v>1</v>
      </c>
      <c r="BB154" t="s">
        <v>66</v>
      </c>
      <c r="BC154">
        <v>21.3</v>
      </c>
      <c r="BD154">
        <v>41.4</v>
      </c>
      <c r="BE154">
        <v>94.36619718</v>
      </c>
      <c r="BF154">
        <v>0</v>
      </c>
      <c r="BG154">
        <v>28.98</v>
      </c>
      <c r="BH154">
        <v>36.056338029999999</v>
      </c>
      <c r="BI154">
        <v>34</v>
      </c>
      <c r="BJ154">
        <v>4</v>
      </c>
      <c r="BK154" t="s">
        <v>66</v>
      </c>
      <c r="BL154">
        <v>24</v>
      </c>
      <c r="BM154">
        <v>13</v>
      </c>
      <c r="BN154">
        <v>12</v>
      </c>
      <c r="BO154">
        <f t="shared" si="27"/>
        <v>12.5</v>
      </c>
      <c r="BP154">
        <v>4</v>
      </c>
      <c r="BQ154">
        <v>1</v>
      </c>
      <c r="BS154">
        <v>0</v>
      </c>
      <c r="BT154">
        <f t="shared" si="28"/>
        <v>20.588235294117645</v>
      </c>
      <c r="BU154">
        <f t="shared" si="29"/>
        <v>25</v>
      </c>
      <c r="BV154">
        <f t="shared" si="30"/>
        <v>33.333333333333329</v>
      </c>
      <c r="BW154">
        <f t="shared" si="31"/>
        <v>28.000000000000004</v>
      </c>
    </row>
    <row r="155" spans="1:75" x14ac:dyDescent="0.2">
      <c r="A155" t="s">
        <v>170</v>
      </c>
      <c r="B155" t="s">
        <v>192</v>
      </c>
      <c r="C155" t="s">
        <v>106</v>
      </c>
      <c r="D155" t="s">
        <v>63</v>
      </c>
      <c r="E155" t="s">
        <v>85</v>
      </c>
      <c r="F155" t="s">
        <v>203</v>
      </c>
      <c r="G155">
        <v>2.2000000000000002</v>
      </c>
      <c r="H155">
        <v>17.2</v>
      </c>
      <c r="I155">
        <v>18.149999999999999</v>
      </c>
      <c r="J155">
        <v>3.95</v>
      </c>
      <c r="K155">
        <v>41.5</v>
      </c>
      <c r="L155">
        <v>16.06818182</v>
      </c>
      <c r="M155">
        <v>41</v>
      </c>
      <c r="N155">
        <v>53</v>
      </c>
      <c r="O155">
        <v>12</v>
      </c>
      <c r="P155">
        <v>52</v>
      </c>
      <c r="Q155">
        <v>11</v>
      </c>
      <c r="R155">
        <v>5.5</v>
      </c>
      <c r="S155">
        <v>58.1</v>
      </c>
      <c r="T155">
        <v>26.829268290000002</v>
      </c>
      <c r="U155">
        <v>-1.886792453</v>
      </c>
      <c r="V155">
        <v>4</v>
      </c>
      <c r="W155">
        <v>7</v>
      </c>
      <c r="X155">
        <v>6</v>
      </c>
      <c r="Y155">
        <v>2</v>
      </c>
      <c r="Z155">
        <v>50</v>
      </c>
      <c r="AA155" t="s">
        <v>66</v>
      </c>
      <c r="AB155" t="s">
        <v>66</v>
      </c>
      <c r="AC155" t="s">
        <v>66</v>
      </c>
      <c r="AD155" t="s">
        <v>66</v>
      </c>
      <c r="AE155">
        <v>26</v>
      </c>
      <c r="AF155">
        <v>28</v>
      </c>
      <c r="AG155" t="s">
        <v>66</v>
      </c>
      <c r="AH155">
        <v>10</v>
      </c>
      <c r="AI155">
        <v>15</v>
      </c>
      <c r="AJ155" t="s">
        <v>66</v>
      </c>
      <c r="AK155">
        <v>18</v>
      </c>
      <c r="AL155">
        <v>9</v>
      </c>
      <c r="AM155">
        <v>14</v>
      </c>
      <c r="AN155">
        <v>12</v>
      </c>
      <c r="AO155">
        <v>-14.28571429</v>
      </c>
      <c r="AP155">
        <v>7.692307692</v>
      </c>
      <c r="AQ155">
        <v>1.8571428569999999</v>
      </c>
      <c r="AR155">
        <v>2.3333333330000001</v>
      </c>
      <c r="AS155">
        <v>0.47619047599999997</v>
      </c>
      <c r="AT155">
        <v>0</v>
      </c>
      <c r="AU155" t="s">
        <v>66</v>
      </c>
      <c r="AV155">
        <v>1</v>
      </c>
      <c r="AW155">
        <v>2</v>
      </c>
      <c r="AX155">
        <v>0</v>
      </c>
      <c r="AY155">
        <v>1</v>
      </c>
      <c r="AZ155">
        <v>1</v>
      </c>
      <c r="BA155">
        <v>1</v>
      </c>
      <c r="BB155" t="s">
        <v>66</v>
      </c>
      <c r="BC155">
        <v>25.5</v>
      </c>
      <c r="BD155">
        <v>39.700000000000003</v>
      </c>
      <c r="BE155">
        <v>55.686274509999997</v>
      </c>
      <c r="BF155">
        <v>0</v>
      </c>
      <c r="BG155">
        <v>27.79</v>
      </c>
      <c r="BH155">
        <v>8.9803921570000007</v>
      </c>
      <c r="BI155">
        <v>61</v>
      </c>
      <c r="BJ155">
        <v>6</v>
      </c>
      <c r="BK155" t="s">
        <v>66</v>
      </c>
      <c r="BL155">
        <f>61-35</f>
        <v>26</v>
      </c>
      <c r="BM155">
        <v>12</v>
      </c>
      <c r="BN155">
        <v>10</v>
      </c>
      <c r="BO155">
        <f t="shared" si="27"/>
        <v>11</v>
      </c>
      <c r="BP155">
        <v>4</v>
      </c>
      <c r="BQ155">
        <v>1</v>
      </c>
      <c r="BS155">
        <v>0</v>
      </c>
      <c r="BT155">
        <f t="shared" si="28"/>
        <v>32.786885245901637</v>
      </c>
      <c r="BU155">
        <f t="shared" si="29"/>
        <v>33.333333333333329</v>
      </c>
      <c r="BV155">
        <f t="shared" si="30"/>
        <v>0</v>
      </c>
      <c r="BW155">
        <f t="shared" si="31"/>
        <v>-27.27272727272727</v>
      </c>
    </row>
    <row r="156" spans="1:75" x14ac:dyDescent="0.2">
      <c r="A156" t="s">
        <v>170</v>
      </c>
      <c r="B156" t="s">
        <v>192</v>
      </c>
      <c r="C156" t="s">
        <v>106</v>
      </c>
      <c r="D156" t="s">
        <v>63</v>
      </c>
      <c r="E156" t="s">
        <v>89</v>
      </c>
      <c r="F156" t="s">
        <v>205</v>
      </c>
      <c r="G156">
        <v>2.2000000000000002</v>
      </c>
      <c r="H156">
        <v>17.2</v>
      </c>
      <c r="I156">
        <v>18.149999999999999</v>
      </c>
      <c r="J156">
        <v>3.95</v>
      </c>
      <c r="K156">
        <v>41.5</v>
      </c>
      <c r="L156">
        <v>16.06818182</v>
      </c>
      <c r="M156">
        <v>68</v>
      </c>
      <c r="N156">
        <v>78</v>
      </c>
      <c r="O156">
        <v>10</v>
      </c>
      <c r="P156">
        <v>79</v>
      </c>
      <c r="Q156">
        <v>11</v>
      </c>
      <c r="R156">
        <v>5.5</v>
      </c>
      <c r="S156">
        <v>58.1</v>
      </c>
      <c r="T156">
        <v>16.176470590000001</v>
      </c>
      <c r="U156">
        <v>1.2820512820000001</v>
      </c>
      <c r="V156">
        <v>6</v>
      </c>
      <c r="W156">
        <v>7</v>
      </c>
      <c r="X156">
        <v>7</v>
      </c>
      <c r="Y156">
        <v>1</v>
      </c>
      <c r="Z156">
        <v>16.666666670000001</v>
      </c>
      <c r="AA156" t="s">
        <v>66</v>
      </c>
      <c r="AB156" t="s">
        <v>66</v>
      </c>
      <c r="AC156" t="s">
        <v>66</v>
      </c>
      <c r="AD156" t="s">
        <v>66</v>
      </c>
      <c r="AE156">
        <v>29</v>
      </c>
      <c r="AF156">
        <v>27</v>
      </c>
      <c r="AG156" t="s">
        <v>66</v>
      </c>
      <c r="AH156">
        <v>15</v>
      </c>
      <c r="AI156">
        <v>24</v>
      </c>
      <c r="AJ156" t="s">
        <v>66</v>
      </c>
      <c r="AK156">
        <v>13</v>
      </c>
      <c r="AL156">
        <v>11</v>
      </c>
      <c r="AM156">
        <v>14</v>
      </c>
      <c r="AN156">
        <v>17.5</v>
      </c>
      <c r="AO156">
        <v>25</v>
      </c>
      <c r="AP156">
        <v>-6.896551724</v>
      </c>
      <c r="AQ156">
        <v>2.0714285710000002</v>
      </c>
      <c r="AR156">
        <v>1.542857143</v>
      </c>
      <c r="AS156">
        <v>-0.52857142800000001</v>
      </c>
      <c r="AT156">
        <v>0</v>
      </c>
      <c r="AU156" t="s">
        <v>66</v>
      </c>
      <c r="AV156">
        <v>3</v>
      </c>
      <c r="AW156">
        <v>4</v>
      </c>
      <c r="AX156">
        <v>0</v>
      </c>
      <c r="AY156">
        <v>1</v>
      </c>
      <c r="AZ156">
        <v>1</v>
      </c>
      <c r="BA156">
        <v>1</v>
      </c>
      <c r="BB156" t="s">
        <v>66</v>
      </c>
      <c r="BC156">
        <v>28.1</v>
      </c>
      <c r="BD156">
        <v>47.9</v>
      </c>
      <c r="BE156">
        <v>70.462633449999998</v>
      </c>
      <c r="BF156">
        <v>0</v>
      </c>
      <c r="BG156">
        <v>33.53</v>
      </c>
      <c r="BH156">
        <v>19.323843419999999</v>
      </c>
      <c r="BI156">
        <v>78</v>
      </c>
      <c r="BJ156">
        <v>6.4</v>
      </c>
      <c r="BK156" t="s">
        <v>66</v>
      </c>
      <c r="BL156">
        <f>78-52</f>
        <v>26</v>
      </c>
      <c r="BM156">
        <v>26</v>
      </c>
      <c r="BN156">
        <v>13</v>
      </c>
      <c r="BO156">
        <f t="shared" si="27"/>
        <v>19.5</v>
      </c>
      <c r="BP156">
        <v>4</v>
      </c>
      <c r="BQ156">
        <v>1</v>
      </c>
      <c r="BS156">
        <v>0</v>
      </c>
      <c r="BT156">
        <f t="shared" si="28"/>
        <v>12.820512820512819</v>
      </c>
      <c r="BU156">
        <f t="shared" si="29"/>
        <v>6.2500000000000053</v>
      </c>
      <c r="BV156">
        <f t="shared" si="30"/>
        <v>-11.538461538461538</v>
      </c>
      <c r="BW156">
        <f t="shared" si="31"/>
        <v>28.205128205128204</v>
      </c>
    </row>
    <row r="157" spans="1:75" x14ac:dyDescent="0.2">
      <c r="A157" t="s">
        <v>170</v>
      </c>
      <c r="B157" t="s">
        <v>192</v>
      </c>
      <c r="C157" t="s">
        <v>106</v>
      </c>
      <c r="D157" t="s">
        <v>63</v>
      </c>
      <c r="E157" t="s">
        <v>91</v>
      </c>
      <c r="F157" t="s">
        <v>206</v>
      </c>
      <c r="G157">
        <v>2.2000000000000002</v>
      </c>
      <c r="H157">
        <v>17.2</v>
      </c>
      <c r="I157">
        <v>18.149999999999999</v>
      </c>
      <c r="J157">
        <v>3.95</v>
      </c>
      <c r="K157">
        <v>41.5</v>
      </c>
      <c r="L157">
        <v>16.06818182</v>
      </c>
      <c r="M157">
        <v>14</v>
      </c>
      <c r="N157">
        <v>54</v>
      </c>
      <c r="O157">
        <v>40</v>
      </c>
      <c r="P157">
        <v>68</v>
      </c>
      <c r="Q157">
        <v>54</v>
      </c>
      <c r="R157">
        <v>27</v>
      </c>
      <c r="S157">
        <v>101.1</v>
      </c>
      <c r="T157">
        <v>385.7142857</v>
      </c>
      <c r="U157">
        <v>25.925925929999998</v>
      </c>
      <c r="V157">
        <v>4</v>
      </c>
      <c r="W157">
        <v>5</v>
      </c>
      <c r="X157">
        <v>6</v>
      </c>
      <c r="Y157">
        <v>2</v>
      </c>
      <c r="Z157">
        <v>50</v>
      </c>
      <c r="AA157" t="s">
        <v>66</v>
      </c>
      <c r="AB157" t="s">
        <v>66</v>
      </c>
      <c r="AC157" t="s">
        <v>66</v>
      </c>
      <c r="AD157" t="s">
        <v>66</v>
      </c>
      <c r="AE157">
        <v>38</v>
      </c>
      <c r="AF157">
        <v>37</v>
      </c>
      <c r="AG157" t="s">
        <v>66</v>
      </c>
      <c r="AH157">
        <v>14</v>
      </c>
      <c r="AI157">
        <v>22</v>
      </c>
      <c r="AJ157" t="s">
        <v>66</v>
      </c>
      <c r="AK157">
        <v>12</v>
      </c>
      <c r="AL157">
        <v>13</v>
      </c>
      <c r="AM157">
        <v>13</v>
      </c>
      <c r="AN157">
        <v>17.5</v>
      </c>
      <c r="AO157">
        <v>34.61538462</v>
      </c>
      <c r="AP157">
        <v>-2.6315789469999999</v>
      </c>
      <c r="AQ157">
        <v>2.923076923</v>
      </c>
      <c r="AR157">
        <v>2.1142857140000002</v>
      </c>
      <c r="AS157">
        <v>-0.80879120900000001</v>
      </c>
      <c r="AT157">
        <v>0</v>
      </c>
      <c r="AU157" t="s">
        <v>66</v>
      </c>
      <c r="AV157">
        <v>2</v>
      </c>
      <c r="AW157">
        <v>0</v>
      </c>
      <c r="AX157">
        <v>0</v>
      </c>
      <c r="AY157">
        <v>1</v>
      </c>
      <c r="AZ157">
        <v>1</v>
      </c>
      <c r="BA157">
        <v>1</v>
      </c>
      <c r="BB157" t="s">
        <v>66</v>
      </c>
      <c r="BC157">
        <v>32.4</v>
      </c>
      <c r="BD157">
        <v>38.700000000000003</v>
      </c>
      <c r="BE157">
        <v>19.444444440000002</v>
      </c>
      <c r="BF157">
        <v>0</v>
      </c>
      <c r="BG157">
        <v>27.09</v>
      </c>
      <c r="BH157">
        <v>-16.38888889</v>
      </c>
      <c r="BI157">
        <v>91</v>
      </c>
      <c r="BJ157">
        <v>6.7</v>
      </c>
      <c r="BK157" t="s">
        <v>66</v>
      </c>
      <c r="BL157">
        <f>91-27</f>
        <v>64</v>
      </c>
      <c r="BM157">
        <v>29</v>
      </c>
      <c r="BN157">
        <v>22</v>
      </c>
      <c r="BO157">
        <f t="shared" si="27"/>
        <v>25.5</v>
      </c>
      <c r="BP157">
        <v>4</v>
      </c>
      <c r="BQ157">
        <v>1</v>
      </c>
      <c r="BS157">
        <v>0</v>
      </c>
      <c r="BT157">
        <f t="shared" si="28"/>
        <v>84.615384615384613</v>
      </c>
      <c r="BU157">
        <f t="shared" si="29"/>
        <v>40.298507462686565</v>
      </c>
      <c r="BV157">
        <f t="shared" si="30"/>
        <v>40.625</v>
      </c>
      <c r="BW157">
        <f t="shared" si="31"/>
        <v>49.019607843137251</v>
      </c>
    </row>
    <row r="158" spans="1:75" x14ac:dyDescent="0.2">
      <c r="A158" t="s">
        <v>170</v>
      </c>
      <c r="B158" t="s">
        <v>192</v>
      </c>
      <c r="C158" t="s">
        <v>106</v>
      </c>
      <c r="D158" t="s">
        <v>63</v>
      </c>
      <c r="E158" t="s">
        <v>93</v>
      </c>
      <c r="F158" t="s">
        <v>207</v>
      </c>
      <c r="G158">
        <v>2.2000000000000002</v>
      </c>
      <c r="H158">
        <v>17.2</v>
      </c>
      <c r="I158">
        <v>18.149999999999999</v>
      </c>
      <c r="J158">
        <v>3.95</v>
      </c>
      <c r="K158">
        <v>41.5</v>
      </c>
      <c r="L158">
        <v>16.06818182</v>
      </c>
      <c r="M158">
        <v>65</v>
      </c>
      <c r="N158">
        <v>81</v>
      </c>
      <c r="O158">
        <v>16</v>
      </c>
      <c r="P158">
        <v>94</v>
      </c>
      <c r="Q158">
        <v>29</v>
      </c>
      <c r="R158">
        <v>14.5</v>
      </c>
      <c r="S158">
        <v>76.099999999999994</v>
      </c>
      <c r="T158">
        <v>44.61538462</v>
      </c>
      <c r="U158">
        <v>16.049382720000001</v>
      </c>
      <c r="V158">
        <v>5</v>
      </c>
      <c r="W158">
        <v>6</v>
      </c>
      <c r="X158">
        <v>7</v>
      </c>
      <c r="Y158">
        <v>2</v>
      </c>
      <c r="Z158">
        <v>40</v>
      </c>
      <c r="AA158" t="s">
        <v>66</v>
      </c>
      <c r="AB158" t="s">
        <v>66</v>
      </c>
      <c r="AC158" t="s">
        <v>66</v>
      </c>
      <c r="AD158" t="s">
        <v>66</v>
      </c>
      <c r="AE158">
        <v>54</v>
      </c>
      <c r="AF158">
        <v>60</v>
      </c>
      <c r="AG158" t="s">
        <v>66</v>
      </c>
      <c r="AH158">
        <v>23</v>
      </c>
      <c r="AI158">
        <v>31</v>
      </c>
      <c r="AJ158" t="s">
        <v>66</v>
      </c>
      <c r="AK158">
        <v>21</v>
      </c>
      <c r="AL158">
        <v>23</v>
      </c>
      <c r="AM158">
        <v>22</v>
      </c>
      <c r="AN158">
        <v>27</v>
      </c>
      <c r="AO158">
        <v>22.727272729999999</v>
      </c>
      <c r="AP158">
        <v>11.11111111</v>
      </c>
      <c r="AQ158">
        <v>2.4545454549999999</v>
      </c>
      <c r="AR158">
        <v>2.2222222220000001</v>
      </c>
      <c r="AS158">
        <v>-0.23232323299999999</v>
      </c>
      <c r="AT158">
        <v>0</v>
      </c>
      <c r="AU158" t="s">
        <v>66</v>
      </c>
      <c r="AV158">
        <v>1</v>
      </c>
      <c r="AW158">
        <v>1</v>
      </c>
      <c r="AX158">
        <v>0</v>
      </c>
      <c r="AY158">
        <v>1</v>
      </c>
      <c r="AZ158">
        <v>1</v>
      </c>
      <c r="BA158">
        <v>1</v>
      </c>
      <c r="BB158" t="s">
        <v>66</v>
      </c>
      <c r="BC158">
        <v>36.4</v>
      </c>
      <c r="BD158">
        <v>47.9</v>
      </c>
      <c r="BE158">
        <v>31.593406590000001</v>
      </c>
      <c r="BF158">
        <v>0</v>
      </c>
      <c r="BG158">
        <v>33.53</v>
      </c>
      <c r="BH158">
        <v>-7.884615385</v>
      </c>
      <c r="BI158">
        <v>132</v>
      </c>
      <c r="BJ158">
        <v>8.6</v>
      </c>
      <c r="BK158" t="s">
        <v>66</v>
      </c>
      <c r="BL158">
        <v>92</v>
      </c>
      <c r="BM158">
        <v>34</v>
      </c>
      <c r="BN158">
        <v>28</v>
      </c>
      <c r="BO158">
        <f t="shared" si="27"/>
        <v>31</v>
      </c>
      <c r="BP158">
        <v>4</v>
      </c>
      <c r="BQ158">
        <v>1</v>
      </c>
      <c r="BS158">
        <v>0</v>
      </c>
      <c r="BT158">
        <f t="shared" si="28"/>
        <v>50.757575757575758</v>
      </c>
      <c r="BU158">
        <f t="shared" si="29"/>
        <v>41.860465116279066</v>
      </c>
      <c r="BV158">
        <f t="shared" si="30"/>
        <v>41.304347826086953</v>
      </c>
      <c r="BW158">
        <f t="shared" si="31"/>
        <v>29.032258064516132</v>
      </c>
    </row>
    <row r="159" spans="1:75" x14ac:dyDescent="0.2">
      <c r="A159" t="s">
        <v>170</v>
      </c>
      <c r="B159" t="s">
        <v>192</v>
      </c>
      <c r="C159" t="s">
        <v>106</v>
      </c>
      <c r="D159" t="s">
        <v>63</v>
      </c>
      <c r="E159" t="s">
        <v>95</v>
      </c>
      <c r="F159" t="s">
        <v>208</v>
      </c>
      <c r="G159">
        <v>2.2000000000000002</v>
      </c>
      <c r="H159">
        <v>17.2</v>
      </c>
      <c r="I159">
        <v>18.149999999999999</v>
      </c>
      <c r="J159">
        <v>3.95</v>
      </c>
      <c r="K159">
        <v>41.5</v>
      </c>
      <c r="L159">
        <v>16.06818182</v>
      </c>
      <c r="M159">
        <v>74</v>
      </c>
      <c r="N159">
        <v>94</v>
      </c>
      <c r="O159">
        <v>20</v>
      </c>
      <c r="P159">
        <v>113</v>
      </c>
      <c r="Q159">
        <v>39</v>
      </c>
      <c r="R159">
        <v>19.5</v>
      </c>
      <c r="S159">
        <v>86.1</v>
      </c>
      <c r="T159">
        <v>52.702702700000003</v>
      </c>
      <c r="U159">
        <v>20.212765959999999</v>
      </c>
      <c r="V159">
        <v>8</v>
      </c>
      <c r="W159">
        <v>9</v>
      </c>
      <c r="X159">
        <v>10</v>
      </c>
      <c r="Y159">
        <v>2</v>
      </c>
      <c r="Z159">
        <v>25</v>
      </c>
      <c r="AA159" t="s">
        <v>66</v>
      </c>
      <c r="AB159" t="s">
        <v>66</v>
      </c>
      <c r="AC159" t="s">
        <v>66</v>
      </c>
      <c r="AD159" t="s">
        <v>66</v>
      </c>
      <c r="AE159">
        <v>61</v>
      </c>
      <c r="AF159">
        <v>87</v>
      </c>
      <c r="AG159" t="s">
        <v>66</v>
      </c>
      <c r="AH159">
        <v>31</v>
      </c>
      <c r="AI159">
        <v>40</v>
      </c>
      <c r="AJ159" t="s">
        <v>66</v>
      </c>
      <c r="AK159">
        <v>23</v>
      </c>
      <c r="AL159">
        <v>18</v>
      </c>
      <c r="AM159">
        <v>27</v>
      </c>
      <c r="AN159">
        <v>29</v>
      </c>
      <c r="AO159">
        <v>7.407407407</v>
      </c>
      <c r="AP159">
        <v>42.62295082</v>
      </c>
      <c r="AQ159">
        <v>2.2592592589999998</v>
      </c>
      <c r="AR159">
        <v>3</v>
      </c>
      <c r="AS159">
        <v>0.74074074099999998</v>
      </c>
      <c r="AT159">
        <v>0</v>
      </c>
      <c r="AU159" t="s">
        <v>66</v>
      </c>
      <c r="AV159">
        <v>3</v>
      </c>
      <c r="AW159">
        <v>2</v>
      </c>
      <c r="AX159">
        <v>0</v>
      </c>
      <c r="AY159">
        <v>1</v>
      </c>
      <c r="AZ159">
        <v>1</v>
      </c>
      <c r="BA159">
        <v>1</v>
      </c>
      <c r="BB159" t="s">
        <v>66</v>
      </c>
      <c r="BC159">
        <v>25.9</v>
      </c>
      <c r="BD159">
        <v>50.5</v>
      </c>
      <c r="BE159">
        <v>94.980694979999996</v>
      </c>
      <c r="BF159">
        <v>0</v>
      </c>
      <c r="BG159">
        <v>35.35</v>
      </c>
      <c r="BH159">
        <v>36.486486489999997</v>
      </c>
      <c r="BI159">
        <v>124</v>
      </c>
      <c r="BJ159">
        <v>11</v>
      </c>
      <c r="BK159" t="s">
        <v>66</v>
      </c>
      <c r="BL159">
        <f>124-79</f>
        <v>45</v>
      </c>
      <c r="BM159">
        <v>30</v>
      </c>
      <c r="BN159">
        <v>16</v>
      </c>
      <c r="BO159">
        <f t="shared" si="27"/>
        <v>23</v>
      </c>
      <c r="BP159">
        <v>4</v>
      </c>
      <c r="BQ159">
        <v>1</v>
      </c>
      <c r="BS159">
        <v>0</v>
      </c>
      <c r="BT159">
        <f t="shared" si="28"/>
        <v>40.322580645161288</v>
      </c>
      <c r="BU159">
        <f t="shared" si="29"/>
        <v>27.27272727272727</v>
      </c>
      <c r="BV159">
        <f t="shared" si="30"/>
        <v>-35.555555555555557</v>
      </c>
      <c r="BW159">
        <f t="shared" si="31"/>
        <v>-17.391304347826086</v>
      </c>
    </row>
    <row r="160" spans="1:75" x14ac:dyDescent="0.2">
      <c r="A160" t="s">
        <v>170</v>
      </c>
      <c r="B160" t="s">
        <v>192</v>
      </c>
      <c r="C160" t="s">
        <v>106</v>
      </c>
      <c r="D160" t="s">
        <v>63</v>
      </c>
      <c r="E160" t="s">
        <v>99</v>
      </c>
      <c r="F160" t="s">
        <v>210</v>
      </c>
      <c r="G160">
        <v>2.2000000000000002</v>
      </c>
      <c r="H160">
        <v>17.2</v>
      </c>
      <c r="I160">
        <v>18.149999999999999</v>
      </c>
      <c r="J160">
        <v>3.95</v>
      </c>
      <c r="K160">
        <v>41.5</v>
      </c>
      <c r="L160">
        <v>16.06818182</v>
      </c>
      <c r="M160">
        <v>38</v>
      </c>
      <c r="N160">
        <v>47</v>
      </c>
      <c r="O160">
        <v>9</v>
      </c>
      <c r="P160">
        <v>47</v>
      </c>
      <c r="Q160">
        <v>9</v>
      </c>
      <c r="R160">
        <v>4.5</v>
      </c>
      <c r="S160">
        <v>56.1</v>
      </c>
      <c r="T160">
        <v>23.684210530000001</v>
      </c>
      <c r="U160">
        <v>0</v>
      </c>
      <c r="V160">
        <v>4</v>
      </c>
      <c r="W160">
        <v>7</v>
      </c>
      <c r="X160">
        <v>6</v>
      </c>
      <c r="Y160">
        <v>2</v>
      </c>
      <c r="Z160">
        <v>50</v>
      </c>
      <c r="AA160" t="s">
        <v>66</v>
      </c>
      <c r="AB160" t="s">
        <v>66</v>
      </c>
      <c r="AC160" t="s">
        <v>66</v>
      </c>
      <c r="AD160" t="s">
        <v>66</v>
      </c>
      <c r="AE160">
        <v>23</v>
      </c>
      <c r="AF160">
        <v>24</v>
      </c>
      <c r="AG160" t="s">
        <v>66</v>
      </c>
      <c r="AH160">
        <v>15</v>
      </c>
      <c r="AI160">
        <v>19</v>
      </c>
      <c r="AJ160" t="s">
        <v>66</v>
      </c>
      <c r="AK160">
        <v>10</v>
      </c>
      <c r="AL160">
        <v>8</v>
      </c>
      <c r="AM160">
        <v>12.5</v>
      </c>
      <c r="AN160">
        <v>13.5</v>
      </c>
      <c r="AO160">
        <v>8</v>
      </c>
      <c r="AP160">
        <v>4.3478260869999996</v>
      </c>
      <c r="AQ160">
        <v>1.84</v>
      </c>
      <c r="AR160">
        <v>1.7777777779999999</v>
      </c>
      <c r="AS160">
        <v>-6.2222222000000001E-2</v>
      </c>
      <c r="AT160">
        <v>0</v>
      </c>
      <c r="AU160" t="s">
        <v>66</v>
      </c>
      <c r="AV160">
        <v>2</v>
      </c>
      <c r="AW160">
        <v>1</v>
      </c>
      <c r="AX160">
        <v>0</v>
      </c>
      <c r="AY160">
        <v>1</v>
      </c>
      <c r="AZ160">
        <v>1</v>
      </c>
      <c r="BA160">
        <v>1</v>
      </c>
      <c r="BB160" t="s">
        <v>66</v>
      </c>
      <c r="BC160">
        <v>28.2</v>
      </c>
      <c r="BD160">
        <v>31.9</v>
      </c>
      <c r="BE160">
        <v>13.120567380000001</v>
      </c>
      <c r="BF160">
        <v>0</v>
      </c>
      <c r="BG160">
        <v>22.33</v>
      </c>
      <c r="BH160">
        <v>-20.81560284</v>
      </c>
      <c r="BI160">
        <v>78</v>
      </c>
      <c r="BJ160">
        <v>6</v>
      </c>
      <c r="BK160" t="s">
        <v>66</v>
      </c>
      <c r="BL160">
        <v>52</v>
      </c>
      <c r="BM160">
        <v>30</v>
      </c>
      <c r="BN160">
        <v>24</v>
      </c>
      <c r="BO160">
        <f t="shared" si="27"/>
        <v>27</v>
      </c>
      <c r="BP160">
        <v>4</v>
      </c>
      <c r="BQ160">
        <v>1</v>
      </c>
      <c r="BS160">
        <v>0</v>
      </c>
      <c r="BT160">
        <f t="shared" si="28"/>
        <v>51.282051282051277</v>
      </c>
      <c r="BU160">
        <f t="shared" si="29"/>
        <v>33.333333333333329</v>
      </c>
      <c r="BV160">
        <f t="shared" si="30"/>
        <v>55.769230769230774</v>
      </c>
      <c r="BW160">
        <f t="shared" si="31"/>
        <v>53.703703703703709</v>
      </c>
    </row>
    <row r="161" spans="1:75" x14ac:dyDescent="0.2">
      <c r="A161" t="s">
        <v>170</v>
      </c>
      <c r="B161" t="s">
        <v>192</v>
      </c>
      <c r="C161" t="s">
        <v>106</v>
      </c>
      <c r="D161" t="s">
        <v>63</v>
      </c>
      <c r="E161" t="s">
        <v>103</v>
      </c>
      <c r="F161" t="s">
        <v>212</v>
      </c>
      <c r="G161">
        <v>2.2000000000000002</v>
      </c>
      <c r="H161">
        <v>17.2</v>
      </c>
      <c r="I161">
        <v>18.149999999999999</v>
      </c>
      <c r="J161">
        <v>3.95</v>
      </c>
      <c r="K161">
        <v>41.5</v>
      </c>
      <c r="L161">
        <v>16.06818182</v>
      </c>
      <c r="M161">
        <v>33</v>
      </c>
      <c r="N161">
        <v>41</v>
      </c>
      <c r="O161">
        <v>8</v>
      </c>
      <c r="P161">
        <v>40</v>
      </c>
      <c r="Q161">
        <v>7</v>
      </c>
      <c r="R161">
        <v>3.5</v>
      </c>
      <c r="S161">
        <v>54.1</v>
      </c>
      <c r="T161">
        <v>21.212121209999999</v>
      </c>
      <c r="U161">
        <v>-2.4390243900000002</v>
      </c>
      <c r="V161">
        <v>4</v>
      </c>
      <c r="W161">
        <v>5</v>
      </c>
      <c r="X161">
        <v>5</v>
      </c>
      <c r="Y161">
        <v>1</v>
      </c>
      <c r="Z161">
        <v>25</v>
      </c>
      <c r="AA161" t="s">
        <v>66</v>
      </c>
      <c r="AB161" t="s">
        <v>66</v>
      </c>
      <c r="AC161" t="s">
        <v>66</v>
      </c>
      <c r="AD161" t="s">
        <v>66</v>
      </c>
      <c r="AE161">
        <v>17</v>
      </c>
      <c r="AF161">
        <v>22</v>
      </c>
      <c r="AG161" t="s">
        <v>66</v>
      </c>
      <c r="AH161">
        <v>7</v>
      </c>
      <c r="AI161">
        <v>10</v>
      </c>
      <c r="AJ161" t="s">
        <v>66</v>
      </c>
      <c r="AK161">
        <v>7</v>
      </c>
      <c r="AL161">
        <v>9</v>
      </c>
      <c r="AM161">
        <v>7</v>
      </c>
      <c r="AN161">
        <v>9.5</v>
      </c>
      <c r="AO161">
        <v>35.714285709999999</v>
      </c>
      <c r="AP161">
        <v>29.41176471</v>
      </c>
      <c r="AQ161">
        <v>2.4285714289999998</v>
      </c>
      <c r="AR161">
        <v>2.3157894739999998</v>
      </c>
      <c r="AS161">
        <v>-0.112781955</v>
      </c>
      <c r="AT161">
        <v>0</v>
      </c>
      <c r="AU161" t="s">
        <v>66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1</v>
      </c>
      <c r="BB161" t="s">
        <v>66</v>
      </c>
      <c r="BC161">
        <v>24.2</v>
      </c>
      <c r="BD161">
        <v>31.5</v>
      </c>
      <c r="BE161">
        <v>30.165289260000002</v>
      </c>
      <c r="BF161">
        <v>0</v>
      </c>
      <c r="BG161">
        <v>22.05</v>
      </c>
      <c r="BH161">
        <v>-8.8842975210000006</v>
      </c>
      <c r="BI161">
        <v>42</v>
      </c>
      <c r="BJ161">
        <v>5.0999999999999996</v>
      </c>
      <c r="BK161" t="s">
        <v>66</v>
      </c>
      <c r="BL161">
        <v>12</v>
      </c>
      <c r="BM161">
        <v>16</v>
      </c>
      <c r="BN161">
        <v>12</v>
      </c>
      <c r="BO161">
        <f t="shared" si="27"/>
        <v>14</v>
      </c>
      <c r="BP161">
        <v>4</v>
      </c>
      <c r="BQ161">
        <v>1</v>
      </c>
      <c r="BS161">
        <v>0</v>
      </c>
      <c r="BT161">
        <f t="shared" si="28"/>
        <v>21.428571428571427</v>
      </c>
      <c r="BU161">
        <f t="shared" si="29"/>
        <v>21.568627450980387</v>
      </c>
      <c r="BV161">
        <f t="shared" si="30"/>
        <v>-41.666666666666671</v>
      </c>
      <c r="BW161">
        <f t="shared" si="31"/>
        <v>50</v>
      </c>
    </row>
    <row r="162" spans="1:75" x14ac:dyDescent="0.2">
      <c r="A162" t="s">
        <v>170</v>
      </c>
      <c r="B162" t="s">
        <v>192</v>
      </c>
      <c r="C162" t="s">
        <v>106</v>
      </c>
      <c r="D162" t="s">
        <v>63</v>
      </c>
      <c r="E162" t="s">
        <v>67</v>
      </c>
      <c r="F162" t="s">
        <v>194</v>
      </c>
      <c r="G162">
        <v>2.2000000000000002</v>
      </c>
      <c r="H162">
        <v>17.2</v>
      </c>
      <c r="I162">
        <v>18.149999999999999</v>
      </c>
      <c r="J162">
        <v>3.95</v>
      </c>
      <c r="K162">
        <v>41.5</v>
      </c>
      <c r="L162">
        <v>16.06818182</v>
      </c>
      <c r="M162">
        <v>44</v>
      </c>
      <c r="N162">
        <v>49</v>
      </c>
      <c r="O162">
        <v>5</v>
      </c>
      <c r="P162">
        <v>46</v>
      </c>
      <c r="Q162">
        <v>2</v>
      </c>
      <c r="R162">
        <v>1</v>
      </c>
      <c r="S162">
        <v>49.1</v>
      </c>
      <c r="T162">
        <v>4.5454545450000001</v>
      </c>
      <c r="U162">
        <v>-6.1224489799999997</v>
      </c>
      <c r="V162">
        <v>5</v>
      </c>
      <c r="W162">
        <v>7</v>
      </c>
      <c r="X162">
        <v>6</v>
      </c>
      <c r="Y162">
        <v>1</v>
      </c>
      <c r="Z162">
        <v>20</v>
      </c>
      <c r="AA162" t="s">
        <v>66</v>
      </c>
      <c r="AB162" t="s">
        <v>66</v>
      </c>
      <c r="AC162" t="s">
        <v>66</v>
      </c>
      <c r="AD162" t="s">
        <v>66</v>
      </c>
      <c r="AE162">
        <v>22</v>
      </c>
      <c r="AF162">
        <v>18</v>
      </c>
      <c r="AG162" t="s">
        <v>66</v>
      </c>
      <c r="AH162">
        <v>20</v>
      </c>
      <c r="AI162">
        <v>15</v>
      </c>
      <c r="AJ162" t="s">
        <v>66</v>
      </c>
      <c r="AK162">
        <v>12</v>
      </c>
      <c r="AL162">
        <v>11</v>
      </c>
      <c r="AM162">
        <v>16</v>
      </c>
      <c r="AN162">
        <v>13</v>
      </c>
      <c r="AO162">
        <v>-18.75</v>
      </c>
      <c r="AP162">
        <v>-18.18181818</v>
      </c>
      <c r="AQ162">
        <v>1.375</v>
      </c>
      <c r="AR162">
        <v>1.384615385</v>
      </c>
      <c r="AS162">
        <v>9.6153850000000006E-3</v>
      </c>
      <c r="AT162">
        <v>0</v>
      </c>
      <c r="AU162" t="s">
        <v>66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 t="s">
        <v>66</v>
      </c>
      <c r="BC162">
        <v>30.1</v>
      </c>
      <c r="BD162">
        <v>43.7</v>
      </c>
      <c r="BE162">
        <v>45.18272425</v>
      </c>
      <c r="BF162">
        <v>0</v>
      </c>
      <c r="BG162">
        <v>30.59</v>
      </c>
      <c r="BH162">
        <v>1.6279069770000001</v>
      </c>
      <c r="BI162">
        <v>55</v>
      </c>
      <c r="BJ162">
        <v>7.1</v>
      </c>
      <c r="BK162" t="s">
        <v>66</v>
      </c>
      <c r="BL162">
        <v>20</v>
      </c>
      <c r="BM162">
        <v>42</v>
      </c>
      <c r="BN162">
        <v>10</v>
      </c>
      <c r="BO162">
        <f t="shared" si="27"/>
        <v>26</v>
      </c>
      <c r="BP162">
        <v>4</v>
      </c>
      <c r="BQ162">
        <v>1</v>
      </c>
      <c r="BS162">
        <v>0</v>
      </c>
      <c r="BT162">
        <f t="shared" si="28"/>
        <v>20</v>
      </c>
      <c r="BU162">
        <f t="shared" si="29"/>
        <v>29.577464788732389</v>
      </c>
      <c r="BV162">
        <f t="shared" si="30"/>
        <v>-10</v>
      </c>
      <c r="BW162">
        <f t="shared" si="31"/>
        <v>38.461538461538467</v>
      </c>
    </row>
    <row r="163" spans="1:75" x14ac:dyDescent="0.2">
      <c r="A163" t="s">
        <v>170</v>
      </c>
      <c r="B163" t="s">
        <v>192</v>
      </c>
      <c r="C163" t="s">
        <v>106</v>
      </c>
      <c r="D163" t="s">
        <v>63</v>
      </c>
      <c r="E163" t="s">
        <v>69</v>
      </c>
      <c r="F163" t="s">
        <v>195</v>
      </c>
      <c r="G163">
        <v>2.2000000000000002</v>
      </c>
      <c r="H163">
        <v>17.2</v>
      </c>
      <c r="I163">
        <v>18.149999999999999</v>
      </c>
      <c r="J163">
        <v>3.95</v>
      </c>
      <c r="K163">
        <v>41.5</v>
      </c>
      <c r="L163">
        <v>16.06818182</v>
      </c>
      <c r="M163">
        <v>105</v>
      </c>
      <c r="N163">
        <v>144</v>
      </c>
      <c r="O163">
        <v>39</v>
      </c>
      <c r="P163">
        <v>157</v>
      </c>
      <c r="Q163">
        <v>52</v>
      </c>
      <c r="R163">
        <v>26</v>
      </c>
      <c r="S163">
        <v>99.1</v>
      </c>
      <c r="T163">
        <v>49.52380952</v>
      </c>
      <c r="U163">
        <v>9.0277777780000008</v>
      </c>
      <c r="V163">
        <v>14</v>
      </c>
      <c r="W163">
        <v>48</v>
      </c>
      <c r="X163">
        <v>18</v>
      </c>
      <c r="Y163">
        <v>4</v>
      </c>
      <c r="Z163">
        <v>28.571428569999998</v>
      </c>
      <c r="AA163" t="s">
        <v>66</v>
      </c>
      <c r="AB163" t="s">
        <v>66</v>
      </c>
      <c r="AC163">
        <v>4</v>
      </c>
      <c r="AD163" t="s">
        <v>66</v>
      </c>
      <c r="AE163">
        <v>119</v>
      </c>
      <c r="AF163">
        <v>92</v>
      </c>
      <c r="AG163" t="s">
        <v>66</v>
      </c>
      <c r="AH163">
        <v>72</v>
      </c>
      <c r="AI163">
        <v>81</v>
      </c>
      <c r="AJ163" t="s">
        <v>66</v>
      </c>
      <c r="AK163">
        <v>55</v>
      </c>
      <c r="AL163">
        <v>41</v>
      </c>
      <c r="AM163">
        <v>63.5</v>
      </c>
      <c r="AN163">
        <v>61</v>
      </c>
      <c r="AO163">
        <v>-3.9370078739999999</v>
      </c>
      <c r="AP163">
        <v>-22.689075630000001</v>
      </c>
      <c r="AQ163">
        <v>1.8740157479999999</v>
      </c>
      <c r="AR163">
        <v>1.508196721</v>
      </c>
      <c r="AS163">
        <v>-0.36581902700000002</v>
      </c>
      <c r="AT163">
        <v>0</v>
      </c>
      <c r="AU163" t="s">
        <v>66</v>
      </c>
      <c r="AV163">
        <v>2</v>
      </c>
      <c r="AW163">
        <v>3</v>
      </c>
      <c r="AX163">
        <v>1</v>
      </c>
      <c r="AY163">
        <v>1</v>
      </c>
      <c r="AZ163">
        <v>1</v>
      </c>
      <c r="BA163">
        <v>1</v>
      </c>
      <c r="BB163" t="s">
        <v>66</v>
      </c>
      <c r="BC163">
        <v>34.5</v>
      </c>
      <c r="BD163">
        <v>47.7</v>
      </c>
      <c r="BE163">
        <v>38.260869569999997</v>
      </c>
      <c r="BF163">
        <v>0</v>
      </c>
      <c r="BG163">
        <v>33.39</v>
      </c>
      <c r="BH163">
        <v>-3.217391304</v>
      </c>
      <c r="BI163">
        <v>264</v>
      </c>
      <c r="BJ163">
        <v>20.9</v>
      </c>
      <c r="BK163">
        <v>11.2</v>
      </c>
      <c r="BL163">
        <f>264-87</f>
        <v>177</v>
      </c>
      <c r="BM163">
        <v>79</v>
      </c>
      <c r="BN163">
        <v>52</v>
      </c>
      <c r="BO163">
        <f t="shared" si="27"/>
        <v>65.5</v>
      </c>
      <c r="BP163">
        <v>4</v>
      </c>
      <c r="BQ163">
        <v>1</v>
      </c>
      <c r="BS163">
        <v>0</v>
      </c>
      <c r="BT163">
        <f t="shared" si="28"/>
        <v>60.227272727272727</v>
      </c>
      <c r="BU163">
        <f t="shared" si="29"/>
        <v>33.014354066985639</v>
      </c>
      <c r="BV163">
        <f t="shared" si="30"/>
        <v>32.7683615819209</v>
      </c>
      <c r="BW163">
        <f t="shared" si="31"/>
        <v>3.0534351145038165</v>
      </c>
    </row>
    <row r="164" spans="1:75" x14ac:dyDescent="0.2">
      <c r="A164" t="s">
        <v>170</v>
      </c>
      <c r="B164" t="s">
        <v>192</v>
      </c>
      <c r="C164" t="s">
        <v>106</v>
      </c>
      <c r="D164" t="s">
        <v>63</v>
      </c>
      <c r="E164" t="s">
        <v>73</v>
      </c>
      <c r="F164" t="s">
        <v>197</v>
      </c>
      <c r="G164">
        <v>2.2000000000000002</v>
      </c>
      <c r="H164">
        <v>17.2</v>
      </c>
      <c r="I164">
        <v>18.149999999999999</v>
      </c>
      <c r="J164">
        <v>3.95</v>
      </c>
      <c r="K164">
        <v>41.5</v>
      </c>
      <c r="L164">
        <v>16.06818182</v>
      </c>
      <c r="M164">
        <v>35</v>
      </c>
      <c r="N164">
        <v>46</v>
      </c>
      <c r="O164">
        <v>11</v>
      </c>
      <c r="P164">
        <v>47</v>
      </c>
      <c r="Q164">
        <v>12</v>
      </c>
      <c r="R164">
        <v>6</v>
      </c>
      <c r="S164">
        <v>59.1</v>
      </c>
      <c r="T164">
        <v>34.285714290000001</v>
      </c>
      <c r="U164">
        <v>2.1739130430000002</v>
      </c>
      <c r="V164">
        <v>6</v>
      </c>
      <c r="W164">
        <v>7</v>
      </c>
      <c r="X164">
        <v>8</v>
      </c>
      <c r="Y164">
        <v>2</v>
      </c>
      <c r="Z164">
        <v>33.333333330000002</v>
      </c>
      <c r="AA164" t="s">
        <v>66</v>
      </c>
      <c r="AB164" t="s">
        <v>66</v>
      </c>
      <c r="AC164" t="s">
        <v>66</v>
      </c>
      <c r="AD164" t="s">
        <v>66</v>
      </c>
      <c r="AE164">
        <v>25</v>
      </c>
      <c r="AF164">
        <v>28</v>
      </c>
      <c r="AG164" t="s">
        <v>66</v>
      </c>
      <c r="AH164">
        <v>18</v>
      </c>
      <c r="AI164">
        <v>14</v>
      </c>
      <c r="AJ164" t="s">
        <v>66</v>
      </c>
      <c r="AK164">
        <v>11</v>
      </c>
      <c r="AL164">
        <v>13</v>
      </c>
      <c r="AM164">
        <v>14.5</v>
      </c>
      <c r="AN164">
        <v>13.5</v>
      </c>
      <c r="AO164">
        <v>-6.896551724</v>
      </c>
      <c r="AP164">
        <v>12</v>
      </c>
      <c r="AQ164">
        <v>1.724137931</v>
      </c>
      <c r="AR164">
        <v>2.0740740739999999</v>
      </c>
      <c r="AS164">
        <v>0.34993614299999998</v>
      </c>
      <c r="AT164">
        <v>0</v>
      </c>
      <c r="AU164" t="s">
        <v>66</v>
      </c>
      <c r="AV164">
        <v>3</v>
      </c>
      <c r="AW164">
        <v>1</v>
      </c>
      <c r="AX164">
        <v>1</v>
      </c>
      <c r="AY164">
        <v>1</v>
      </c>
      <c r="AZ164">
        <v>1</v>
      </c>
      <c r="BA164">
        <v>1</v>
      </c>
      <c r="BB164" t="s">
        <v>66</v>
      </c>
      <c r="BC164">
        <v>27.9</v>
      </c>
      <c r="BD164">
        <v>39.5</v>
      </c>
      <c r="BE164">
        <v>41.577060930000002</v>
      </c>
      <c r="BF164">
        <v>0</v>
      </c>
      <c r="BG164">
        <v>27.65</v>
      </c>
      <c r="BH164">
        <v>-0.89605734800000003</v>
      </c>
      <c r="BI164">
        <v>56</v>
      </c>
      <c r="BJ164">
        <v>7.5</v>
      </c>
      <c r="BK164" t="s">
        <v>66</v>
      </c>
      <c r="BL164">
        <f>56-39</f>
        <v>17</v>
      </c>
      <c r="BM164">
        <v>18</v>
      </c>
      <c r="BN164">
        <v>13</v>
      </c>
      <c r="BO164">
        <f t="shared" si="27"/>
        <v>15.5</v>
      </c>
      <c r="BP164">
        <v>4</v>
      </c>
      <c r="BQ164">
        <v>1</v>
      </c>
      <c r="BS164">
        <v>0</v>
      </c>
      <c r="BT164">
        <f t="shared" si="28"/>
        <v>37.5</v>
      </c>
      <c r="BU164">
        <f t="shared" si="29"/>
        <v>20</v>
      </c>
      <c r="BV164">
        <f t="shared" si="30"/>
        <v>-47.058823529411761</v>
      </c>
      <c r="BW164">
        <f t="shared" si="31"/>
        <v>6.4516129032258061</v>
      </c>
    </row>
    <row r="165" spans="1:75" x14ac:dyDescent="0.2">
      <c r="A165" t="s">
        <v>170</v>
      </c>
      <c r="B165" t="s">
        <v>192</v>
      </c>
      <c r="C165" t="s">
        <v>106</v>
      </c>
      <c r="D165" t="s">
        <v>63</v>
      </c>
      <c r="E165" t="s">
        <v>97</v>
      </c>
      <c r="F165" t="s">
        <v>209</v>
      </c>
      <c r="G165">
        <v>2.2000000000000002</v>
      </c>
      <c r="H165">
        <v>17.2</v>
      </c>
      <c r="I165">
        <v>18.149999999999999</v>
      </c>
      <c r="J165">
        <v>3.95</v>
      </c>
      <c r="K165">
        <v>41.5</v>
      </c>
      <c r="L165">
        <v>16.06818182</v>
      </c>
      <c r="M165">
        <v>84</v>
      </c>
      <c r="N165">
        <v>159</v>
      </c>
      <c r="O165">
        <v>75</v>
      </c>
      <c r="P165">
        <v>178</v>
      </c>
      <c r="Q165">
        <v>94</v>
      </c>
      <c r="R165">
        <v>47</v>
      </c>
      <c r="S165">
        <v>141.1</v>
      </c>
      <c r="T165">
        <v>111.9047619</v>
      </c>
      <c r="U165">
        <v>11.94968553</v>
      </c>
      <c r="V165">
        <v>10</v>
      </c>
      <c r="W165">
        <v>12</v>
      </c>
      <c r="X165">
        <v>16</v>
      </c>
      <c r="Y165">
        <v>6</v>
      </c>
      <c r="Z165">
        <v>60</v>
      </c>
      <c r="AA165" t="s">
        <v>66</v>
      </c>
      <c r="AB165">
        <v>3</v>
      </c>
      <c r="AC165">
        <v>5</v>
      </c>
      <c r="AD165" t="s">
        <v>66</v>
      </c>
      <c r="AE165">
        <v>102</v>
      </c>
      <c r="AF165">
        <v>128</v>
      </c>
      <c r="AG165" t="s">
        <v>66</v>
      </c>
      <c r="AH165">
        <v>44</v>
      </c>
      <c r="AI165">
        <v>53</v>
      </c>
      <c r="AJ165" t="s">
        <v>66</v>
      </c>
      <c r="AK165">
        <v>32</v>
      </c>
      <c r="AL165">
        <v>35</v>
      </c>
      <c r="AM165">
        <v>38</v>
      </c>
      <c r="AN165">
        <v>44</v>
      </c>
      <c r="AO165">
        <v>15.78947368</v>
      </c>
      <c r="AP165">
        <v>25.49019608</v>
      </c>
      <c r="AQ165">
        <v>2.6842105260000002</v>
      </c>
      <c r="AR165">
        <v>2.9090909090000001</v>
      </c>
      <c r="AS165">
        <v>0.22488038299999999</v>
      </c>
      <c r="AT165">
        <v>0</v>
      </c>
      <c r="AU165" t="s">
        <v>66</v>
      </c>
      <c r="AV165">
        <v>3</v>
      </c>
      <c r="AW165">
        <v>3</v>
      </c>
      <c r="AX165">
        <v>1</v>
      </c>
      <c r="AY165">
        <v>1</v>
      </c>
      <c r="AZ165">
        <v>1</v>
      </c>
      <c r="BA165">
        <v>1</v>
      </c>
      <c r="BB165" t="s">
        <v>66</v>
      </c>
      <c r="BC165">
        <v>38.1</v>
      </c>
      <c r="BD165">
        <v>40.200000000000003</v>
      </c>
      <c r="BE165">
        <v>5.511811024</v>
      </c>
      <c r="BF165">
        <v>0</v>
      </c>
      <c r="BG165">
        <v>28.14</v>
      </c>
      <c r="BH165">
        <v>-26.141732279999999</v>
      </c>
      <c r="BI165">
        <v>216</v>
      </c>
      <c r="BJ165">
        <v>14.5</v>
      </c>
      <c r="BK165">
        <v>6</v>
      </c>
      <c r="BL165">
        <f>216-107</f>
        <v>109</v>
      </c>
      <c r="BM165">
        <v>38</v>
      </c>
      <c r="BN165">
        <v>24</v>
      </c>
      <c r="BO165">
        <f t="shared" si="27"/>
        <v>31</v>
      </c>
      <c r="BP165">
        <v>4</v>
      </c>
      <c r="BQ165">
        <v>1</v>
      </c>
      <c r="BS165">
        <v>0</v>
      </c>
      <c r="BT165">
        <f t="shared" si="28"/>
        <v>61.111111111111114</v>
      </c>
      <c r="BU165">
        <f t="shared" si="29"/>
        <v>31.03448275862069</v>
      </c>
      <c r="BV165">
        <f t="shared" si="30"/>
        <v>6.4220183486238538</v>
      </c>
      <c r="BW165">
        <f t="shared" si="31"/>
        <v>-22.58064516129032</v>
      </c>
    </row>
    <row r="166" spans="1:75" x14ac:dyDescent="0.2">
      <c r="A166" t="s">
        <v>170</v>
      </c>
      <c r="B166" t="s">
        <v>192</v>
      </c>
      <c r="C166" t="s">
        <v>106</v>
      </c>
      <c r="D166" t="s">
        <v>63</v>
      </c>
      <c r="E166" t="s">
        <v>101</v>
      </c>
      <c r="F166" t="s">
        <v>211</v>
      </c>
      <c r="G166">
        <v>2.2000000000000002</v>
      </c>
      <c r="H166">
        <v>17.2</v>
      </c>
      <c r="I166">
        <v>18.149999999999999</v>
      </c>
      <c r="J166">
        <v>3.95</v>
      </c>
      <c r="K166">
        <v>41.5</v>
      </c>
      <c r="L166">
        <v>16.06818182</v>
      </c>
      <c r="M166">
        <v>76</v>
      </c>
      <c r="N166">
        <v>127</v>
      </c>
      <c r="O166">
        <v>51</v>
      </c>
      <c r="P166">
        <v>129</v>
      </c>
      <c r="Q166">
        <v>53</v>
      </c>
      <c r="R166">
        <v>26.5</v>
      </c>
      <c r="S166">
        <v>100.1</v>
      </c>
      <c r="T166">
        <v>69.736842109999998</v>
      </c>
      <c r="U166">
        <v>1.5748031499999999</v>
      </c>
      <c r="V166">
        <v>9</v>
      </c>
      <c r="W166">
        <v>12</v>
      </c>
      <c r="X166">
        <v>14</v>
      </c>
      <c r="Y166">
        <v>5</v>
      </c>
      <c r="Z166">
        <v>55.555555560000002</v>
      </c>
      <c r="AA166" t="s">
        <v>66</v>
      </c>
      <c r="AB166" t="s">
        <v>66</v>
      </c>
      <c r="AC166" t="s">
        <v>66</v>
      </c>
      <c r="AD166" t="s">
        <v>66</v>
      </c>
      <c r="AE166">
        <v>87</v>
      </c>
      <c r="AF166">
        <v>74</v>
      </c>
      <c r="AG166" t="s">
        <v>66</v>
      </c>
      <c r="AH166">
        <v>32</v>
      </c>
      <c r="AI166">
        <v>30</v>
      </c>
      <c r="AJ166" t="s">
        <v>66</v>
      </c>
      <c r="AK166">
        <v>26</v>
      </c>
      <c r="AL166">
        <v>19</v>
      </c>
      <c r="AM166">
        <v>29</v>
      </c>
      <c r="AN166">
        <v>24.5</v>
      </c>
      <c r="AO166">
        <v>-15.51724138</v>
      </c>
      <c r="AP166">
        <v>-14.94252874</v>
      </c>
      <c r="AQ166">
        <v>3</v>
      </c>
      <c r="AR166">
        <v>3.0204081629999999</v>
      </c>
      <c r="AS166">
        <v>2.0408163E-2</v>
      </c>
      <c r="AT166">
        <v>0</v>
      </c>
      <c r="AU166" t="s">
        <v>66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 t="s">
        <v>66</v>
      </c>
      <c r="BC166">
        <v>30</v>
      </c>
      <c r="BD166">
        <v>39.4</v>
      </c>
      <c r="BE166">
        <v>31.333333329999999</v>
      </c>
      <c r="BF166">
        <v>0</v>
      </c>
      <c r="BG166">
        <v>27.58</v>
      </c>
      <c r="BH166">
        <v>-8.0666666669999998</v>
      </c>
      <c r="BI166">
        <v>197</v>
      </c>
      <c r="BJ166">
        <v>12</v>
      </c>
      <c r="BK166">
        <v>5.0999999999999996</v>
      </c>
      <c r="BL166">
        <v>97</v>
      </c>
      <c r="BM166">
        <v>55</v>
      </c>
      <c r="BN166">
        <v>45</v>
      </c>
      <c r="BO166">
        <f t="shared" si="27"/>
        <v>50</v>
      </c>
      <c r="BP166">
        <v>4</v>
      </c>
      <c r="BQ166">
        <v>1</v>
      </c>
      <c r="BS166">
        <v>0</v>
      </c>
      <c r="BT166">
        <f t="shared" si="28"/>
        <v>61.421319796954307</v>
      </c>
      <c r="BU166">
        <f t="shared" si="29"/>
        <v>25</v>
      </c>
      <c r="BV166">
        <f t="shared" si="30"/>
        <v>10.309278350515463</v>
      </c>
      <c r="BW166">
        <f t="shared" si="31"/>
        <v>42</v>
      </c>
    </row>
    <row r="167" spans="1:75" x14ac:dyDescent="0.2">
      <c r="A167" t="s">
        <v>213</v>
      </c>
      <c r="B167" t="s">
        <v>235</v>
      </c>
      <c r="C167" t="s">
        <v>106</v>
      </c>
      <c r="D167" t="s">
        <v>63</v>
      </c>
      <c r="E167" t="s">
        <v>64</v>
      </c>
      <c r="F167" t="s">
        <v>236</v>
      </c>
      <c r="G167">
        <v>8.65</v>
      </c>
      <c r="H167">
        <v>13.05</v>
      </c>
      <c r="I167">
        <v>14.95</v>
      </c>
      <c r="J167">
        <v>14.4</v>
      </c>
      <c r="K167">
        <v>51.05</v>
      </c>
      <c r="L167">
        <v>3.2369942200000001</v>
      </c>
      <c r="M167">
        <v>29</v>
      </c>
      <c r="N167">
        <v>38</v>
      </c>
      <c r="O167">
        <v>9</v>
      </c>
      <c r="P167">
        <v>40</v>
      </c>
      <c r="Q167">
        <v>11</v>
      </c>
      <c r="R167">
        <v>5.5</v>
      </c>
      <c r="S167">
        <v>58.1</v>
      </c>
      <c r="T167">
        <v>37.931034480000001</v>
      </c>
      <c r="U167">
        <v>5.263157895</v>
      </c>
      <c r="V167">
        <v>3</v>
      </c>
      <c r="W167">
        <v>5</v>
      </c>
      <c r="X167">
        <v>4</v>
      </c>
      <c r="Y167">
        <v>1</v>
      </c>
      <c r="Z167">
        <v>33.333333330000002</v>
      </c>
      <c r="AA167" t="s">
        <v>66</v>
      </c>
      <c r="AB167" t="s">
        <v>66</v>
      </c>
      <c r="AC167" t="s">
        <v>66</v>
      </c>
      <c r="AD167" t="s">
        <v>66</v>
      </c>
      <c r="AE167">
        <v>10</v>
      </c>
      <c r="AF167">
        <v>15</v>
      </c>
      <c r="AG167" t="s">
        <v>66</v>
      </c>
      <c r="AH167">
        <v>10</v>
      </c>
      <c r="AI167">
        <v>8</v>
      </c>
      <c r="AJ167" t="s">
        <v>66</v>
      </c>
      <c r="AK167">
        <v>7</v>
      </c>
      <c r="AL167">
        <v>8</v>
      </c>
      <c r="AM167">
        <v>8.5</v>
      </c>
      <c r="AN167">
        <v>8</v>
      </c>
      <c r="AO167">
        <v>-5.8823529409999997</v>
      </c>
      <c r="AP167">
        <v>50</v>
      </c>
      <c r="AQ167">
        <v>1.1764705879999999</v>
      </c>
      <c r="AR167">
        <v>1.875</v>
      </c>
      <c r="AS167">
        <v>0.69852941199999996</v>
      </c>
      <c r="AT167">
        <v>0</v>
      </c>
      <c r="AU167" t="s">
        <v>66</v>
      </c>
      <c r="AV167">
        <v>1</v>
      </c>
      <c r="AW167">
        <v>4</v>
      </c>
      <c r="AX167">
        <v>0</v>
      </c>
      <c r="AY167">
        <v>1</v>
      </c>
      <c r="AZ167">
        <v>1</v>
      </c>
      <c r="BA167">
        <v>1</v>
      </c>
      <c r="BB167" t="s">
        <v>66</v>
      </c>
      <c r="BC167">
        <v>26.7</v>
      </c>
      <c r="BD167">
        <v>43.8</v>
      </c>
      <c r="BE167">
        <v>64.04494382</v>
      </c>
      <c r="BF167">
        <v>0</v>
      </c>
      <c r="BG167">
        <v>30.66</v>
      </c>
      <c r="BH167">
        <v>14.83146067</v>
      </c>
      <c r="BI167" t="s">
        <v>66</v>
      </c>
      <c r="BJ167" t="s">
        <v>66</v>
      </c>
      <c r="BK167" t="s">
        <v>66</v>
      </c>
      <c r="BL167" t="s">
        <v>66</v>
      </c>
      <c r="BM167" t="s">
        <v>66</v>
      </c>
      <c r="BN167" t="s">
        <v>66</v>
      </c>
      <c r="BO167" t="s">
        <v>66</v>
      </c>
      <c r="BP167" t="s">
        <v>66</v>
      </c>
      <c r="BQ167">
        <v>0</v>
      </c>
      <c r="BS167">
        <v>0</v>
      </c>
      <c r="BT167" t="s">
        <v>66</v>
      </c>
      <c r="BU167" t="s">
        <v>66</v>
      </c>
      <c r="BV167" t="s">
        <v>66</v>
      </c>
      <c r="BW167" t="s">
        <v>66</v>
      </c>
    </row>
    <row r="168" spans="1:75" x14ac:dyDescent="0.2">
      <c r="A168" t="s">
        <v>213</v>
      </c>
      <c r="B168" t="s">
        <v>235</v>
      </c>
      <c r="C168" t="s">
        <v>106</v>
      </c>
      <c r="D168" t="s">
        <v>63</v>
      </c>
      <c r="E168" t="s">
        <v>69</v>
      </c>
      <c r="F168" t="s">
        <v>238</v>
      </c>
      <c r="G168">
        <v>8.65</v>
      </c>
      <c r="H168">
        <v>13.05</v>
      </c>
      <c r="I168">
        <v>14.95</v>
      </c>
      <c r="J168">
        <v>14.4</v>
      </c>
      <c r="K168">
        <v>51.05</v>
      </c>
      <c r="L168">
        <v>3.2369942200000001</v>
      </c>
      <c r="M168">
        <v>30</v>
      </c>
      <c r="N168">
        <v>40</v>
      </c>
      <c r="O168">
        <v>10</v>
      </c>
      <c r="P168">
        <v>48</v>
      </c>
      <c r="Q168">
        <v>18</v>
      </c>
      <c r="R168">
        <v>9</v>
      </c>
      <c r="S168">
        <v>65.099999999999994</v>
      </c>
      <c r="T168">
        <v>60</v>
      </c>
      <c r="U168">
        <v>20</v>
      </c>
      <c r="V168">
        <v>4</v>
      </c>
      <c r="W168">
        <v>4</v>
      </c>
      <c r="X168">
        <v>6</v>
      </c>
      <c r="Y168">
        <v>2</v>
      </c>
      <c r="Z168">
        <v>50</v>
      </c>
      <c r="AA168" t="s">
        <v>66</v>
      </c>
      <c r="AB168" t="s">
        <v>66</v>
      </c>
      <c r="AC168" t="s">
        <v>66</v>
      </c>
      <c r="AD168" t="s">
        <v>66</v>
      </c>
      <c r="AE168">
        <v>16</v>
      </c>
      <c r="AF168">
        <v>32</v>
      </c>
      <c r="AG168" t="s">
        <v>66</v>
      </c>
      <c r="AH168">
        <v>10</v>
      </c>
      <c r="AI168">
        <v>13</v>
      </c>
      <c r="AJ168" t="s">
        <v>66</v>
      </c>
      <c r="AK168">
        <v>9</v>
      </c>
      <c r="AL168">
        <v>9</v>
      </c>
      <c r="AM168">
        <v>9.5</v>
      </c>
      <c r="AN168">
        <v>11</v>
      </c>
      <c r="AO168">
        <v>15.78947368</v>
      </c>
      <c r="AP168">
        <v>100</v>
      </c>
      <c r="AQ168">
        <v>1.684210526</v>
      </c>
      <c r="AR168">
        <v>2.9090909090000001</v>
      </c>
      <c r="AS168">
        <v>1.2248803829999999</v>
      </c>
      <c r="AT168">
        <v>0</v>
      </c>
      <c r="AU168" t="s">
        <v>66</v>
      </c>
      <c r="AV168">
        <v>4</v>
      </c>
      <c r="AW168">
        <v>4</v>
      </c>
      <c r="AX168">
        <v>0</v>
      </c>
      <c r="AY168">
        <v>1</v>
      </c>
      <c r="AZ168">
        <v>1</v>
      </c>
      <c r="BA168">
        <v>1</v>
      </c>
      <c r="BB168" t="s">
        <v>66</v>
      </c>
      <c r="BC168">
        <v>32.700000000000003</v>
      </c>
      <c r="BD168">
        <v>47.7</v>
      </c>
      <c r="BE168">
        <v>45.87155963</v>
      </c>
      <c r="BF168">
        <v>0</v>
      </c>
      <c r="BG168">
        <v>33.39</v>
      </c>
      <c r="BH168">
        <v>2.1100917429999999</v>
      </c>
      <c r="BI168" t="s">
        <v>66</v>
      </c>
      <c r="BJ168" t="s">
        <v>66</v>
      </c>
      <c r="BK168" t="s">
        <v>66</v>
      </c>
      <c r="BL168" t="s">
        <v>66</v>
      </c>
      <c r="BM168" t="s">
        <v>66</v>
      </c>
      <c r="BN168" t="s">
        <v>66</v>
      </c>
      <c r="BO168" t="s">
        <v>66</v>
      </c>
      <c r="BP168" t="s">
        <v>66</v>
      </c>
      <c r="BQ168">
        <v>0</v>
      </c>
      <c r="BS168">
        <v>0</v>
      </c>
      <c r="BT168" t="s">
        <v>66</v>
      </c>
      <c r="BU168" t="s">
        <v>66</v>
      </c>
      <c r="BV168" t="s">
        <v>66</v>
      </c>
      <c r="BW168" t="s">
        <v>66</v>
      </c>
    </row>
    <row r="169" spans="1:75" x14ac:dyDescent="0.2">
      <c r="A169" t="s">
        <v>213</v>
      </c>
      <c r="B169" t="s">
        <v>235</v>
      </c>
      <c r="C169" t="s">
        <v>106</v>
      </c>
      <c r="D169" t="s">
        <v>63</v>
      </c>
      <c r="E169" t="s">
        <v>83</v>
      </c>
      <c r="F169" t="s">
        <v>245</v>
      </c>
      <c r="G169">
        <v>8.65</v>
      </c>
      <c r="H169">
        <v>13.05</v>
      </c>
      <c r="I169">
        <v>14.95</v>
      </c>
      <c r="J169">
        <v>14.4</v>
      </c>
      <c r="K169">
        <v>51.05</v>
      </c>
      <c r="L169">
        <v>3.2369942200000001</v>
      </c>
      <c r="M169">
        <v>52</v>
      </c>
      <c r="N169">
        <v>53</v>
      </c>
      <c r="O169">
        <v>1</v>
      </c>
      <c r="P169">
        <v>56</v>
      </c>
      <c r="Q169">
        <v>4</v>
      </c>
      <c r="R169">
        <v>2</v>
      </c>
      <c r="S169">
        <v>51.1</v>
      </c>
      <c r="T169">
        <v>7.692307692</v>
      </c>
      <c r="U169">
        <v>5.6603773579999999</v>
      </c>
      <c r="V169">
        <v>5</v>
      </c>
      <c r="W169">
        <v>5</v>
      </c>
      <c r="X169">
        <v>6</v>
      </c>
      <c r="Y169">
        <v>1</v>
      </c>
      <c r="Z169">
        <v>20</v>
      </c>
      <c r="AA169" t="s">
        <v>66</v>
      </c>
      <c r="AB169" t="s">
        <v>66</v>
      </c>
      <c r="AC169" t="s">
        <v>66</v>
      </c>
      <c r="AD169" t="s">
        <v>66</v>
      </c>
      <c r="AE169">
        <v>30</v>
      </c>
      <c r="AF169">
        <v>28</v>
      </c>
      <c r="AG169" t="s">
        <v>66</v>
      </c>
      <c r="AH169">
        <v>17</v>
      </c>
      <c r="AI169">
        <v>19</v>
      </c>
      <c r="AJ169" t="s">
        <v>66</v>
      </c>
      <c r="AK169">
        <v>9</v>
      </c>
      <c r="AL169">
        <v>11</v>
      </c>
      <c r="AM169">
        <v>13</v>
      </c>
      <c r="AN169">
        <v>15</v>
      </c>
      <c r="AO169">
        <v>15.38461538</v>
      </c>
      <c r="AP169">
        <v>-6.6666666670000003</v>
      </c>
      <c r="AQ169">
        <v>2.307692308</v>
      </c>
      <c r="AR169">
        <v>1.8666666670000001</v>
      </c>
      <c r="AS169">
        <v>-0.44102564100000002</v>
      </c>
      <c r="AT169">
        <v>0</v>
      </c>
      <c r="AU169" t="s">
        <v>66</v>
      </c>
      <c r="AV169">
        <v>2</v>
      </c>
      <c r="AW169">
        <v>2</v>
      </c>
      <c r="AX169">
        <v>0</v>
      </c>
      <c r="AY169">
        <v>1</v>
      </c>
      <c r="AZ169">
        <v>1</v>
      </c>
      <c r="BA169">
        <v>1</v>
      </c>
      <c r="BB169" t="s">
        <v>66</v>
      </c>
      <c r="BC169">
        <v>27.5</v>
      </c>
      <c r="BD169">
        <v>50.9</v>
      </c>
      <c r="BE169">
        <v>85.090909089999997</v>
      </c>
      <c r="BF169">
        <v>0</v>
      </c>
      <c r="BG169">
        <v>35.630000000000003</v>
      </c>
      <c r="BH169">
        <v>29.56363636</v>
      </c>
      <c r="BI169" t="s">
        <v>66</v>
      </c>
      <c r="BJ169" t="s">
        <v>66</v>
      </c>
      <c r="BK169" t="s">
        <v>66</v>
      </c>
      <c r="BL169" t="s">
        <v>66</v>
      </c>
      <c r="BM169" t="s">
        <v>66</v>
      </c>
      <c r="BN169" t="s">
        <v>66</v>
      </c>
      <c r="BO169" t="s">
        <v>66</v>
      </c>
      <c r="BP169" t="s">
        <v>66</v>
      </c>
      <c r="BQ169">
        <v>0</v>
      </c>
      <c r="BS169">
        <v>0</v>
      </c>
      <c r="BT169" t="s">
        <v>66</v>
      </c>
      <c r="BU169" t="s">
        <v>66</v>
      </c>
      <c r="BV169" t="s">
        <v>66</v>
      </c>
      <c r="BW169" t="s">
        <v>66</v>
      </c>
    </row>
    <row r="170" spans="1:75" x14ac:dyDescent="0.2">
      <c r="A170" t="s">
        <v>213</v>
      </c>
      <c r="B170" t="s">
        <v>235</v>
      </c>
      <c r="C170" t="s">
        <v>106</v>
      </c>
      <c r="D170" t="s">
        <v>63</v>
      </c>
      <c r="E170" t="s">
        <v>91</v>
      </c>
      <c r="F170" t="s">
        <v>249</v>
      </c>
      <c r="G170">
        <v>8.65</v>
      </c>
      <c r="H170">
        <v>13.05</v>
      </c>
      <c r="I170">
        <v>14.95</v>
      </c>
      <c r="J170">
        <v>14.4</v>
      </c>
      <c r="K170">
        <v>51.05</v>
      </c>
      <c r="L170">
        <v>3.2369942200000001</v>
      </c>
      <c r="M170">
        <v>28</v>
      </c>
      <c r="N170">
        <v>39</v>
      </c>
      <c r="O170">
        <v>11</v>
      </c>
      <c r="P170">
        <v>50</v>
      </c>
      <c r="Q170">
        <v>22</v>
      </c>
      <c r="R170">
        <v>11</v>
      </c>
      <c r="S170">
        <v>69.099999999999994</v>
      </c>
      <c r="T170">
        <v>78.571428569999995</v>
      </c>
      <c r="U170">
        <v>28.205128210000002</v>
      </c>
      <c r="V170">
        <v>3</v>
      </c>
      <c r="W170">
        <v>5</v>
      </c>
      <c r="X170">
        <v>6</v>
      </c>
      <c r="Y170">
        <v>3</v>
      </c>
      <c r="Z170">
        <v>100</v>
      </c>
      <c r="AA170" t="s">
        <v>66</v>
      </c>
      <c r="AB170" t="s">
        <v>66</v>
      </c>
      <c r="AC170" t="s">
        <v>66</v>
      </c>
      <c r="AD170" t="s">
        <v>66</v>
      </c>
      <c r="AE170">
        <v>21</v>
      </c>
      <c r="AF170">
        <v>24</v>
      </c>
      <c r="AG170" t="s">
        <v>66</v>
      </c>
      <c r="AH170">
        <v>12</v>
      </c>
      <c r="AI170">
        <v>13</v>
      </c>
      <c r="AJ170" t="s">
        <v>66</v>
      </c>
      <c r="AK170">
        <v>10</v>
      </c>
      <c r="AL170">
        <v>8</v>
      </c>
      <c r="AM170">
        <v>11</v>
      </c>
      <c r="AN170">
        <v>10.5</v>
      </c>
      <c r="AO170">
        <v>-4.5454545450000001</v>
      </c>
      <c r="AP170">
        <v>14.28571429</v>
      </c>
      <c r="AQ170">
        <v>1.9090909089999999</v>
      </c>
      <c r="AR170">
        <v>2.2857142860000002</v>
      </c>
      <c r="AS170">
        <v>0.37662337699999998</v>
      </c>
      <c r="AT170">
        <v>0</v>
      </c>
      <c r="AU170" t="s">
        <v>66</v>
      </c>
      <c r="AV170">
        <v>1</v>
      </c>
      <c r="AW170">
        <v>1</v>
      </c>
      <c r="AX170">
        <v>0</v>
      </c>
      <c r="AY170">
        <v>1</v>
      </c>
      <c r="AZ170">
        <v>1</v>
      </c>
      <c r="BA170">
        <v>1</v>
      </c>
      <c r="BB170" t="s">
        <v>66</v>
      </c>
      <c r="BC170">
        <v>30.3</v>
      </c>
      <c r="BD170">
        <v>49.6</v>
      </c>
      <c r="BE170">
        <v>63.69636964</v>
      </c>
      <c r="BF170">
        <v>0</v>
      </c>
      <c r="BG170">
        <v>34.72</v>
      </c>
      <c r="BH170">
        <v>14.58745875</v>
      </c>
      <c r="BI170" t="s">
        <v>66</v>
      </c>
      <c r="BJ170" t="s">
        <v>66</v>
      </c>
      <c r="BK170" t="s">
        <v>66</v>
      </c>
      <c r="BL170" t="s">
        <v>66</v>
      </c>
      <c r="BM170" t="s">
        <v>66</v>
      </c>
      <c r="BN170" t="s">
        <v>66</v>
      </c>
      <c r="BO170" t="s">
        <v>66</v>
      </c>
      <c r="BP170" t="s">
        <v>66</v>
      </c>
      <c r="BQ170">
        <v>0</v>
      </c>
      <c r="BS170">
        <v>0</v>
      </c>
      <c r="BT170" t="s">
        <v>66</v>
      </c>
      <c r="BU170" t="s">
        <v>66</v>
      </c>
      <c r="BV170" t="s">
        <v>66</v>
      </c>
      <c r="BW170" t="s">
        <v>66</v>
      </c>
    </row>
    <row r="171" spans="1:75" x14ac:dyDescent="0.2">
      <c r="A171" t="s">
        <v>213</v>
      </c>
      <c r="B171" t="s">
        <v>235</v>
      </c>
      <c r="C171" t="s">
        <v>106</v>
      </c>
      <c r="D171" t="s">
        <v>63</v>
      </c>
      <c r="E171" t="s">
        <v>67</v>
      </c>
      <c r="F171" t="s">
        <v>237</v>
      </c>
      <c r="G171">
        <v>8.65</v>
      </c>
      <c r="H171">
        <v>13.05</v>
      </c>
      <c r="I171">
        <v>14.95</v>
      </c>
      <c r="J171">
        <v>14.4</v>
      </c>
      <c r="K171">
        <v>51.05</v>
      </c>
      <c r="L171">
        <v>3.2369942200000001</v>
      </c>
      <c r="M171">
        <v>92</v>
      </c>
      <c r="N171">
        <v>98</v>
      </c>
      <c r="O171">
        <v>6</v>
      </c>
      <c r="P171">
        <v>125</v>
      </c>
      <c r="Q171">
        <v>33</v>
      </c>
      <c r="R171">
        <v>16.5</v>
      </c>
      <c r="S171">
        <v>80.099999999999994</v>
      </c>
      <c r="T171">
        <v>35.869565219999998</v>
      </c>
      <c r="U171">
        <v>27.55102041</v>
      </c>
      <c r="V171">
        <v>7</v>
      </c>
      <c r="W171">
        <v>9</v>
      </c>
      <c r="X171">
        <v>10</v>
      </c>
      <c r="Y171">
        <v>3</v>
      </c>
      <c r="Z171">
        <v>42.857142860000003</v>
      </c>
      <c r="AA171" t="s">
        <v>66</v>
      </c>
      <c r="AB171" t="s">
        <v>66</v>
      </c>
      <c r="AC171" t="s">
        <v>66</v>
      </c>
      <c r="AD171" t="s">
        <v>66</v>
      </c>
      <c r="AE171">
        <v>70</v>
      </c>
      <c r="AF171">
        <v>41</v>
      </c>
      <c r="AG171" t="s">
        <v>66</v>
      </c>
      <c r="AH171">
        <v>25</v>
      </c>
      <c r="AI171">
        <v>44</v>
      </c>
      <c r="AJ171" t="s">
        <v>66</v>
      </c>
      <c r="AK171">
        <v>14</v>
      </c>
      <c r="AL171">
        <v>12</v>
      </c>
      <c r="AM171">
        <v>19.5</v>
      </c>
      <c r="AN171">
        <v>28</v>
      </c>
      <c r="AO171">
        <v>43.589743589999998</v>
      </c>
      <c r="AP171">
        <v>-41.428571429999998</v>
      </c>
      <c r="AQ171">
        <v>3.5897435899999999</v>
      </c>
      <c r="AR171">
        <v>1.4642857140000001</v>
      </c>
      <c r="AS171">
        <v>-2.125457876</v>
      </c>
      <c r="AT171">
        <v>0</v>
      </c>
      <c r="AU171" t="s">
        <v>66</v>
      </c>
      <c r="AV171">
        <v>1</v>
      </c>
      <c r="AW171">
        <v>2</v>
      </c>
      <c r="AX171">
        <v>0</v>
      </c>
      <c r="AY171">
        <v>1</v>
      </c>
      <c r="AZ171">
        <v>1</v>
      </c>
      <c r="BA171">
        <v>1</v>
      </c>
      <c r="BB171" t="s">
        <v>66</v>
      </c>
      <c r="BC171">
        <v>30.1</v>
      </c>
      <c r="BD171">
        <v>58.2</v>
      </c>
      <c r="BE171">
        <v>93.355481729999994</v>
      </c>
      <c r="BF171">
        <v>0</v>
      </c>
      <c r="BG171">
        <v>40.74</v>
      </c>
      <c r="BH171">
        <v>35.348837209999999</v>
      </c>
      <c r="BI171">
        <v>124</v>
      </c>
      <c r="BJ171">
        <v>9.1</v>
      </c>
      <c r="BK171" t="s">
        <v>66</v>
      </c>
      <c r="BL171">
        <f>124-87</f>
        <v>37</v>
      </c>
      <c r="BM171">
        <v>14</v>
      </c>
      <c r="BN171">
        <v>8</v>
      </c>
      <c r="BO171">
        <f t="shared" ref="BO171:BO185" si="32">AVERAGE(BM171,BN171)</f>
        <v>11</v>
      </c>
      <c r="BP171">
        <v>4</v>
      </c>
      <c r="BQ171">
        <v>1</v>
      </c>
      <c r="BS171">
        <v>0</v>
      </c>
      <c r="BT171">
        <f t="shared" ref="BT171:BT185" si="33">(BI171-M171)/BI171*100</f>
        <v>25.806451612903224</v>
      </c>
      <c r="BU171">
        <f t="shared" ref="BU171:BU185" si="34">(BJ171-V171)/BJ171*100</f>
        <v>23.076923076923073</v>
      </c>
      <c r="BV171">
        <f t="shared" ref="BV171:BV185" si="35">(BL171-AE171)/BL171*100</f>
        <v>-89.189189189189193</v>
      </c>
      <c r="BW171">
        <f t="shared" ref="BW171:BW185" si="36">(BO171-AM171)/BO171*100</f>
        <v>-77.272727272727266</v>
      </c>
    </row>
    <row r="172" spans="1:75" x14ac:dyDescent="0.2">
      <c r="A172" t="s">
        <v>213</v>
      </c>
      <c r="B172" t="s">
        <v>235</v>
      </c>
      <c r="C172" t="s">
        <v>106</v>
      </c>
      <c r="D172" t="s">
        <v>63</v>
      </c>
      <c r="E172" t="s">
        <v>71</v>
      </c>
      <c r="F172" t="s">
        <v>239</v>
      </c>
      <c r="G172">
        <v>8.65</v>
      </c>
      <c r="H172">
        <v>13.05</v>
      </c>
      <c r="I172">
        <v>14.95</v>
      </c>
      <c r="J172">
        <v>14.4</v>
      </c>
      <c r="K172">
        <v>51.05</v>
      </c>
      <c r="L172">
        <v>3.2369942200000001</v>
      </c>
      <c r="M172">
        <v>56</v>
      </c>
      <c r="N172">
        <v>62</v>
      </c>
      <c r="O172">
        <v>6</v>
      </c>
      <c r="P172">
        <v>64</v>
      </c>
      <c r="Q172">
        <v>8</v>
      </c>
      <c r="R172">
        <v>4</v>
      </c>
      <c r="S172">
        <v>55.1</v>
      </c>
      <c r="T172">
        <v>14.28571429</v>
      </c>
      <c r="U172">
        <v>3.225806452</v>
      </c>
      <c r="V172">
        <v>3</v>
      </c>
      <c r="W172">
        <v>4</v>
      </c>
      <c r="X172">
        <v>6</v>
      </c>
      <c r="Y172">
        <v>3</v>
      </c>
      <c r="Z172">
        <v>100</v>
      </c>
      <c r="AA172" t="s">
        <v>66</v>
      </c>
      <c r="AB172" t="s">
        <v>66</v>
      </c>
      <c r="AC172" t="s">
        <v>66</v>
      </c>
      <c r="AD172" t="s">
        <v>66</v>
      </c>
      <c r="AE172">
        <v>33</v>
      </c>
      <c r="AF172">
        <v>33</v>
      </c>
      <c r="AG172" t="s">
        <v>66</v>
      </c>
      <c r="AH172">
        <v>13</v>
      </c>
      <c r="AI172">
        <v>17</v>
      </c>
      <c r="AJ172" t="s">
        <v>66</v>
      </c>
      <c r="AK172">
        <v>7</v>
      </c>
      <c r="AL172">
        <v>12</v>
      </c>
      <c r="AM172">
        <v>10</v>
      </c>
      <c r="AN172">
        <v>14.5</v>
      </c>
      <c r="AO172">
        <v>45</v>
      </c>
      <c r="AP172">
        <v>0</v>
      </c>
      <c r="AQ172">
        <v>3.3</v>
      </c>
      <c r="AR172">
        <v>2.275862069</v>
      </c>
      <c r="AS172">
        <v>-1.0241379310000001</v>
      </c>
      <c r="AT172">
        <v>0</v>
      </c>
      <c r="AU172" t="s">
        <v>66</v>
      </c>
      <c r="AV172">
        <v>1</v>
      </c>
      <c r="AW172">
        <v>4</v>
      </c>
      <c r="AX172">
        <v>0</v>
      </c>
      <c r="AY172">
        <v>1</v>
      </c>
      <c r="AZ172">
        <v>1</v>
      </c>
      <c r="BA172">
        <v>1</v>
      </c>
      <c r="BB172" t="s">
        <v>66</v>
      </c>
      <c r="BC172">
        <v>29.9</v>
      </c>
      <c r="BD172">
        <v>54.7</v>
      </c>
      <c r="BE172">
        <v>82.943143809999995</v>
      </c>
      <c r="BF172">
        <v>0</v>
      </c>
      <c r="BG172">
        <v>38.29</v>
      </c>
      <c r="BH172">
        <v>28.06020067</v>
      </c>
      <c r="BI172">
        <v>62</v>
      </c>
      <c r="BJ172">
        <v>6.2</v>
      </c>
      <c r="BK172" t="s">
        <v>66</v>
      </c>
      <c r="BL172">
        <v>9</v>
      </c>
      <c r="BM172">
        <v>16</v>
      </c>
      <c r="BN172">
        <v>11</v>
      </c>
      <c r="BO172">
        <f t="shared" si="32"/>
        <v>13.5</v>
      </c>
      <c r="BP172">
        <v>3</v>
      </c>
      <c r="BQ172">
        <v>1</v>
      </c>
      <c r="BS172">
        <v>0</v>
      </c>
      <c r="BT172">
        <f t="shared" si="33"/>
        <v>9.67741935483871</v>
      </c>
      <c r="BU172">
        <f t="shared" si="34"/>
        <v>51.612903225806448</v>
      </c>
      <c r="BV172">
        <f t="shared" si="35"/>
        <v>-266.66666666666663</v>
      </c>
      <c r="BW172">
        <f t="shared" si="36"/>
        <v>25.925925925925924</v>
      </c>
    </row>
    <row r="173" spans="1:75" x14ac:dyDescent="0.2">
      <c r="A173" t="s">
        <v>213</v>
      </c>
      <c r="B173" t="s">
        <v>235</v>
      </c>
      <c r="C173" t="s">
        <v>106</v>
      </c>
      <c r="D173" t="s">
        <v>63</v>
      </c>
      <c r="E173" t="s">
        <v>73</v>
      </c>
      <c r="F173" t="s">
        <v>240</v>
      </c>
      <c r="G173">
        <v>8.65</v>
      </c>
      <c r="H173">
        <v>13.05</v>
      </c>
      <c r="I173">
        <v>14.95</v>
      </c>
      <c r="J173">
        <v>14.4</v>
      </c>
      <c r="K173">
        <v>51.05</v>
      </c>
      <c r="L173">
        <v>3.2369942200000001</v>
      </c>
      <c r="M173">
        <v>26</v>
      </c>
      <c r="N173">
        <v>31</v>
      </c>
      <c r="O173">
        <v>5</v>
      </c>
      <c r="P173">
        <v>32</v>
      </c>
      <c r="Q173">
        <v>6</v>
      </c>
      <c r="R173">
        <v>3</v>
      </c>
      <c r="S173">
        <v>53.1</v>
      </c>
      <c r="T173">
        <v>23.07692308</v>
      </c>
      <c r="U173">
        <v>3.225806452</v>
      </c>
      <c r="V173">
        <v>4</v>
      </c>
      <c r="W173">
        <v>3</v>
      </c>
      <c r="X173">
        <v>5</v>
      </c>
      <c r="Y173">
        <v>1</v>
      </c>
      <c r="Z173">
        <v>25</v>
      </c>
      <c r="AA173" t="s">
        <v>66</v>
      </c>
      <c r="AB173" t="s">
        <v>66</v>
      </c>
      <c r="AC173" t="s">
        <v>66</v>
      </c>
      <c r="AD173" t="s">
        <v>66</v>
      </c>
      <c r="AE173">
        <v>10</v>
      </c>
      <c r="AF173">
        <v>13</v>
      </c>
      <c r="AG173" t="s">
        <v>66</v>
      </c>
      <c r="AH173">
        <v>9</v>
      </c>
      <c r="AI173">
        <v>9</v>
      </c>
      <c r="AJ173" t="s">
        <v>66</v>
      </c>
      <c r="AK173">
        <v>9</v>
      </c>
      <c r="AL173">
        <v>8</v>
      </c>
      <c r="AM173">
        <v>9</v>
      </c>
      <c r="AN173">
        <v>8.5</v>
      </c>
      <c r="AO173">
        <v>-5.5555555559999998</v>
      </c>
      <c r="AP173">
        <v>30</v>
      </c>
      <c r="AQ173">
        <v>1.111111111</v>
      </c>
      <c r="AR173">
        <v>1.5294117650000001</v>
      </c>
      <c r="AS173">
        <v>0.41830065399999999</v>
      </c>
      <c r="AT173">
        <v>0</v>
      </c>
      <c r="AU173" t="s">
        <v>66</v>
      </c>
      <c r="AV173">
        <v>1</v>
      </c>
      <c r="AW173">
        <v>2</v>
      </c>
      <c r="AX173">
        <v>0</v>
      </c>
      <c r="AY173">
        <v>1</v>
      </c>
      <c r="AZ173">
        <v>1</v>
      </c>
      <c r="BA173">
        <v>1</v>
      </c>
      <c r="BB173" t="s">
        <v>66</v>
      </c>
      <c r="BC173">
        <v>29.4</v>
      </c>
      <c r="BD173">
        <v>33.5</v>
      </c>
      <c r="BE173">
        <v>13.945578230000001</v>
      </c>
      <c r="BF173">
        <v>0</v>
      </c>
      <c r="BG173">
        <v>23.45</v>
      </c>
      <c r="BH173">
        <v>-20.23809524</v>
      </c>
      <c r="BI173">
        <v>28</v>
      </c>
      <c r="BJ173">
        <v>4.5</v>
      </c>
      <c r="BK173" t="s">
        <v>66</v>
      </c>
      <c r="BL173">
        <v>18</v>
      </c>
      <c r="BM173">
        <v>11</v>
      </c>
      <c r="BN173">
        <v>9</v>
      </c>
      <c r="BO173">
        <f t="shared" si="32"/>
        <v>10</v>
      </c>
      <c r="BP173">
        <v>4</v>
      </c>
      <c r="BQ173">
        <v>1</v>
      </c>
      <c r="BS173">
        <v>0</v>
      </c>
      <c r="BT173">
        <f t="shared" si="33"/>
        <v>7.1428571428571423</v>
      </c>
      <c r="BU173">
        <f t="shared" si="34"/>
        <v>11.111111111111111</v>
      </c>
      <c r="BV173">
        <f t="shared" si="35"/>
        <v>44.444444444444443</v>
      </c>
      <c r="BW173">
        <f t="shared" si="36"/>
        <v>10</v>
      </c>
    </row>
    <row r="174" spans="1:75" x14ac:dyDescent="0.2">
      <c r="A174" t="s">
        <v>213</v>
      </c>
      <c r="B174" t="s">
        <v>235</v>
      </c>
      <c r="C174" t="s">
        <v>106</v>
      </c>
      <c r="D174" t="s">
        <v>63</v>
      </c>
      <c r="E174" t="s">
        <v>75</v>
      </c>
      <c r="F174" t="s">
        <v>241</v>
      </c>
      <c r="G174">
        <v>8.65</v>
      </c>
      <c r="H174">
        <v>13.05</v>
      </c>
      <c r="I174">
        <v>14.95</v>
      </c>
      <c r="J174">
        <v>14.4</v>
      </c>
      <c r="K174">
        <v>51.05</v>
      </c>
      <c r="L174">
        <v>3.2369942200000001</v>
      </c>
      <c r="M174">
        <v>23</v>
      </c>
      <c r="N174">
        <v>26</v>
      </c>
      <c r="O174">
        <v>3</v>
      </c>
      <c r="P174">
        <v>40</v>
      </c>
      <c r="Q174">
        <v>17</v>
      </c>
      <c r="R174">
        <v>8.5</v>
      </c>
      <c r="S174">
        <v>64.099999999999994</v>
      </c>
      <c r="T174">
        <v>73.913043479999999</v>
      </c>
      <c r="U174">
        <v>53.84615385</v>
      </c>
      <c r="V174">
        <v>4</v>
      </c>
      <c r="W174">
        <v>4</v>
      </c>
      <c r="X174">
        <v>5</v>
      </c>
      <c r="Y174">
        <v>1</v>
      </c>
      <c r="Z174">
        <v>25</v>
      </c>
      <c r="AA174" t="s">
        <v>66</v>
      </c>
      <c r="AB174" t="s">
        <v>66</v>
      </c>
      <c r="AC174" t="s">
        <v>66</v>
      </c>
      <c r="AD174" t="s">
        <v>66</v>
      </c>
      <c r="AE174">
        <v>12</v>
      </c>
      <c r="AF174">
        <v>25</v>
      </c>
      <c r="AG174" t="s">
        <v>66</v>
      </c>
      <c r="AH174">
        <v>9</v>
      </c>
      <c r="AI174">
        <v>8</v>
      </c>
      <c r="AJ174" t="s">
        <v>66</v>
      </c>
      <c r="AK174">
        <v>6</v>
      </c>
      <c r="AL174">
        <v>8</v>
      </c>
      <c r="AM174">
        <v>7.5</v>
      </c>
      <c r="AN174">
        <v>8</v>
      </c>
      <c r="AO174">
        <v>6.6666666670000003</v>
      </c>
      <c r="AP174">
        <v>108.33333330000001</v>
      </c>
      <c r="AQ174">
        <v>1.6</v>
      </c>
      <c r="AR174">
        <v>3.125</v>
      </c>
      <c r="AS174">
        <v>1.5249999999999999</v>
      </c>
      <c r="AT174">
        <v>0</v>
      </c>
      <c r="AU174" t="s">
        <v>66</v>
      </c>
      <c r="AV174">
        <v>1</v>
      </c>
      <c r="AW174">
        <v>2</v>
      </c>
      <c r="AX174">
        <v>0</v>
      </c>
      <c r="AY174">
        <v>1</v>
      </c>
      <c r="AZ174">
        <v>1</v>
      </c>
      <c r="BA174">
        <v>1</v>
      </c>
      <c r="BB174" t="s">
        <v>66</v>
      </c>
      <c r="BC174">
        <v>19.8</v>
      </c>
      <c r="BD174">
        <v>30.4</v>
      </c>
      <c r="BE174">
        <v>53.535353540000003</v>
      </c>
      <c r="BF174">
        <v>0</v>
      </c>
      <c r="BG174">
        <v>21.28</v>
      </c>
      <c r="BH174">
        <v>7.474747475</v>
      </c>
      <c r="BI174">
        <v>38</v>
      </c>
      <c r="BJ174">
        <v>4.5999999999999996</v>
      </c>
      <c r="BK174" t="s">
        <v>66</v>
      </c>
      <c r="BL174">
        <f>38-21</f>
        <v>17</v>
      </c>
      <c r="BM174">
        <v>9</v>
      </c>
      <c r="BN174">
        <v>9</v>
      </c>
      <c r="BO174">
        <f t="shared" si="32"/>
        <v>9</v>
      </c>
      <c r="BP174">
        <v>4</v>
      </c>
      <c r="BQ174">
        <v>1</v>
      </c>
      <c r="BS174">
        <v>0</v>
      </c>
      <c r="BT174">
        <f t="shared" si="33"/>
        <v>39.473684210526315</v>
      </c>
      <c r="BU174">
        <f t="shared" si="34"/>
        <v>13.043478260869559</v>
      </c>
      <c r="BV174">
        <f t="shared" si="35"/>
        <v>29.411764705882355</v>
      </c>
      <c r="BW174">
        <f t="shared" si="36"/>
        <v>16.666666666666664</v>
      </c>
    </row>
    <row r="175" spans="1:75" x14ac:dyDescent="0.2">
      <c r="A175" t="s">
        <v>213</v>
      </c>
      <c r="B175" t="s">
        <v>235</v>
      </c>
      <c r="C175" t="s">
        <v>106</v>
      </c>
      <c r="D175" t="s">
        <v>63</v>
      </c>
      <c r="E175" t="s">
        <v>77</v>
      </c>
      <c r="F175" t="s">
        <v>242</v>
      </c>
      <c r="G175">
        <v>8.65</v>
      </c>
      <c r="H175">
        <v>13.05</v>
      </c>
      <c r="I175">
        <v>14.95</v>
      </c>
      <c r="J175">
        <v>14.4</v>
      </c>
      <c r="K175">
        <v>51.05</v>
      </c>
      <c r="L175">
        <v>3.2369942200000001</v>
      </c>
      <c r="M175">
        <v>21</v>
      </c>
      <c r="N175">
        <v>20</v>
      </c>
      <c r="O175">
        <v>-1</v>
      </c>
      <c r="P175">
        <v>24</v>
      </c>
      <c r="Q175">
        <v>3</v>
      </c>
      <c r="R175">
        <v>1.5</v>
      </c>
      <c r="S175">
        <v>50.1</v>
      </c>
      <c r="T175">
        <v>14.28571429</v>
      </c>
      <c r="U175">
        <v>20</v>
      </c>
      <c r="V175">
        <v>3</v>
      </c>
      <c r="W175">
        <v>3</v>
      </c>
      <c r="X175">
        <v>5</v>
      </c>
      <c r="Y175">
        <v>2</v>
      </c>
      <c r="Z175">
        <v>66.666666669999998</v>
      </c>
      <c r="AA175" t="s">
        <v>66</v>
      </c>
      <c r="AB175" t="s">
        <v>66</v>
      </c>
      <c r="AC175" t="s">
        <v>66</v>
      </c>
      <c r="AD175" t="s">
        <v>66</v>
      </c>
      <c r="AE175">
        <v>9</v>
      </c>
      <c r="AF175">
        <v>10</v>
      </c>
      <c r="AG175" t="s">
        <v>66</v>
      </c>
      <c r="AH175">
        <v>6</v>
      </c>
      <c r="AI175">
        <v>8</v>
      </c>
      <c r="AJ175" t="s">
        <v>66</v>
      </c>
      <c r="AK175">
        <v>6</v>
      </c>
      <c r="AL175">
        <v>7</v>
      </c>
      <c r="AM175">
        <v>6</v>
      </c>
      <c r="AN175">
        <v>7.5</v>
      </c>
      <c r="AO175">
        <v>25</v>
      </c>
      <c r="AP175">
        <v>11.11111111</v>
      </c>
      <c r="AQ175">
        <v>1.5</v>
      </c>
      <c r="AR175">
        <v>1.3333333329999999</v>
      </c>
      <c r="AS175">
        <v>-0.16666666699999999</v>
      </c>
      <c r="AT175">
        <v>0</v>
      </c>
      <c r="AU175" t="s">
        <v>66</v>
      </c>
      <c r="AV175">
        <v>4</v>
      </c>
      <c r="AW175">
        <v>1</v>
      </c>
      <c r="AX175">
        <v>0</v>
      </c>
      <c r="AY175">
        <v>1</v>
      </c>
      <c r="AZ175">
        <v>1</v>
      </c>
      <c r="BA175">
        <v>1</v>
      </c>
      <c r="BB175" t="s">
        <v>66</v>
      </c>
      <c r="BC175">
        <v>20</v>
      </c>
      <c r="BD175">
        <v>31.8</v>
      </c>
      <c r="BE175">
        <v>59</v>
      </c>
      <c r="BF175">
        <v>0</v>
      </c>
      <c r="BG175">
        <v>22.26</v>
      </c>
      <c r="BH175">
        <v>11.3</v>
      </c>
      <c r="BI175">
        <v>23</v>
      </c>
      <c r="BJ175">
        <v>5.2</v>
      </c>
      <c r="BK175" t="s">
        <v>66</v>
      </c>
      <c r="BL175">
        <v>5</v>
      </c>
      <c r="BM175">
        <v>12</v>
      </c>
      <c r="BN175">
        <v>8</v>
      </c>
      <c r="BO175">
        <f t="shared" si="32"/>
        <v>10</v>
      </c>
      <c r="BP175">
        <v>4</v>
      </c>
      <c r="BQ175">
        <v>1</v>
      </c>
      <c r="BS175">
        <v>0</v>
      </c>
      <c r="BT175">
        <f t="shared" si="33"/>
        <v>8.695652173913043</v>
      </c>
      <c r="BU175">
        <f t="shared" si="34"/>
        <v>42.307692307692307</v>
      </c>
      <c r="BV175">
        <f t="shared" si="35"/>
        <v>-80</v>
      </c>
      <c r="BW175">
        <f t="shared" si="36"/>
        <v>40</v>
      </c>
    </row>
    <row r="176" spans="1:75" x14ac:dyDescent="0.2">
      <c r="A176" t="s">
        <v>213</v>
      </c>
      <c r="B176" t="s">
        <v>235</v>
      </c>
      <c r="C176" t="s">
        <v>106</v>
      </c>
      <c r="D176" t="s">
        <v>63</v>
      </c>
      <c r="E176" t="s">
        <v>79</v>
      </c>
      <c r="F176" t="s">
        <v>243</v>
      </c>
      <c r="G176">
        <v>8.65</v>
      </c>
      <c r="H176">
        <v>13.05</v>
      </c>
      <c r="I176">
        <v>14.95</v>
      </c>
      <c r="J176">
        <v>14.4</v>
      </c>
      <c r="K176">
        <v>51.05</v>
      </c>
      <c r="L176">
        <v>3.2369942200000001</v>
      </c>
      <c r="M176">
        <v>18</v>
      </c>
      <c r="N176">
        <v>20</v>
      </c>
      <c r="O176">
        <v>2</v>
      </c>
      <c r="P176">
        <v>26</v>
      </c>
      <c r="Q176">
        <v>8</v>
      </c>
      <c r="R176">
        <v>4</v>
      </c>
      <c r="S176">
        <v>55.1</v>
      </c>
      <c r="T176">
        <v>44.444444439999998</v>
      </c>
      <c r="U176">
        <v>30</v>
      </c>
      <c r="V176">
        <v>3</v>
      </c>
      <c r="W176">
        <v>9</v>
      </c>
      <c r="X176">
        <v>4</v>
      </c>
      <c r="Y176">
        <v>1</v>
      </c>
      <c r="Z176">
        <v>33.333333330000002</v>
      </c>
      <c r="AA176" t="s">
        <v>66</v>
      </c>
      <c r="AB176" t="s">
        <v>66</v>
      </c>
      <c r="AC176" t="s">
        <v>66</v>
      </c>
      <c r="AD176" t="s">
        <v>66</v>
      </c>
      <c r="AE176">
        <v>9</v>
      </c>
      <c r="AF176">
        <v>12</v>
      </c>
      <c r="AG176" t="s">
        <v>66</v>
      </c>
      <c r="AH176">
        <v>7</v>
      </c>
      <c r="AI176">
        <v>7</v>
      </c>
      <c r="AJ176" t="s">
        <v>66</v>
      </c>
      <c r="AK176">
        <v>5</v>
      </c>
      <c r="AL176">
        <v>6</v>
      </c>
      <c r="AM176">
        <v>6</v>
      </c>
      <c r="AN176">
        <v>6.5</v>
      </c>
      <c r="AO176">
        <v>8.3333333330000006</v>
      </c>
      <c r="AP176">
        <v>33.333333330000002</v>
      </c>
      <c r="AQ176">
        <v>1.5</v>
      </c>
      <c r="AR176">
        <v>1.846153846</v>
      </c>
      <c r="AS176">
        <v>0.34615384599999999</v>
      </c>
      <c r="AT176">
        <v>0</v>
      </c>
      <c r="AU176" t="s">
        <v>66</v>
      </c>
      <c r="AV176">
        <v>2</v>
      </c>
      <c r="AW176">
        <v>2</v>
      </c>
      <c r="AX176">
        <v>0</v>
      </c>
      <c r="AY176">
        <v>1</v>
      </c>
      <c r="AZ176">
        <v>1</v>
      </c>
      <c r="BA176">
        <v>1</v>
      </c>
      <c r="BB176" t="s">
        <v>66</v>
      </c>
      <c r="BC176">
        <v>16.3</v>
      </c>
      <c r="BD176">
        <v>32</v>
      </c>
      <c r="BE176">
        <v>96.319018400000004</v>
      </c>
      <c r="BF176">
        <v>0</v>
      </c>
      <c r="BG176">
        <v>22.4</v>
      </c>
      <c r="BH176">
        <v>37.423312879999997</v>
      </c>
      <c r="BI176">
        <v>18</v>
      </c>
      <c r="BJ176">
        <v>4</v>
      </c>
      <c r="BK176" t="s">
        <v>66</v>
      </c>
      <c r="BL176">
        <v>12</v>
      </c>
      <c r="BM176">
        <v>9</v>
      </c>
      <c r="BN176">
        <v>8</v>
      </c>
      <c r="BO176">
        <f t="shared" si="32"/>
        <v>8.5</v>
      </c>
      <c r="BP176">
        <v>4</v>
      </c>
      <c r="BQ176">
        <v>1</v>
      </c>
      <c r="BS176">
        <v>0</v>
      </c>
      <c r="BT176">
        <f t="shared" si="33"/>
        <v>0</v>
      </c>
      <c r="BU176">
        <f t="shared" si="34"/>
        <v>25</v>
      </c>
      <c r="BV176">
        <f t="shared" si="35"/>
        <v>25</v>
      </c>
      <c r="BW176">
        <f t="shared" si="36"/>
        <v>29.411764705882355</v>
      </c>
    </row>
    <row r="177" spans="1:75" x14ac:dyDescent="0.2">
      <c r="A177" t="s">
        <v>213</v>
      </c>
      <c r="B177" t="s">
        <v>235</v>
      </c>
      <c r="C177" t="s">
        <v>106</v>
      </c>
      <c r="D177" t="s">
        <v>63</v>
      </c>
      <c r="E177" t="s">
        <v>85</v>
      </c>
      <c r="F177" t="s">
        <v>246</v>
      </c>
      <c r="G177">
        <v>8.65</v>
      </c>
      <c r="H177">
        <v>13.05</v>
      </c>
      <c r="I177">
        <v>14.95</v>
      </c>
      <c r="J177">
        <v>14.4</v>
      </c>
      <c r="K177">
        <v>51.05</v>
      </c>
      <c r="L177">
        <v>3.2369942200000001</v>
      </c>
      <c r="M177">
        <v>42</v>
      </c>
      <c r="N177">
        <v>44</v>
      </c>
      <c r="O177">
        <v>2</v>
      </c>
      <c r="P177">
        <v>49</v>
      </c>
      <c r="Q177">
        <v>7</v>
      </c>
      <c r="R177">
        <v>3.5</v>
      </c>
      <c r="S177">
        <v>54.1</v>
      </c>
      <c r="T177">
        <v>16.666666670000001</v>
      </c>
      <c r="U177">
        <v>11.363636359999999</v>
      </c>
      <c r="V177">
        <v>3</v>
      </c>
      <c r="W177">
        <v>4</v>
      </c>
      <c r="X177">
        <v>5</v>
      </c>
      <c r="Y177">
        <v>2</v>
      </c>
      <c r="Z177">
        <v>66.666666669999998</v>
      </c>
      <c r="AA177" t="s">
        <v>66</v>
      </c>
      <c r="AB177" t="s">
        <v>66</v>
      </c>
      <c r="AC177" t="s">
        <v>66</v>
      </c>
      <c r="AD177" t="s">
        <v>66</v>
      </c>
      <c r="AE177">
        <v>15</v>
      </c>
      <c r="AF177">
        <v>41</v>
      </c>
      <c r="AG177" t="s">
        <v>66</v>
      </c>
      <c r="AH177">
        <v>12</v>
      </c>
      <c r="AI177">
        <v>15</v>
      </c>
      <c r="AJ177" t="s">
        <v>66</v>
      </c>
      <c r="AK177">
        <v>8</v>
      </c>
      <c r="AL177">
        <v>11</v>
      </c>
      <c r="AM177">
        <v>10</v>
      </c>
      <c r="AN177">
        <v>13</v>
      </c>
      <c r="AO177">
        <v>30</v>
      </c>
      <c r="AP177">
        <v>173.33333329999999</v>
      </c>
      <c r="AQ177">
        <v>1.5</v>
      </c>
      <c r="AR177">
        <v>3.153846154</v>
      </c>
      <c r="AS177">
        <v>1.653846154</v>
      </c>
      <c r="AT177">
        <v>0</v>
      </c>
      <c r="AU177" t="s">
        <v>66</v>
      </c>
      <c r="AV177">
        <v>0</v>
      </c>
      <c r="AW177">
        <v>2</v>
      </c>
      <c r="AX177">
        <v>0</v>
      </c>
      <c r="AY177">
        <v>1</v>
      </c>
      <c r="AZ177">
        <v>1</v>
      </c>
      <c r="BA177">
        <v>1</v>
      </c>
      <c r="BB177" t="s">
        <v>66</v>
      </c>
      <c r="BC177">
        <v>28.5</v>
      </c>
      <c r="BD177">
        <v>41.9</v>
      </c>
      <c r="BE177">
        <v>47.017543860000004</v>
      </c>
      <c r="BF177">
        <v>0</v>
      </c>
      <c r="BG177">
        <v>29.33</v>
      </c>
      <c r="BH177">
        <v>2.9122807019999999</v>
      </c>
      <c r="BI177">
        <v>87</v>
      </c>
      <c r="BJ177">
        <v>6</v>
      </c>
      <c r="BK177" t="s">
        <v>66</v>
      </c>
      <c r="BL177">
        <f>87-43</f>
        <v>44</v>
      </c>
      <c r="BM177">
        <v>18</v>
      </c>
      <c r="BN177">
        <v>13</v>
      </c>
      <c r="BO177">
        <f t="shared" si="32"/>
        <v>15.5</v>
      </c>
      <c r="BP177">
        <v>3</v>
      </c>
      <c r="BQ177">
        <v>1</v>
      </c>
      <c r="BS177">
        <v>0</v>
      </c>
      <c r="BT177">
        <f t="shared" si="33"/>
        <v>51.724137931034484</v>
      </c>
      <c r="BU177">
        <f t="shared" si="34"/>
        <v>50</v>
      </c>
      <c r="BV177">
        <f t="shared" si="35"/>
        <v>65.909090909090907</v>
      </c>
      <c r="BW177">
        <f t="shared" si="36"/>
        <v>35.483870967741936</v>
      </c>
    </row>
    <row r="178" spans="1:75" x14ac:dyDescent="0.2">
      <c r="A178" t="s">
        <v>213</v>
      </c>
      <c r="B178" t="s">
        <v>235</v>
      </c>
      <c r="C178" t="s">
        <v>106</v>
      </c>
      <c r="D178" t="s">
        <v>63</v>
      </c>
      <c r="E178" t="s">
        <v>87</v>
      </c>
      <c r="F178" t="s">
        <v>247</v>
      </c>
      <c r="G178">
        <v>8.65</v>
      </c>
      <c r="H178">
        <v>13.05</v>
      </c>
      <c r="I178">
        <v>14.95</v>
      </c>
      <c r="J178">
        <v>14.4</v>
      </c>
      <c r="K178">
        <v>51.05</v>
      </c>
      <c r="L178">
        <v>3.2369942200000001</v>
      </c>
      <c r="M178">
        <v>21</v>
      </c>
      <c r="N178">
        <v>21</v>
      </c>
      <c r="O178">
        <v>0</v>
      </c>
      <c r="P178">
        <v>22</v>
      </c>
      <c r="Q178">
        <v>1</v>
      </c>
      <c r="R178">
        <v>0.5</v>
      </c>
      <c r="S178">
        <v>48.1</v>
      </c>
      <c r="T178">
        <v>4.7619047620000003</v>
      </c>
      <c r="U178">
        <v>4.7619047620000003</v>
      </c>
      <c r="V178">
        <v>3</v>
      </c>
      <c r="W178">
        <v>4</v>
      </c>
      <c r="X178">
        <v>4</v>
      </c>
      <c r="Y178">
        <v>1</v>
      </c>
      <c r="Z178">
        <v>33.333333330000002</v>
      </c>
      <c r="AA178" t="s">
        <v>66</v>
      </c>
      <c r="AB178" t="s">
        <v>66</v>
      </c>
      <c r="AC178" t="s">
        <v>66</v>
      </c>
      <c r="AD178" t="s">
        <v>66</v>
      </c>
      <c r="AE178">
        <v>8</v>
      </c>
      <c r="AF178">
        <v>11</v>
      </c>
      <c r="AG178" t="s">
        <v>66</v>
      </c>
      <c r="AH178">
        <v>12</v>
      </c>
      <c r="AI178">
        <v>11</v>
      </c>
      <c r="AJ178" t="s">
        <v>66</v>
      </c>
      <c r="AK178">
        <v>8</v>
      </c>
      <c r="AL178">
        <v>7</v>
      </c>
      <c r="AM178">
        <v>10</v>
      </c>
      <c r="AN178">
        <v>9</v>
      </c>
      <c r="AO178">
        <v>-10</v>
      </c>
      <c r="AP178">
        <v>37.5</v>
      </c>
      <c r="AQ178">
        <v>0.8</v>
      </c>
      <c r="AR178">
        <v>1.2222222220000001</v>
      </c>
      <c r="AS178">
        <v>0.42222222199999998</v>
      </c>
      <c r="AT178">
        <v>0</v>
      </c>
      <c r="AU178" t="s">
        <v>66</v>
      </c>
      <c r="AV178">
        <v>1</v>
      </c>
      <c r="AW178">
        <v>0</v>
      </c>
      <c r="AX178">
        <v>0</v>
      </c>
      <c r="AY178">
        <v>1</v>
      </c>
      <c r="AZ178">
        <v>1</v>
      </c>
      <c r="BA178">
        <v>1</v>
      </c>
      <c r="BB178" t="s">
        <v>66</v>
      </c>
      <c r="BC178">
        <v>27</v>
      </c>
      <c r="BD178">
        <v>42.9</v>
      </c>
      <c r="BE178">
        <v>58.888888889999997</v>
      </c>
      <c r="BF178">
        <v>0</v>
      </c>
      <c r="BG178">
        <v>30.03</v>
      </c>
      <c r="BH178">
        <v>11.222222220000001</v>
      </c>
      <c r="BI178">
        <v>9</v>
      </c>
      <c r="BJ178">
        <v>3.8</v>
      </c>
      <c r="BK178" t="s">
        <v>66</v>
      </c>
      <c r="BL178">
        <v>6</v>
      </c>
      <c r="BM178">
        <v>2</v>
      </c>
      <c r="BN178">
        <v>1</v>
      </c>
      <c r="BO178">
        <f t="shared" si="32"/>
        <v>1.5</v>
      </c>
      <c r="BP178">
        <v>4</v>
      </c>
      <c r="BQ178">
        <v>1</v>
      </c>
      <c r="BS178">
        <v>0</v>
      </c>
      <c r="BT178">
        <f t="shared" si="33"/>
        <v>-133.33333333333331</v>
      </c>
      <c r="BU178">
        <f t="shared" si="34"/>
        <v>21.052631578947363</v>
      </c>
      <c r="BV178">
        <f t="shared" si="35"/>
        <v>-33.333333333333329</v>
      </c>
      <c r="BW178">
        <f t="shared" si="36"/>
        <v>-566.66666666666674</v>
      </c>
    </row>
    <row r="179" spans="1:75" x14ac:dyDescent="0.2">
      <c r="A179" t="s">
        <v>213</v>
      </c>
      <c r="B179" t="s">
        <v>235</v>
      </c>
      <c r="C179" t="s">
        <v>106</v>
      </c>
      <c r="D179" t="s">
        <v>63</v>
      </c>
      <c r="E179" t="s">
        <v>89</v>
      </c>
      <c r="F179" t="s">
        <v>248</v>
      </c>
      <c r="G179">
        <v>8.65</v>
      </c>
      <c r="H179">
        <v>13.05</v>
      </c>
      <c r="I179">
        <v>14.95</v>
      </c>
      <c r="J179">
        <v>14.4</v>
      </c>
      <c r="K179">
        <v>51.05</v>
      </c>
      <c r="L179">
        <v>3.2369942200000001</v>
      </c>
      <c r="M179">
        <v>25</v>
      </c>
      <c r="N179">
        <v>26</v>
      </c>
      <c r="O179">
        <v>1</v>
      </c>
      <c r="P179">
        <v>29</v>
      </c>
      <c r="Q179">
        <v>4</v>
      </c>
      <c r="R179">
        <v>2</v>
      </c>
      <c r="S179">
        <v>51.1</v>
      </c>
      <c r="T179">
        <v>16</v>
      </c>
      <c r="U179">
        <v>11.53846154</v>
      </c>
      <c r="V179">
        <v>2</v>
      </c>
      <c r="W179">
        <v>3</v>
      </c>
      <c r="X179">
        <v>3</v>
      </c>
      <c r="Y179">
        <v>1</v>
      </c>
      <c r="Z179">
        <v>50</v>
      </c>
      <c r="AA179" t="s">
        <v>66</v>
      </c>
      <c r="AB179" t="s">
        <v>66</v>
      </c>
      <c r="AC179" t="s">
        <v>66</v>
      </c>
      <c r="AD179" t="s">
        <v>66</v>
      </c>
      <c r="AE179">
        <v>10</v>
      </c>
      <c r="AF179">
        <v>13</v>
      </c>
      <c r="AG179" t="s">
        <v>66</v>
      </c>
      <c r="AH179">
        <v>8</v>
      </c>
      <c r="AI179">
        <v>10</v>
      </c>
      <c r="AJ179" t="s">
        <v>66</v>
      </c>
      <c r="AK179">
        <v>6</v>
      </c>
      <c r="AL179">
        <v>9</v>
      </c>
      <c r="AM179">
        <v>7</v>
      </c>
      <c r="AN179">
        <v>9.5</v>
      </c>
      <c r="AO179">
        <v>35.714285709999999</v>
      </c>
      <c r="AP179">
        <v>30</v>
      </c>
      <c r="AQ179">
        <v>1.428571429</v>
      </c>
      <c r="AR179">
        <v>1.3684210530000001</v>
      </c>
      <c r="AS179">
        <v>-6.0150375999999998E-2</v>
      </c>
      <c r="AT179">
        <v>0</v>
      </c>
      <c r="AU179" t="s">
        <v>66</v>
      </c>
      <c r="AV179">
        <v>1</v>
      </c>
      <c r="AW179">
        <v>1</v>
      </c>
      <c r="AX179">
        <v>0</v>
      </c>
      <c r="AY179">
        <v>1</v>
      </c>
      <c r="AZ179">
        <v>1</v>
      </c>
      <c r="BA179">
        <v>1</v>
      </c>
      <c r="BB179" t="s">
        <v>66</v>
      </c>
      <c r="BC179">
        <v>22.9</v>
      </c>
      <c r="BD179">
        <v>35.799999999999997</v>
      </c>
      <c r="BE179">
        <v>56.331877730000002</v>
      </c>
      <c r="BF179">
        <v>0</v>
      </c>
      <c r="BG179">
        <v>25.06</v>
      </c>
      <c r="BH179">
        <v>9.43231441</v>
      </c>
      <c r="BI179">
        <v>29</v>
      </c>
      <c r="BJ179">
        <v>4.2</v>
      </c>
      <c r="BK179" t="s">
        <v>66</v>
      </c>
      <c r="BL179">
        <v>19</v>
      </c>
      <c r="BM179">
        <v>17</v>
      </c>
      <c r="BN179">
        <v>8</v>
      </c>
      <c r="BO179">
        <f t="shared" si="32"/>
        <v>12.5</v>
      </c>
      <c r="BP179">
        <v>4</v>
      </c>
      <c r="BQ179">
        <v>1</v>
      </c>
      <c r="BS179">
        <v>0</v>
      </c>
      <c r="BT179">
        <f t="shared" si="33"/>
        <v>13.793103448275861</v>
      </c>
      <c r="BU179">
        <f t="shared" si="34"/>
        <v>52.380952380952387</v>
      </c>
      <c r="BV179">
        <f t="shared" si="35"/>
        <v>47.368421052631575</v>
      </c>
      <c r="BW179">
        <f t="shared" si="36"/>
        <v>44</v>
      </c>
    </row>
    <row r="180" spans="1:75" x14ac:dyDescent="0.2">
      <c r="A180" t="s">
        <v>213</v>
      </c>
      <c r="B180" t="s">
        <v>235</v>
      </c>
      <c r="C180" t="s">
        <v>106</v>
      </c>
      <c r="D180" t="s">
        <v>63</v>
      </c>
      <c r="E180" t="s">
        <v>93</v>
      </c>
      <c r="F180" t="s">
        <v>250</v>
      </c>
      <c r="G180">
        <v>8.65</v>
      </c>
      <c r="H180">
        <v>13.05</v>
      </c>
      <c r="I180">
        <v>14.95</v>
      </c>
      <c r="J180">
        <v>14.4</v>
      </c>
      <c r="K180">
        <v>51.05</v>
      </c>
      <c r="L180">
        <v>3.2369942200000001</v>
      </c>
      <c r="M180">
        <v>28</v>
      </c>
      <c r="N180">
        <v>30</v>
      </c>
      <c r="O180">
        <v>2</v>
      </c>
      <c r="P180">
        <v>29</v>
      </c>
      <c r="Q180">
        <v>1</v>
      </c>
      <c r="R180">
        <v>0.5</v>
      </c>
      <c r="S180">
        <v>48.1</v>
      </c>
      <c r="T180">
        <v>3.5714285710000002</v>
      </c>
      <c r="U180">
        <v>-3.3333333330000001</v>
      </c>
      <c r="V180">
        <v>4</v>
      </c>
      <c r="W180">
        <v>5</v>
      </c>
      <c r="X180">
        <v>4</v>
      </c>
      <c r="Y180">
        <v>0</v>
      </c>
      <c r="Z180">
        <v>0</v>
      </c>
      <c r="AA180" t="s">
        <v>66</v>
      </c>
      <c r="AB180" t="s">
        <v>66</v>
      </c>
      <c r="AC180" t="s">
        <v>66</v>
      </c>
      <c r="AD180" t="s">
        <v>66</v>
      </c>
      <c r="AE180">
        <v>10</v>
      </c>
      <c r="AF180">
        <v>13</v>
      </c>
      <c r="AG180" t="s">
        <v>66</v>
      </c>
      <c r="AH180">
        <v>9</v>
      </c>
      <c r="AI180">
        <v>8</v>
      </c>
      <c r="AJ180" t="s">
        <v>66</v>
      </c>
      <c r="AK180">
        <v>7</v>
      </c>
      <c r="AL180">
        <v>6</v>
      </c>
      <c r="AM180">
        <v>8</v>
      </c>
      <c r="AN180">
        <v>7</v>
      </c>
      <c r="AO180">
        <v>-12.5</v>
      </c>
      <c r="AP180">
        <v>30</v>
      </c>
      <c r="AQ180">
        <v>1.25</v>
      </c>
      <c r="AR180">
        <v>1.8571428569999999</v>
      </c>
      <c r="AS180">
        <v>0.60714285700000004</v>
      </c>
      <c r="AT180">
        <v>0</v>
      </c>
      <c r="AU180" t="s">
        <v>66</v>
      </c>
      <c r="AV180">
        <v>1</v>
      </c>
      <c r="AW180">
        <v>1</v>
      </c>
      <c r="AX180">
        <v>0</v>
      </c>
      <c r="AY180">
        <v>1</v>
      </c>
      <c r="AZ180">
        <v>1</v>
      </c>
      <c r="BA180">
        <v>1</v>
      </c>
      <c r="BB180" t="s">
        <v>66</v>
      </c>
      <c r="BC180">
        <v>21.5</v>
      </c>
      <c r="BD180">
        <v>38.200000000000003</v>
      </c>
      <c r="BE180">
        <v>77.674418599999996</v>
      </c>
      <c r="BF180">
        <v>0</v>
      </c>
      <c r="BG180">
        <v>26.74</v>
      </c>
      <c r="BH180">
        <v>24.372093020000001</v>
      </c>
      <c r="BI180">
        <v>32</v>
      </c>
      <c r="BJ180">
        <v>4.2</v>
      </c>
      <c r="BK180" t="s">
        <v>66</v>
      </c>
      <c r="BL180">
        <f>32-26</f>
        <v>6</v>
      </c>
      <c r="BM180">
        <v>5</v>
      </c>
      <c r="BN180">
        <v>4</v>
      </c>
      <c r="BO180">
        <f t="shared" si="32"/>
        <v>4.5</v>
      </c>
      <c r="BP180">
        <v>4</v>
      </c>
      <c r="BQ180">
        <v>1</v>
      </c>
      <c r="BS180">
        <v>0</v>
      </c>
      <c r="BT180">
        <f t="shared" si="33"/>
        <v>12.5</v>
      </c>
      <c r="BU180">
        <f t="shared" si="34"/>
        <v>4.7619047619047654</v>
      </c>
      <c r="BV180">
        <f t="shared" si="35"/>
        <v>-66.666666666666657</v>
      </c>
      <c r="BW180">
        <f t="shared" si="36"/>
        <v>-77.777777777777786</v>
      </c>
    </row>
    <row r="181" spans="1:75" x14ac:dyDescent="0.2">
      <c r="A181" t="s">
        <v>213</v>
      </c>
      <c r="B181" t="s">
        <v>235</v>
      </c>
      <c r="C181" t="s">
        <v>106</v>
      </c>
      <c r="D181" t="s">
        <v>63</v>
      </c>
      <c r="E181" t="s">
        <v>95</v>
      </c>
      <c r="F181" t="s">
        <v>251</v>
      </c>
      <c r="G181">
        <v>8.65</v>
      </c>
      <c r="H181">
        <v>13.05</v>
      </c>
      <c r="I181">
        <v>14.95</v>
      </c>
      <c r="J181">
        <v>14.4</v>
      </c>
      <c r="K181">
        <v>51.05</v>
      </c>
      <c r="L181">
        <v>3.2369942200000001</v>
      </c>
      <c r="M181">
        <v>52</v>
      </c>
      <c r="N181">
        <v>63</v>
      </c>
      <c r="O181">
        <v>11</v>
      </c>
      <c r="P181">
        <v>68</v>
      </c>
      <c r="Q181">
        <v>16</v>
      </c>
      <c r="R181">
        <v>8</v>
      </c>
      <c r="S181">
        <v>63.1</v>
      </c>
      <c r="T181">
        <v>30.76923077</v>
      </c>
      <c r="U181">
        <v>7.936507937</v>
      </c>
      <c r="V181">
        <v>5</v>
      </c>
      <c r="W181">
        <v>6</v>
      </c>
      <c r="X181">
        <v>5</v>
      </c>
      <c r="Y181">
        <v>0</v>
      </c>
      <c r="Z181">
        <v>0</v>
      </c>
      <c r="AA181" t="s">
        <v>66</v>
      </c>
      <c r="AB181" t="s">
        <v>66</v>
      </c>
      <c r="AC181" t="s">
        <v>66</v>
      </c>
      <c r="AD181" t="s">
        <v>66</v>
      </c>
      <c r="AE181">
        <v>29</v>
      </c>
      <c r="AF181">
        <v>31</v>
      </c>
      <c r="AG181" t="s">
        <v>66</v>
      </c>
      <c r="AH181">
        <v>18</v>
      </c>
      <c r="AI181">
        <v>14</v>
      </c>
      <c r="AJ181" t="s">
        <v>66</v>
      </c>
      <c r="AK181">
        <v>12</v>
      </c>
      <c r="AL181">
        <v>7</v>
      </c>
      <c r="AM181">
        <v>15</v>
      </c>
      <c r="AN181">
        <v>10.5</v>
      </c>
      <c r="AO181">
        <v>-30</v>
      </c>
      <c r="AP181">
        <v>6.896551724</v>
      </c>
      <c r="AQ181">
        <v>1.933333333</v>
      </c>
      <c r="AR181">
        <v>2.9523809519999999</v>
      </c>
      <c r="AS181">
        <v>1.019047619</v>
      </c>
      <c r="AT181">
        <v>0</v>
      </c>
      <c r="AU181" t="s">
        <v>66</v>
      </c>
      <c r="AV181">
        <v>1</v>
      </c>
      <c r="AW181">
        <v>2</v>
      </c>
      <c r="AX181">
        <v>0</v>
      </c>
      <c r="AY181">
        <v>1</v>
      </c>
      <c r="AZ181">
        <v>1</v>
      </c>
      <c r="BA181">
        <v>1</v>
      </c>
      <c r="BB181" t="s">
        <v>66</v>
      </c>
      <c r="BC181">
        <v>30.3</v>
      </c>
      <c r="BD181">
        <v>53.4</v>
      </c>
      <c r="BE181">
        <v>76.237623760000005</v>
      </c>
      <c r="BF181">
        <v>0</v>
      </c>
      <c r="BG181">
        <v>37.380000000000003</v>
      </c>
      <c r="BH181">
        <v>23.366336629999999</v>
      </c>
      <c r="BI181">
        <v>90</v>
      </c>
      <c r="BJ181">
        <v>5.6</v>
      </c>
      <c r="BK181" t="s">
        <v>66</v>
      </c>
      <c r="BL181">
        <f>90-59</f>
        <v>31</v>
      </c>
      <c r="BM181">
        <v>25</v>
      </c>
      <c r="BN181">
        <v>6</v>
      </c>
      <c r="BO181">
        <f t="shared" si="32"/>
        <v>15.5</v>
      </c>
      <c r="BP181">
        <v>4</v>
      </c>
      <c r="BQ181">
        <v>1</v>
      </c>
      <c r="BS181">
        <v>0</v>
      </c>
      <c r="BT181">
        <f t="shared" si="33"/>
        <v>42.222222222222221</v>
      </c>
      <c r="BU181">
        <f t="shared" si="34"/>
        <v>10.714285714285708</v>
      </c>
      <c r="BV181">
        <f t="shared" si="35"/>
        <v>6.4516129032258061</v>
      </c>
      <c r="BW181">
        <f t="shared" si="36"/>
        <v>3.225806451612903</v>
      </c>
    </row>
    <row r="182" spans="1:75" x14ac:dyDescent="0.2">
      <c r="A182" t="s">
        <v>213</v>
      </c>
      <c r="B182" t="s">
        <v>235</v>
      </c>
      <c r="C182" t="s">
        <v>106</v>
      </c>
      <c r="D182" t="s">
        <v>63</v>
      </c>
      <c r="E182" t="s">
        <v>99</v>
      </c>
      <c r="F182" t="s">
        <v>253</v>
      </c>
      <c r="G182">
        <v>8.65</v>
      </c>
      <c r="H182">
        <v>13.05</v>
      </c>
      <c r="I182">
        <v>14.95</v>
      </c>
      <c r="J182">
        <v>14.4</v>
      </c>
      <c r="K182">
        <v>51.05</v>
      </c>
      <c r="L182">
        <v>3.2369942200000001</v>
      </c>
      <c r="M182">
        <v>51</v>
      </c>
      <c r="N182">
        <v>76</v>
      </c>
      <c r="O182">
        <v>25</v>
      </c>
      <c r="P182">
        <v>85</v>
      </c>
      <c r="Q182">
        <v>34</v>
      </c>
      <c r="R182">
        <v>17</v>
      </c>
      <c r="S182">
        <v>81.099999999999994</v>
      </c>
      <c r="T182">
        <v>66.666666669999998</v>
      </c>
      <c r="U182">
        <v>11.84210526</v>
      </c>
      <c r="V182">
        <v>4</v>
      </c>
      <c r="W182">
        <v>7</v>
      </c>
      <c r="X182">
        <v>7</v>
      </c>
      <c r="Y182">
        <v>3</v>
      </c>
      <c r="Z182">
        <v>75</v>
      </c>
      <c r="AA182" t="s">
        <v>66</v>
      </c>
      <c r="AB182" t="s">
        <v>66</v>
      </c>
      <c r="AC182" t="s">
        <v>66</v>
      </c>
      <c r="AD182" t="s">
        <v>66</v>
      </c>
      <c r="AE182">
        <v>53</v>
      </c>
      <c r="AF182">
        <v>45</v>
      </c>
      <c r="AG182" t="s">
        <v>66</v>
      </c>
      <c r="AH182">
        <v>21</v>
      </c>
      <c r="AI182">
        <v>17</v>
      </c>
      <c r="AJ182" t="s">
        <v>66</v>
      </c>
      <c r="AK182">
        <v>19</v>
      </c>
      <c r="AL182">
        <v>12</v>
      </c>
      <c r="AM182">
        <v>20</v>
      </c>
      <c r="AN182">
        <v>14.5</v>
      </c>
      <c r="AO182">
        <v>-27.5</v>
      </c>
      <c r="AP182">
        <v>-15.09433962</v>
      </c>
      <c r="AQ182">
        <v>2.65</v>
      </c>
      <c r="AR182">
        <v>3.103448276</v>
      </c>
      <c r="AS182">
        <v>0.45344827599999998</v>
      </c>
      <c r="AT182">
        <v>0</v>
      </c>
      <c r="AU182" t="s">
        <v>66</v>
      </c>
      <c r="AV182">
        <v>0</v>
      </c>
      <c r="AW182">
        <v>1</v>
      </c>
      <c r="AX182">
        <v>0</v>
      </c>
      <c r="AY182">
        <v>1</v>
      </c>
      <c r="AZ182">
        <v>1</v>
      </c>
      <c r="BA182">
        <v>1</v>
      </c>
      <c r="BB182" t="s">
        <v>66</v>
      </c>
      <c r="BC182">
        <v>31.2</v>
      </c>
      <c r="BD182">
        <v>48.9</v>
      </c>
      <c r="BE182">
        <v>56.73076923</v>
      </c>
      <c r="BF182">
        <v>0</v>
      </c>
      <c r="BG182">
        <v>34.229999999999997</v>
      </c>
      <c r="BH182">
        <v>9.711538462</v>
      </c>
      <c r="BI182">
        <v>73</v>
      </c>
      <c r="BJ182">
        <v>6.4</v>
      </c>
      <c r="BK182" t="s">
        <v>66</v>
      </c>
      <c r="BL182">
        <v>20</v>
      </c>
      <c r="BM182">
        <v>20</v>
      </c>
      <c r="BN182">
        <v>14</v>
      </c>
      <c r="BO182">
        <f t="shared" si="32"/>
        <v>17</v>
      </c>
      <c r="BP182">
        <v>3</v>
      </c>
      <c r="BQ182">
        <v>1</v>
      </c>
      <c r="BS182">
        <v>0</v>
      </c>
      <c r="BT182">
        <f t="shared" si="33"/>
        <v>30.136986301369863</v>
      </c>
      <c r="BU182">
        <f t="shared" si="34"/>
        <v>37.500000000000007</v>
      </c>
      <c r="BV182">
        <f t="shared" si="35"/>
        <v>-165</v>
      </c>
      <c r="BW182">
        <f t="shared" si="36"/>
        <v>-17.647058823529413</v>
      </c>
    </row>
    <row r="183" spans="1:75" x14ac:dyDescent="0.2">
      <c r="A183" t="s">
        <v>213</v>
      </c>
      <c r="B183" t="s">
        <v>235</v>
      </c>
      <c r="C183" t="s">
        <v>106</v>
      </c>
      <c r="D183" t="s">
        <v>63</v>
      </c>
      <c r="E183" t="s">
        <v>101</v>
      </c>
      <c r="F183" t="s">
        <v>254</v>
      </c>
      <c r="G183">
        <v>8.65</v>
      </c>
      <c r="H183">
        <v>13.05</v>
      </c>
      <c r="I183">
        <v>14.95</v>
      </c>
      <c r="J183">
        <v>14.4</v>
      </c>
      <c r="K183">
        <v>51.05</v>
      </c>
      <c r="L183">
        <v>3.2369942200000001</v>
      </c>
      <c r="M183">
        <v>25</v>
      </c>
      <c r="N183">
        <v>29</v>
      </c>
      <c r="O183">
        <v>4</v>
      </c>
      <c r="P183">
        <v>35</v>
      </c>
      <c r="Q183">
        <v>10</v>
      </c>
      <c r="R183">
        <v>5</v>
      </c>
      <c r="S183">
        <v>57.1</v>
      </c>
      <c r="T183">
        <v>40</v>
      </c>
      <c r="U183">
        <v>20.689655170000002</v>
      </c>
      <c r="V183">
        <v>4</v>
      </c>
      <c r="W183">
        <v>5</v>
      </c>
      <c r="X183">
        <v>6</v>
      </c>
      <c r="Y183">
        <v>2</v>
      </c>
      <c r="Z183">
        <v>50</v>
      </c>
      <c r="AA183" t="s">
        <v>66</v>
      </c>
      <c r="AB183" t="s">
        <v>66</v>
      </c>
      <c r="AC183" t="s">
        <v>66</v>
      </c>
      <c r="AD183" t="s">
        <v>66</v>
      </c>
      <c r="AE183">
        <v>12</v>
      </c>
      <c r="AF183">
        <v>28</v>
      </c>
      <c r="AG183" t="s">
        <v>66</v>
      </c>
      <c r="AH183">
        <v>12</v>
      </c>
      <c r="AI183">
        <v>12</v>
      </c>
      <c r="AJ183" t="s">
        <v>66</v>
      </c>
      <c r="AK183">
        <v>7</v>
      </c>
      <c r="AL183">
        <v>10</v>
      </c>
      <c r="AM183">
        <v>9.5</v>
      </c>
      <c r="AN183">
        <v>11</v>
      </c>
      <c r="AO183">
        <v>15.78947368</v>
      </c>
      <c r="AP183">
        <v>133.33333329999999</v>
      </c>
      <c r="AQ183">
        <v>1.263157895</v>
      </c>
      <c r="AR183">
        <v>2.5454545450000001</v>
      </c>
      <c r="AS183">
        <v>1.2822966499999999</v>
      </c>
      <c r="AT183">
        <v>0</v>
      </c>
      <c r="AU183" t="s">
        <v>66</v>
      </c>
      <c r="AV183">
        <v>1</v>
      </c>
      <c r="AW183">
        <v>1</v>
      </c>
      <c r="AX183">
        <v>0</v>
      </c>
      <c r="AY183">
        <v>1</v>
      </c>
      <c r="AZ183">
        <v>1</v>
      </c>
      <c r="BA183">
        <v>1</v>
      </c>
      <c r="BB183" t="s">
        <v>66</v>
      </c>
      <c r="BC183">
        <v>26.1</v>
      </c>
      <c r="BD183">
        <v>63.7</v>
      </c>
      <c r="BE183">
        <v>144.0613027</v>
      </c>
      <c r="BF183">
        <v>0</v>
      </c>
      <c r="BG183">
        <v>44.59</v>
      </c>
      <c r="BH183">
        <v>70.842911880000003</v>
      </c>
      <c r="BI183">
        <v>40</v>
      </c>
      <c r="BJ183">
        <v>6.5</v>
      </c>
      <c r="BK183" t="s">
        <v>66</v>
      </c>
      <c r="BL183">
        <v>20</v>
      </c>
      <c r="BM183">
        <v>4</v>
      </c>
      <c r="BN183">
        <v>4</v>
      </c>
      <c r="BO183">
        <f t="shared" si="32"/>
        <v>4</v>
      </c>
      <c r="BP183">
        <v>4</v>
      </c>
      <c r="BQ183">
        <v>1</v>
      </c>
      <c r="BS183">
        <v>0</v>
      </c>
      <c r="BT183">
        <f t="shared" si="33"/>
        <v>37.5</v>
      </c>
      <c r="BU183">
        <f t="shared" si="34"/>
        <v>38.461538461538467</v>
      </c>
      <c r="BV183">
        <f t="shared" si="35"/>
        <v>40</v>
      </c>
      <c r="BW183">
        <f t="shared" si="36"/>
        <v>-137.5</v>
      </c>
    </row>
    <row r="184" spans="1:75" x14ac:dyDescent="0.2">
      <c r="A184" t="s">
        <v>213</v>
      </c>
      <c r="B184" t="s">
        <v>235</v>
      </c>
      <c r="C184" t="s">
        <v>106</v>
      </c>
      <c r="D184" t="s">
        <v>63</v>
      </c>
      <c r="E184" t="s">
        <v>103</v>
      </c>
      <c r="F184" t="s">
        <v>255</v>
      </c>
      <c r="G184">
        <v>8.65</v>
      </c>
      <c r="H184">
        <v>13.05</v>
      </c>
      <c r="I184">
        <v>14.95</v>
      </c>
      <c r="J184">
        <v>14.4</v>
      </c>
      <c r="K184">
        <v>51.05</v>
      </c>
      <c r="L184">
        <v>3.2369942200000001</v>
      </c>
      <c r="M184">
        <v>60</v>
      </c>
      <c r="N184">
        <v>76</v>
      </c>
      <c r="O184">
        <v>16</v>
      </c>
      <c r="P184">
        <v>79</v>
      </c>
      <c r="Q184">
        <v>19</v>
      </c>
      <c r="R184">
        <v>9.5</v>
      </c>
      <c r="S184">
        <v>66.099999999999994</v>
      </c>
      <c r="T184">
        <v>31.666666670000001</v>
      </c>
      <c r="U184">
        <v>3.9473684210000002</v>
      </c>
      <c r="V184">
        <v>4</v>
      </c>
      <c r="W184">
        <v>6</v>
      </c>
      <c r="X184">
        <v>7</v>
      </c>
      <c r="Y184">
        <v>3</v>
      </c>
      <c r="Z184">
        <v>75</v>
      </c>
      <c r="AA184" t="s">
        <v>66</v>
      </c>
      <c r="AB184" t="s">
        <v>66</v>
      </c>
      <c r="AC184" t="s">
        <v>66</v>
      </c>
      <c r="AD184" t="s">
        <v>66</v>
      </c>
      <c r="AE184">
        <v>40</v>
      </c>
      <c r="AF184">
        <v>45</v>
      </c>
      <c r="AG184" t="s">
        <v>66</v>
      </c>
      <c r="AH184">
        <v>18</v>
      </c>
      <c r="AI184">
        <v>19</v>
      </c>
      <c r="AJ184" t="s">
        <v>66</v>
      </c>
      <c r="AK184">
        <v>17</v>
      </c>
      <c r="AL184">
        <v>14</v>
      </c>
      <c r="AM184">
        <v>17.5</v>
      </c>
      <c r="AN184">
        <v>16.5</v>
      </c>
      <c r="AO184">
        <v>-5.7142857139999998</v>
      </c>
      <c r="AP184">
        <v>12.5</v>
      </c>
      <c r="AQ184">
        <v>2.2857142860000002</v>
      </c>
      <c r="AR184">
        <v>2.7272727269999999</v>
      </c>
      <c r="AS184">
        <v>0.44155844100000002</v>
      </c>
      <c r="AT184">
        <v>0</v>
      </c>
      <c r="AU184" t="s">
        <v>66</v>
      </c>
      <c r="AV184">
        <v>0</v>
      </c>
      <c r="AW184">
        <v>1</v>
      </c>
      <c r="AX184">
        <v>0</v>
      </c>
      <c r="AY184">
        <v>1</v>
      </c>
      <c r="AZ184">
        <v>1</v>
      </c>
      <c r="BA184">
        <v>1</v>
      </c>
      <c r="BB184" t="s">
        <v>66</v>
      </c>
      <c r="BC184">
        <v>30.8</v>
      </c>
      <c r="BD184">
        <v>39.4</v>
      </c>
      <c r="BE184">
        <v>27.92207792</v>
      </c>
      <c r="BF184">
        <v>0</v>
      </c>
      <c r="BG184">
        <v>27.58</v>
      </c>
      <c r="BH184">
        <v>-10.454545449999999</v>
      </c>
      <c r="BI184">
        <v>89</v>
      </c>
      <c r="BJ184">
        <v>7.3</v>
      </c>
      <c r="BK184" t="s">
        <v>66</v>
      </c>
      <c r="BL184">
        <f>89-35</f>
        <v>54</v>
      </c>
      <c r="BM184">
        <v>12</v>
      </c>
      <c r="BN184">
        <v>10</v>
      </c>
      <c r="BO184">
        <f t="shared" si="32"/>
        <v>11</v>
      </c>
      <c r="BP184">
        <v>4</v>
      </c>
      <c r="BQ184">
        <v>1</v>
      </c>
      <c r="BS184">
        <v>0</v>
      </c>
      <c r="BT184">
        <f t="shared" si="33"/>
        <v>32.584269662921351</v>
      </c>
      <c r="BU184">
        <f t="shared" si="34"/>
        <v>45.205479452054789</v>
      </c>
      <c r="BV184">
        <f t="shared" si="35"/>
        <v>25.925925925925924</v>
      </c>
      <c r="BW184">
        <f t="shared" si="36"/>
        <v>-59.090909090909093</v>
      </c>
    </row>
    <row r="185" spans="1:75" x14ac:dyDescent="0.2">
      <c r="A185" t="s">
        <v>213</v>
      </c>
      <c r="B185" t="s">
        <v>235</v>
      </c>
      <c r="C185" t="s">
        <v>106</v>
      </c>
      <c r="D185" t="s">
        <v>63</v>
      </c>
      <c r="E185" t="s">
        <v>97</v>
      </c>
      <c r="F185" t="s">
        <v>252</v>
      </c>
      <c r="G185">
        <v>8.65</v>
      </c>
      <c r="H185">
        <v>13.05</v>
      </c>
      <c r="I185">
        <v>14.95</v>
      </c>
      <c r="J185">
        <v>14.4</v>
      </c>
      <c r="K185">
        <v>51.05</v>
      </c>
      <c r="L185">
        <v>3.2369942200000001</v>
      </c>
      <c r="M185">
        <v>72</v>
      </c>
      <c r="N185">
        <v>89</v>
      </c>
      <c r="O185">
        <v>17</v>
      </c>
      <c r="P185">
        <v>101</v>
      </c>
      <c r="Q185">
        <v>29</v>
      </c>
      <c r="R185">
        <v>14.5</v>
      </c>
      <c r="S185">
        <v>76.099999999999994</v>
      </c>
      <c r="T185">
        <v>40.277777780000001</v>
      </c>
      <c r="U185">
        <v>13.48314607</v>
      </c>
      <c r="V185">
        <v>5</v>
      </c>
      <c r="W185">
        <v>8</v>
      </c>
      <c r="X185">
        <v>10</v>
      </c>
      <c r="Y185">
        <v>5</v>
      </c>
      <c r="Z185">
        <v>100</v>
      </c>
      <c r="AA185" t="s">
        <v>66</v>
      </c>
      <c r="AB185" t="s">
        <v>66</v>
      </c>
      <c r="AC185" t="s">
        <v>66</v>
      </c>
      <c r="AD185" t="s">
        <v>66</v>
      </c>
      <c r="AE185">
        <v>56</v>
      </c>
      <c r="AF185">
        <v>56</v>
      </c>
      <c r="AG185" t="s">
        <v>66</v>
      </c>
      <c r="AH185">
        <v>40</v>
      </c>
      <c r="AI185">
        <v>43</v>
      </c>
      <c r="AJ185" t="s">
        <v>66</v>
      </c>
      <c r="AK185">
        <v>21</v>
      </c>
      <c r="AL185">
        <v>14</v>
      </c>
      <c r="AM185">
        <v>30.5</v>
      </c>
      <c r="AN185">
        <v>28.5</v>
      </c>
      <c r="AO185">
        <v>-6.5573770490000003</v>
      </c>
      <c r="AP185">
        <v>0</v>
      </c>
      <c r="AQ185">
        <v>1.836065574</v>
      </c>
      <c r="AR185">
        <v>1.9649122809999999</v>
      </c>
      <c r="AS185">
        <v>0.128846707</v>
      </c>
      <c r="AT185">
        <v>0</v>
      </c>
      <c r="AU185" t="s">
        <v>66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 t="s">
        <v>66</v>
      </c>
      <c r="BC185">
        <v>36.5</v>
      </c>
      <c r="BD185">
        <v>47.1</v>
      </c>
      <c r="BE185">
        <v>29.041095890000001</v>
      </c>
      <c r="BF185">
        <v>0</v>
      </c>
      <c r="BG185">
        <v>32.97</v>
      </c>
      <c r="BH185">
        <v>-9.6712328769999996</v>
      </c>
      <c r="BI185">
        <v>87</v>
      </c>
      <c r="BJ185">
        <v>8.1</v>
      </c>
      <c r="BK185" t="s">
        <v>66</v>
      </c>
      <c r="BL185">
        <f>87-21</f>
        <v>66</v>
      </c>
      <c r="BM185">
        <v>23</v>
      </c>
      <c r="BN185">
        <v>8</v>
      </c>
      <c r="BO185">
        <f t="shared" si="32"/>
        <v>15.5</v>
      </c>
      <c r="BP185">
        <v>4</v>
      </c>
      <c r="BQ185">
        <v>1</v>
      </c>
      <c r="BS185">
        <v>0</v>
      </c>
      <c r="BT185">
        <f t="shared" si="33"/>
        <v>17.241379310344829</v>
      </c>
      <c r="BU185">
        <f t="shared" si="34"/>
        <v>38.271604938271601</v>
      </c>
      <c r="BV185">
        <f t="shared" si="35"/>
        <v>15.151515151515152</v>
      </c>
      <c r="BW185">
        <f t="shared" si="36"/>
        <v>-96.774193548387103</v>
      </c>
    </row>
    <row r="186" spans="1:75" x14ac:dyDescent="0.2">
      <c r="A186" t="s">
        <v>256</v>
      </c>
      <c r="B186" t="s">
        <v>278</v>
      </c>
      <c r="C186" t="s">
        <v>106</v>
      </c>
      <c r="D186" t="s">
        <v>63</v>
      </c>
      <c r="E186" t="s">
        <v>64</v>
      </c>
      <c r="F186" t="s">
        <v>279</v>
      </c>
      <c r="G186">
        <v>7</v>
      </c>
      <c r="H186">
        <v>1.9</v>
      </c>
      <c r="I186">
        <v>0.85</v>
      </c>
      <c r="J186">
        <v>1.1000000000000001</v>
      </c>
      <c r="K186">
        <v>10.85</v>
      </c>
      <c r="L186">
        <v>0.39285714300000002</v>
      </c>
      <c r="M186">
        <v>50</v>
      </c>
      <c r="N186">
        <v>50</v>
      </c>
      <c r="O186">
        <v>0</v>
      </c>
      <c r="P186">
        <v>54</v>
      </c>
      <c r="Q186">
        <v>4</v>
      </c>
      <c r="R186">
        <v>2</v>
      </c>
      <c r="S186">
        <v>51.1</v>
      </c>
      <c r="T186">
        <v>8</v>
      </c>
      <c r="U186">
        <v>8</v>
      </c>
      <c r="V186">
        <v>5</v>
      </c>
      <c r="W186">
        <v>5</v>
      </c>
      <c r="X186">
        <v>7</v>
      </c>
      <c r="Y186">
        <v>2</v>
      </c>
      <c r="Z186">
        <v>40</v>
      </c>
      <c r="AA186" t="s">
        <v>66</v>
      </c>
      <c r="AB186" t="s">
        <v>66</v>
      </c>
      <c r="AC186" t="s">
        <v>66</v>
      </c>
      <c r="AD186" t="s">
        <v>66</v>
      </c>
      <c r="AE186">
        <v>25</v>
      </c>
      <c r="AF186">
        <v>11</v>
      </c>
      <c r="AG186" t="s">
        <v>66</v>
      </c>
      <c r="AH186">
        <v>8</v>
      </c>
      <c r="AI186">
        <v>7</v>
      </c>
      <c r="AJ186" t="s">
        <v>66</v>
      </c>
      <c r="AK186">
        <v>7</v>
      </c>
      <c r="AL186">
        <v>6</v>
      </c>
      <c r="AM186">
        <v>7.5</v>
      </c>
      <c r="AN186">
        <v>6.5</v>
      </c>
      <c r="AO186">
        <v>-13.33333333</v>
      </c>
      <c r="AP186">
        <v>-56</v>
      </c>
      <c r="AQ186">
        <v>3.3333333330000001</v>
      </c>
      <c r="AR186">
        <v>1.692307692</v>
      </c>
      <c r="AS186">
        <v>-1.6410256409999999</v>
      </c>
      <c r="AT186">
        <v>0</v>
      </c>
      <c r="AU186" t="s">
        <v>66</v>
      </c>
      <c r="AV186">
        <v>0</v>
      </c>
      <c r="AW186">
        <v>2</v>
      </c>
      <c r="AX186">
        <v>0</v>
      </c>
      <c r="AY186">
        <v>1</v>
      </c>
      <c r="AZ186">
        <v>1</v>
      </c>
      <c r="BA186">
        <v>1</v>
      </c>
      <c r="BB186" t="s">
        <v>66</v>
      </c>
      <c r="BC186">
        <v>19.600000000000001</v>
      </c>
      <c r="BD186">
        <v>24.9</v>
      </c>
      <c r="BE186">
        <v>27.040816329999998</v>
      </c>
      <c r="BF186">
        <v>0</v>
      </c>
      <c r="BG186">
        <v>17.43</v>
      </c>
      <c r="BH186">
        <v>-11.07142857</v>
      </c>
      <c r="BI186" t="s">
        <v>66</v>
      </c>
      <c r="BJ186" t="s">
        <v>66</v>
      </c>
      <c r="BK186" t="s">
        <v>66</v>
      </c>
      <c r="BL186" t="s">
        <v>66</v>
      </c>
      <c r="BM186" t="s">
        <v>66</v>
      </c>
      <c r="BN186" t="s">
        <v>66</v>
      </c>
      <c r="BO186" t="s">
        <v>66</v>
      </c>
      <c r="BP186" t="s">
        <v>66</v>
      </c>
      <c r="BQ186">
        <v>0</v>
      </c>
      <c r="BS186">
        <v>0</v>
      </c>
      <c r="BT186" t="s">
        <v>66</v>
      </c>
      <c r="BU186" t="s">
        <v>66</v>
      </c>
      <c r="BV186" t="s">
        <v>66</v>
      </c>
      <c r="BW186" t="s">
        <v>66</v>
      </c>
    </row>
    <row r="187" spans="1:75" x14ac:dyDescent="0.2">
      <c r="A187" t="s">
        <v>256</v>
      </c>
      <c r="B187" t="s">
        <v>278</v>
      </c>
      <c r="C187" t="s">
        <v>106</v>
      </c>
      <c r="D187" t="s">
        <v>63</v>
      </c>
      <c r="E187" t="s">
        <v>67</v>
      </c>
      <c r="F187" t="s">
        <v>280</v>
      </c>
      <c r="G187">
        <v>7</v>
      </c>
      <c r="H187">
        <v>1.9</v>
      </c>
      <c r="I187">
        <v>0.85</v>
      </c>
      <c r="J187">
        <v>1.1000000000000001</v>
      </c>
      <c r="K187">
        <v>10.85</v>
      </c>
      <c r="L187">
        <v>0.39285714300000002</v>
      </c>
      <c r="M187">
        <v>28</v>
      </c>
      <c r="N187">
        <v>31</v>
      </c>
      <c r="O187">
        <v>3</v>
      </c>
      <c r="P187">
        <v>31</v>
      </c>
      <c r="Q187">
        <v>3</v>
      </c>
      <c r="R187">
        <v>1.5</v>
      </c>
      <c r="S187">
        <v>50.1</v>
      </c>
      <c r="T187">
        <v>10.71428571</v>
      </c>
      <c r="U187">
        <v>0</v>
      </c>
      <c r="V187">
        <v>2</v>
      </c>
      <c r="W187">
        <v>4</v>
      </c>
      <c r="X187">
        <v>4</v>
      </c>
      <c r="Y187">
        <v>2</v>
      </c>
      <c r="Z187">
        <v>100</v>
      </c>
      <c r="AA187" t="s">
        <v>66</v>
      </c>
      <c r="AB187" t="s">
        <v>66</v>
      </c>
      <c r="AC187" t="s">
        <v>66</v>
      </c>
      <c r="AD187" t="s">
        <v>66</v>
      </c>
      <c r="AE187">
        <v>9</v>
      </c>
      <c r="AF187">
        <v>12</v>
      </c>
      <c r="AG187" t="s">
        <v>66</v>
      </c>
      <c r="AH187">
        <v>10</v>
      </c>
      <c r="AI187">
        <v>13</v>
      </c>
      <c r="AJ187" t="s">
        <v>66</v>
      </c>
      <c r="AK187">
        <v>6</v>
      </c>
      <c r="AL187">
        <v>7</v>
      </c>
      <c r="AM187">
        <v>8</v>
      </c>
      <c r="AN187">
        <v>10</v>
      </c>
      <c r="AO187">
        <v>25</v>
      </c>
      <c r="AP187">
        <v>33.333333330000002</v>
      </c>
      <c r="AQ187">
        <v>1.125</v>
      </c>
      <c r="AR187">
        <v>1.2</v>
      </c>
      <c r="AS187">
        <v>7.4999999999999997E-2</v>
      </c>
      <c r="AT187">
        <v>0</v>
      </c>
      <c r="AU187" t="s">
        <v>66</v>
      </c>
      <c r="AV187">
        <v>2</v>
      </c>
      <c r="AW187">
        <v>1</v>
      </c>
      <c r="AX187">
        <v>0</v>
      </c>
      <c r="AY187">
        <v>1</v>
      </c>
      <c r="AZ187">
        <v>1</v>
      </c>
      <c r="BA187">
        <v>1</v>
      </c>
      <c r="BB187" t="s">
        <v>66</v>
      </c>
      <c r="BC187">
        <v>23.8</v>
      </c>
      <c r="BD187">
        <v>31.1</v>
      </c>
      <c r="BE187">
        <v>30.67226891</v>
      </c>
      <c r="BF187">
        <v>0</v>
      </c>
      <c r="BG187">
        <v>21.77</v>
      </c>
      <c r="BH187">
        <v>-8.5294117650000008</v>
      </c>
      <c r="BI187">
        <v>32</v>
      </c>
      <c r="BJ187">
        <v>4.4000000000000004</v>
      </c>
      <c r="BK187" t="s">
        <v>66</v>
      </c>
      <c r="BL187">
        <f>32-24</f>
        <v>8</v>
      </c>
      <c r="BM187">
        <v>15</v>
      </c>
      <c r="BN187">
        <v>7</v>
      </c>
      <c r="BO187">
        <f t="shared" ref="BO187:BO224" si="37">AVERAGE(BM187,BN187)</f>
        <v>11</v>
      </c>
      <c r="BP187">
        <v>4</v>
      </c>
      <c r="BQ187">
        <v>1</v>
      </c>
      <c r="BS187">
        <v>0</v>
      </c>
      <c r="BT187">
        <f t="shared" ref="BT187:BT224" si="38">(BI187-M187)/BI187*100</f>
        <v>12.5</v>
      </c>
      <c r="BU187">
        <f t="shared" ref="BU187:BU224" si="39">(BJ187-V187)/BJ187*100</f>
        <v>54.545454545454554</v>
      </c>
      <c r="BV187">
        <f t="shared" ref="BV187:BV224" si="40">(BL187-AE187)/BL187*100</f>
        <v>-12.5</v>
      </c>
      <c r="BW187">
        <f t="shared" ref="BW187:BW224" si="41">(BO187-AM187)/BO187*100</f>
        <v>27.27272727272727</v>
      </c>
    </row>
    <row r="188" spans="1:75" x14ac:dyDescent="0.2">
      <c r="A188" t="s">
        <v>256</v>
      </c>
      <c r="B188" t="s">
        <v>278</v>
      </c>
      <c r="C188" t="s">
        <v>106</v>
      </c>
      <c r="D188" t="s">
        <v>63</v>
      </c>
      <c r="E188" t="s">
        <v>69</v>
      </c>
      <c r="F188" t="s">
        <v>281</v>
      </c>
      <c r="G188">
        <v>7</v>
      </c>
      <c r="H188">
        <v>1.9</v>
      </c>
      <c r="I188">
        <v>0.85</v>
      </c>
      <c r="J188">
        <v>1.1000000000000001</v>
      </c>
      <c r="K188">
        <v>10.85</v>
      </c>
      <c r="L188">
        <v>0.39285714300000002</v>
      </c>
      <c r="M188">
        <v>45</v>
      </c>
      <c r="N188">
        <v>48</v>
      </c>
      <c r="O188">
        <v>3</v>
      </c>
      <c r="P188">
        <v>48</v>
      </c>
      <c r="Q188">
        <v>3</v>
      </c>
      <c r="R188">
        <v>1.5</v>
      </c>
      <c r="S188">
        <v>50.1</v>
      </c>
      <c r="T188">
        <v>6.6666666670000003</v>
      </c>
      <c r="U188">
        <v>0</v>
      </c>
      <c r="V188">
        <v>5</v>
      </c>
      <c r="W188">
        <v>5</v>
      </c>
      <c r="X188">
        <v>7</v>
      </c>
      <c r="Y188">
        <v>2</v>
      </c>
      <c r="Z188">
        <v>40</v>
      </c>
      <c r="AA188" t="s">
        <v>66</v>
      </c>
      <c r="AB188" t="s">
        <v>66</v>
      </c>
      <c r="AC188" t="s">
        <v>66</v>
      </c>
      <c r="AD188" t="s">
        <v>66</v>
      </c>
      <c r="AE188">
        <v>24</v>
      </c>
      <c r="AF188">
        <v>23</v>
      </c>
      <c r="AG188" t="s">
        <v>66</v>
      </c>
      <c r="AH188">
        <v>13</v>
      </c>
      <c r="AI188">
        <v>12</v>
      </c>
      <c r="AJ188" t="s">
        <v>66</v>
      </c>
      <c r="AK188">
        <v>12</v>
      </c>
      <c r="AL188">
        <v>11</v>
      </c>
      <c r="AM188">
        <v>12.5</v>
      </c>
      <c r="AN188">
        <v>11.5</v>
      </c>
      <c r="AO188">
        <v>-8</v>
      </c>
      <c r="AP188">
        <v>-4.1666666670000003</v>
      </c>
      <c r="AQ188">
        <v>1.92</v>
      </c>
      <c r="AR188">
        <v>2</v>
      </c>
      <c r="AS188">
        <v>0.08</v>
      </c>
      <c r="AT188">
        <v>0</v>
      </c>
      <c r="AU188" t="s">
        <v>66</v>
      </c>
      <c r="AV188">
        <v>1</v>
      </c>
      <c r="AW188">
        <v>2</v>
      </c>
      <c r="AX188">
        <v>0</v>
      </c>
      <c r="AY188">
        <v>1</v>
      </c>
      <c r="AZ188">
        <v>1</v>
      </c>
      <c r="BA188">
        <v>1</v>
      </c>
      <c r="BB188" t="s">
        <v>66</v>
      </c>
      <c r="BC188">
        <v>25.1</v>
      </c>
      <c r="BD188">
        <v>34.700000000000003</v>
      </c>
      <c r="BE188">
        <v>38.247011950000001</v>
      </c>
      <c r="BF188">
        <v>0</v>
      </c>
      <c r="BG188">
        <v>24.29</v>
      </c>
      <c r="BH188">
        <v>-3.2270916330000001</v>
      </c>
      <c r="BI188">
        <v>51</v>
      </c>
      <c r="BJ188">
        <v>7.9</v>
      </c>
      <c r="BK188" t="s">
        <v>66</v>
      </c>
      <c r="BL188">
        <f>51-30</f>
        <v>21</v>
      </c>
      <c r="BM188">
        <v>16</v>
      </c>
      <c r="BN188">
        <v>10</v>
      </c>
      <c r="BO188">
        <f t="shared" si="37"/>
        <v>13</v>
      </c>
      <c r="BP188">
        <v>3</v>
      </c>
      <c r="BQ188">
        <v>1</v>
      </c>
      <c r="BS188">
        <v>0</v>
      </c>
      <c r="BT188">
        <f t="shared" si="38"/>
        <v>11.76470588235294</v>
      </c>
      <c r="BU188">
        <f t="shared" si="39"/>
        <v>36.708860759493675</v>
      </c>
      <c r="BV188">
        <f t="shared" si="40"/>
        <v>-14.285714285714285</v>
      </c>
      <c r="BW188">
        <f t="shared" si="41"/>
        <v>3.8461538461538463</v>
      </c>
    </row>
    <row r="189" spans="1:75" x14ac:dyDescent="0.2">
      <c r="A189" t="s">
        <v>256</v>
      </c>
      <c r="B189" t="s">
        <v>278</v>
      </c>
      <c r="C189" t="s">
        <v>106</v>
      </c>
      <c r="D189" t="s">
        <v>63</v>
      </c>
      <c r="E189" t="s">
        <v>71</v>
      </c>
      <c r="F189" t="s">
        <v>282</v>
      </c>
      <c r="G189">
        <v>7</v>
      </c>
      <c r="H189">
        <v>1.9</v>
      </c>
      <c r="I189">
        <v>0.85</v>
      </c>
      <c r="J189">
        <v>1.1000000000000001</v>
      </c>
      <c r="K189">
        <v>10.85</v>
      </c>
      <c r="L189">
        <v>0.39285714300000002</v>
      </c>
      <c r="M189">
        <v>26</v>
      </c>
      <c r="N189">
        <v>33</v>
      </c>
      <c r="O189">
        <v>7</v>
      </c>
      <c r="P189">
        <v>32</v>
      </c>
      <c r="Q189">
        <v>6</v>
      </c>
      <c r="R189">
        <v>3</v>
      </c>
      <c r="S189">
        <v>53.1</v>
      </c>
      <c r="T189">
        <v>23.07692308</v>
      </c>
      <c r="U189">
        <v>-3.0303030299999998</v>
      </c>
      <c r="V189">
        <v>3</v>
      </c>
      <c r="W189">
        <v>3</v>
      </c>
      <c r="X189">
        <v>4</v>
      </c>
      <c r="Y189">
        <v>1</v>
      </c>
      <c r="Z189">
        <v>33.333333330000002</v>
      </c>
      <c r="AA189" t="s">
        <v>66</v>
      </c>
      <c r="AB189" t="s">
        <v>66</v>
      </c>
      <c r="AC189" t="s">
        <v>66</v>
      </c>
      <c r="AD189" t="s">
        <v>66</v>
      </c>
      <c r="AE189">
        <v>9</v>
      </c>
      <c r="AF189">
        <v>10</v>
      </c>
      <c r="AG189" t="s">
        <v>66</v>
      </c>
      <c r="AH189">
        <v>8</v>
      </c>
      <c r="AI189">
        <v>8</v>
      </c>
      <c r="AJ189" t="s">
        <v>66</v>
      </c>
      <c r="AK189">
        <v>5</v>
      </c>
      <c r="AL189">
        <v>5</v>
      </c>
      <c r="AM189">
        <v>6.5</v>
      </c>
      <c r="AN189">
        <v>6.5</v>
      </c>
      <c r="AO189">
        <v>0</v>
      </c>
      <c r="AP189">
        <v>11.11111111</v>
      </c>
      <c r="AQ189">
        <v>1.384615385</v>
      </c>
      <c r="AR189">
        <v>1.538461538</v>
      </c>
      <c r="AS189">
        <v>0.15384615300000001</v>
      </c>
      <c r="AT189">
        <v>0</v>
      </c>
      <c r="AU189" t="s">
        <v>66</v>
      </c>
      <c r="AV189">
        <v>1</v>
      </c>
      <c r="AW189">
        <v>3</v>
      </c>
      <c r="AX189">
        <v>0</v>
      </c>
      <c r="AY189">
        <v>1</v>
      </c>
      <c r="AZ189">
        <v>1</v>
      </c>
      <c r="BA189">
        <v>1</v>
      </c>
      <c r="BB189" t="s">
        <v>66</v>
      </c>
      <c r="BC189">
        <v>15.4</v>
      </c>
      <c r="BD189">
        <v>21</v>
      </c>
      <c r="BE189">
        <v>36.363636360000001</v>
      </c>
      <c r="BF189">
        <v>0</v>
      </c>
      <c r="BG189">
        <v>14.7</v>
      </c>
      <c r="BH189">
        <v>-4.5454545450000001</v>
      </c>
      <c r="BI189">
        <v>32</v>
      </c>
      <c r="BJ189">
        <v>4.9000000000000004</v>
      </c>
      <c r="BK189" t="s">
        <v>66</v>
      </c>
      <c r="BL189">
        <f>32-23</f>
        <v>9</v>
      </c>
      <c r="BM189">
        <v>4</v>
      </c>
      <c r="BN189">
        <v>2</v>
      </c>
      <c r="BO189">
        <f t="shared" si="37"/>
        <v>3</v>
      </c>
      <c r="BP189">
        <v>3</v>
      </c>
      <c r="BQ189">
        <v>1</v>
      </c>
      <c r="BS189">
        <v>0</v>
      </c>
      <c r="BT189">
        <f t="shared" si="38"/>
        <v>18.75</v>
      </c>
      <c r="BU189">
        <f t="shared" si="39"/>
        <v>38.775510204081634</v>
      </c>
      <c r="BV189">
        <f t="shared" si="40"/>
        <v>0</v>
      </c>
      <c r="BW189">
        <f t="shared" si="41"/>
        <v>-116.66666666666667</v>
      </c>
    </row>
    <row r="190" spans="1:75" x14ac:dyDescent="0.2">
      <c r="A190" t="s">
        <v>256</v>
      </c>
      <c r="B190" t="s">
        <v>278</v>
      </c>
      <c r="C190" t="s">
        <v>106</v>
      </c>
      <c r="D190" t="s">
        <v>63</v>
      </c>
      <c r="E190" t="s">
        <v>73</v>
      </c>
      <c r="F190" t="s">
        <v>283</v>
      </c>
      <c r="G190">
        <v>7</v>
      </c>
      <c r="H190">
        <v>1.9</v>
      </c>
      <c r="I190">
        <v>0.85</v>
      </c>
      <c r="J190">
        <v>1.1000000000000001</v>
      </c>
      <c r="K190">
        <v>10.85</v>
      </c>
      <c r="L190">
        <v>0.39285714300000002</v>
      </c>
      <c r="M190">
        <v>100</v>
      </c>
      <c r="N190">
        <v>98</v>
      </c>
      <c r="O190">
        <v>-2</v>
      </c>
      <c r="P190">
        <v>103</v>
      </c>
      <c r="Q190">
        <v>3</v>
      </c>
      <c r="R190">
        <v>1.5</v>
      </c>
      <c r="S190">
        <v>50.1</v>
      </c>
      <c r="T190">
        <v>3</v>
      </c>
      <c r="U190">
        <v>5.1020408159999997</v>
      </c>
      <c r="V190">
        <v>9</v>
      </c>
      <c r="W190">
        <v>10</v>
      </c>
      <c r="X190">
        <v>11</v>
      </c>
      <c r="Y190">
        <v>2</v>
      </c>
      <c r="Z190">
        <v>22.222222219999999</v>
      </c>
      <c r="AA190" t="s">
        <v>66</v>
      </c>
      <c r="AB190" t="s">
        <v>66</v>
      </c>
      <c r="AC190" t="s">
        <v>66</v>
      </c>
      <c r="AD190" t="s">
        <v>66</v>
      </c>
      <c r="AE190">
        <v>68</v>
      </c>
      <c r="AF190">
        <v>68</v>
      </c>
      <c r="AG190" t="s">
        <v>66</v>
      </c>
      <c r="AH190">
        <v>27</v>
      </c>
      <c r="AI190">
        <v>24</v>
      </c>
      <c r="AJ190" t="s">
        <v>66</v>
      </c>
      <c r="AK190">
        <v>12</v>
      </c>
      <c r="AL190">
        <v>12</v>
      </c>
      <c r="AM190">
        <v>19.5</v>
      </c>
      <c r="AN190">
        <v>18</v>
      </c>
      <c r="AO190">
        <v>-7.692307692</v>
      </c>
      <c r="AP190">
        <v>0</v>
      </c>
      <c r="AQ190">
        <v>3.4871794870000001</v>
      </c>
      <c r="AR190">
        <v>3.7777777779999999</v>
      </c>
      <c r="AS190">
        <v>0.29059829100000001</v>
      </c>
      <c r="AT190">
        <v>0</v>
      </c>
      <c r="AU190" t="s">
        <v>66</v>
      </c>
      <c r="AV190">
        <v>3</v>
      </c>
      <c r="AW190">
        <v>2</v>
      </c>
      <c r="AX190">
        <v>0</v>
      </c>
      <c r="AY190">
        <v>1</v>
      </c>
      <c r="AZ190">
        <v>1</v>
      </c>
      <c r="BA190">
        <v>1</v>
      </c>
      <c r="BB190" t="s">
        <v>66</v>
      </c>
      <c r="BC190">
        <v>25.6</v>
      </c>
      <c r="BD190">
        <v>38.1</v>
      </c>
      <c r="BE190">
        <v>48.828125</v>
      </c>
      <c r="BF190">
        <v>0</v>
      </c>
      <c r="BG190">
        <v>26.67</v>
      </c>
      <c r="BH190">
        <v>4.1796875</v>
      </c>
      <c r="BI190">
        <v>104</v>
      </c>
      <c r="BJ190">
        <v>12.1</v>
      </c>
      <c r="BK190" t="s">
        <v>66</v>
      </c>
      <c r="BL190">
        <f>104-16</f>
        <v>88</v>
      </c>
      <c r="BM190">
        <v>20</v>
      </c>
      <c r="BN190">
        <v>13</v>
      </c>
      <c r="BO190">
        <f t="shared" si="37"/>
        <v>16.5</v>
      </c>
      <c r="BP190">
        <v>2</v>
      </c>
      <c r="BQ190">
        <v>1</v>
      </c>
      <c r="BS190">
        <v>0</v>
      </c>
      <c r="BT190">
        <f t="shared" si="38"/>
        <v>3.8461538461538463</v>
      </c>
      <c r="BU190">
        <f t="shared" si="39"/>
        <v>25.619834710743799</v>
      </c>
      <c r="BV190">
        <f t="shared" si="40"/>
        <v>22.727272727272727</v>
      </c>
      <c r="BW190">
        <f t="shared" si="41"/>
        <v>-18.181818181818183</v>
      </c>
    </row>
    <row r="191" spans="1:75" x14ac:dyDescent="0.2">
      <c r="A191" t="s">
        <v>256</v>
      </c>
      <c r="B191" t="s">
        <v>278</v>
      </c>
      <c r="C191" t="s">
        <v>106</v>
      </c>
      <c r="D191" t="s">
        <v>63</v>
      </c>
      <c r="E191" t="s">
        <v>75</v>
      </c>
      <c r="F191" t="s">
        <v>284</v>
      </c>
      <c r="G191">
        <v>7</v>
      </c>
      <c r="H191">
        <v>1.9</v>
      </c>
      <c r="I191">
        <v>0.85</v>
      </c>
      <c r="J191">
        <v>1.1000000000000001</v>
      </c>
      <c r="K191">
        <v>10.85</v>
      </c>
      <c r="L191">
        <v>0.39285714300000002</v>
      </c>
      <c r="M191">
        <v>14</v>
      </c>
      <c r="N191">
        <v>33</v>
      </c>
      <c r="O191">
        <v>19</v>
      </c>
      <c r="P191">
        <v>34</v>
      </c>
      <c r="Q191">
        <v>20</v>
      </c>
      <c r="R191">
        <v>10</v>
      </c>
      <c r="S191">
        <v>67.099999999999994</v>
      </c>
      <c r="T191">
        <v>142.85714290000001</v>
      </c>
      <c r="U191">
        <v>3.0303030299999998</v>
      </c>
      <c r="V191">
        <v>4</v>
      </c>
      <c r="W191">
        <v>4</v>
      </c>
      <c r="X191">
        <v>6</v>
      </c>
      <c r="Y191">
        <v>2</v>
      </c>
      <c r="Z191">
        <v>50</v>
      </c>
      <c r="AA191" t="s">
        <v>66</v>
      </c>
      <c r="AB191" t="s">
        <v>66</v>
      </c>
      <c r="AC191" t="s">
        <v>66</v>
      </c>
      <c r="AD191" t="s">
        <v>66</v>
      </c>
      <c r="AE191">
        <v>19</v>
      </c>
      <c r="AF191">
        <v>16</v>
      </c>
      <c r="AG191" t="s">
        <v>66</v>
      </c>
      <c r="AH191">
        <v>8</v>
      </c>
      <c r="AI191">
        <v>9</v>
      </c>
      <c r="AJ191" t="s">
        <v>66</v>
      </c>
      <c r="AK191">
        <v>6</v>
      </c>
      <c r="AL191">
        <v>7</v>
      </c>
      <c r="AM191">
        <v>7</v>
      </c>
      <c r="AN191">
        <v>8</v>
      </c>
      <c r="AO191">
        <v>14.28571429</v>
      </c>
      <c r="AP191">
        <v>-15.78947368</v>
      </c>
      <c r="AQ191">
        <v>2.7142857139999998</v>
      </c>
      <c r="AR191">
        <v>2</v>
      </c>
      <c r="AS191">
        <v>-0.71428571399999996</v>
      </c>
      <c r="AT191">
        <v>0</v>
      </c>
      <c r="AU191" t="s">
        <v>66</v>
      </c>
      <c r="AV191">
        <v>3</v>
      </c>
      <c r="AW191">
        <v>4</v>
      </c>
      <c r="AX191">
        <v>0</v>
      </c>
      <c r="AY191">
        <v>1</v>
      </c>
      <c r="AZ191">
        <v>1</v>
      </c>
      <c r="BA191">
        <v>1</v>
      </c>
      <c r="BB191" t="s">
        <v>66</v>
      </c>
      <c r="BC191">
        <v>17.600000000000001</v>
      </c>
      <c r="BD191">
        <v>30.8</v>
      </c>
      <c r="BE191">
        <v>75</v>
      </c>
      <c r="BF191">
        <v>0</v>
      </c>
      <c r="BG191">
        <v>21.56</v>
      </c>
      <c r="BH191">
        <v>22.5</v>
      </c>
      <c r="BI191">
        <v>33</v>
      </c>
      <c r="BJ191">
        <v>4.9000000000000004</v>
      </c>
      <c r="BK191" t="s">
        <v>66</v>
      </c>
      <c r="BL191">
        <f>33-26</f>
        <v>7</v>
      </c>
      <c r="BM191">
        <v>12</v>
      </c>
      <c r="BN191">
        <v>7</v>
      </c>
      <c r="BO191">
        <f t="shared" si="37"/>
        <v>9.5</v>
      </c>
      <c r="BP191">
        <v>1</v>
      </c>
      <c r="BQ191">
        <v>1</v>
      </c>
      <c r="BS191">
        <v>0</v>
      </c>
      <c r="BT191">
        <f t="shared" si="38"/>
        <v>57.575757575757578</v>
      </c>
      <c r="BU191">
        <f t="shared" si="39"/>
        <v>18.367346938775515</v>
      </c>
      <c r="BV191">
        <f t="shared" si="40"/>
        <v>-171.42857142857142</v>
      </c>
      <c r="BW191">
        <f t="shared" si="41"/>
        <v>26.315789473684209</v>
      </c>
    </row>
    <row r="192" spans="1:75" x14ac:dyDescent="0.2">
      <c r="A192" t="s">
        <v>256</v>
      </c>
      <c r="B192" t="s">
        <v>278</v>
      </c>
      <c r="C192" t="s">
        <v>106</v>
      </c>
      <c r="D192" t="s">
        <v>63</v>
      </c>
      <c r="E192" t="s">
        <v>77</v>
      </c>
      <c r="F192" t="s">
        <v>285</v>
      </c>
      <c r="G192">
        <v>7</v>
      </c>
      <c r="H192">
        <v>1.9</v>
      </c>
      <c r="I192">
        <v>0.85</v>
      </c>
      <c r="J192">
        <v>1.1000000000000001</v>
      </c>
      <c r="K192">
        <v>10.85</v>
      </c>
      <c r="L192">
        <v>0.39285714300000002</v>
      </c>
      <c r="M192">
        <v>31</v>
      </c>
      <c r="N192">
        <v>35</v>
      </c>
      <c r="O192">
        <v>4</v>
      </c>
      <c r="P192">
        <v>35</v>
      </c>
      <c r="Q192">
        <v>4</v>
      </c>
      <c r="R192">
        <v>2</v>
      </c>
      <c r="S192">
        <v>51.1</v>
      </c>
      <c r="T192">
        <v>12.90322581</v>
      </c>
      <c r="U192">
        <v>0</v>
      </c>
      <c r="V192">
        <v>4</v>
      </c>
      <c r="W192">
        <v>4</v>
      </c>
      <c r="X192">
        <v>5</v>
      </c>
      <c r="Y192">
        <v>1</v>
      </c>
      <c r="Z192">
        <v>25</v>
      </c>
      <c r="AA192" t="s">
        <v>66</v>
      </c>
      <c r="AB192" t="s">
        <v>66</v>
      </c>
      <c r="AC192" t="s">
        <v>66</v>
      </c>
      <c r="AD192" t="s">
        <v>66</v>
      </c>
      <c r="AE192">
        <v>17</v>
      </c>
      <c r="AF192">
        <v>19</v>
      </c>
      <c r="AG192" t="s">
        <v>66</v>
      </c>
      <c r="AH192">
        <v>8</v>
      </c>
      <c r="AI192">
        <v>8</v>
      </c>
      <c r="AJ192" t="s">
        <v>66</v>
      </c>
      <c r="AK192">
        <v>7</v>
      </c>
      <c r="AL192">
        <v>6</v>
      </c>
      <c r="AM192">
        <v>7.5</v>
      </c>
      <c r="AN192">
        <v>7</v>
      </c>
      <c r="AO192">
        <v>-6.6666666670000003</v>
      </c>
      <c r="AP192">
        <v>11.764705879999999</v>
      </c>
      <c r="AQ192">
        <v>2.266666667</v>
      </c>
      <c r="AR192">
        <v>2.7142857139999998</v>
      </c>
      <c r="AS192">
        <v>0.44761904699999999</v>
      </c>
      <c r="AT192">
        <v>0</v>
      </c>
      <c r="AU192" t="s">
        <v>66</v>
      </c>
      <c r="AV192">
        <v>2</v>
      </c>
      <c r="AW192">
        <v>1</v>
      </c>
      <c r="AX192">
        <v>0</v>
      </c>
      <c r="AY192">
        <v>1</v>
      </c>
      <c r="AZ192">
        <v>1</v>
      </c>
      <c r="BA192">
        <v>1</v>
      </c>
      <c r="BB192" t="s">
        <v>66</v>
      </c>
      <c r="BC192">
        <v>19.8</v>
      </c>
      <c r="BD192">
        <v>30.9</v>
      </c>
      <c r="BE192">
        <v>56.060606059999998</v>
      </c>
      <c r="BF192">
        <v>0</v>
      </c>
      <c r="BG192">
        <v>21.63</v>
      </c>
      <c r="BH192">
        <v>9.2424242420000002</v>
      </c>
      <c r="BI192">
        <v>33</v>
      </c>
      <c r="BJ192">
        <v>6</v>
      </c>
      <c r="BK192" t="s">
        <v>66</v>
      </c>
      <c r="BL192">
        <f>33-26</f>
        <v>7</v>
      </c>
      <c r="BM192">
        <v>13</v>
      </c>
      <c r="BN192">
        <v>3</v>
      </c>
      <c r="BO192">
        <f t="shared" si="37"/>
        <v>8</v>
      </c>
      <c r="BP192">
        <v>1</v>
      </c>
      <c r="BQ192">
        <v>1</v>
      </c>
      <c r="BS192">
        <v>0</v>
      </c>
      <c r="BT192">
        <f t="shared" si="38"/>
        <v>6.0606060606060606</v>
      </c>
      <c r="BU192">
        <f t="shared" si="39"/>
        <v>33.333333333333329</v>
      </c>
      <c r="BV192">
        <f t="shared" si="40"/>
        <v>-142.85714285714286</v>
      </c>
      <c r="BW192">
        <f t="shared" si="41"/>
        <v>6.25</v>
      </c>
    </row>
    <row r="193" spans="1:75" x14ac:dyDescent="0.2">
      <c r="A193" t="s">
        <v>256</v>
      </c>
      <c r="B193" t="s">
        <v>278</v>
      </c>
      <c r="C193" t="s">
        <v>106</v>
      </c>
      <c r="D193" t="s">
        <v>63</v>
      </c>
      <c r="E193" t="s">
        <v>79</v>
      </c>
      <c r="F193" t="s">
        <v>286</v>
      </c>
      <c r="G193">
        <v>7</v>
      </c>
      <c r="H193">
        <v>1.9</v>
      </c>
      <c r="I193">
        <v>0.85</v>
      </c>
      <c r="J193">
        <v>1.1000000000000001</v>
      </c>
      <c r="K193">
        <v>10.85</v>
      </c>
      <c r="L193">
        <v>0.39285714300000002</v>
      </c>
      <c r="M193">
        <v>55</v>
      </c>
      <c r="N193">
        <v>59</v>
      </c>
      <c r="O193">
        <v>4</v>
      </c>
      <c r="P193">
        <v>63</v>
      </c>
      <c r="Q193">
        <v>8</v>
      </c>
      <c r="R193">
        <v>4</v>
      </c>
      <c r="S193">
        <v>55.1</v>
      </c>
      <c r="T193">
        <v>14.545454550000001</v>
      </c>
      <c r="U193">
        <v>6.7796610169999996</v>
      </c>
      <c r="V193">
        <v>5</v>
      </c>
      <c r="W193">
        <v>5</v>
      </c>
      <c r="X193">
        <v>6</v>
      </c>
      <c r="Y193">
        <v>1</v>
      </c>
      <c r="Z193">
        <v>20</v>
      </c>
      <c r="AA193" t="s">
        <v>66</v>
      </c>
      <c r="AB193" t="s">
        <v>66</v>
      </c>
      <c r="AC193" t="s">
        <v>66</v>
      </c>
      <c r="AD193" t="s">
        <v>66</v>
      </c>
      <c r="AE193">
        <v>31</v>
      </c>
      <c r="AF193">
        <v>38</v>
      </c>
      <c r="AG193" t="s">
        <v>66</v>
      </c>
      <c r="AH193">
        <v>19</v>
      </c>
      <c r="AI193">
        <v>17</v>
      </c>
      <c r="AJ193" t="s">
        <v>66</v>
      </c>
      <c r="AK193">
        <v>11</v>
      </c>
      <c r="AL193">
        <v>12</v>
      </c>
      <c r="AM193">
        <v>15</v>
      </c>
      <c r="AN193">
        <v>14.5</v>
      </c>
      <c r="AO193">
        <v>-3.3333333330000001</v>
      </c>
      <c r="AP193">
        <v>22.58064516</v>
      </c>
      <c r="AQ193">
        <v>2.0666666669999998</v>
      </c>
      <c r="AR193">
        <v>2.6206896550000001</v>
      </c>
      <c r="AS193">
        <v>0.55402298800000005</v>
      </c>
      <c r="AT193">
        <v>0</v>
      </c>
      <c r="AU193" t="s">
        <v>66</v>
      </c>
      <c r="AV193">
        <v>1</v>
      </c>
      <c r="AW193">
        <v>2</v>
      </c>
      <c r="AX193">
        <v>0</v>
      </c>
      <c r="AY193">
        <v>1</v>
      </c>
      <c r="AZ193">
        <v>1</v>
      </c>
      <c r="BA193">
        <v>1</v>
      </c>
      <c r="BB193" t="s">
        <v>66</v>
      </c>
      <c r="BC193">
        <v>26.6</v>
      </c>
      <c r="BD193">
        <v>38.5</v>
      </c>
      <c r="BE193">
        <v>44.736842109999998</v>
      </c>
      <c r="BF193">
        <v>0</v>
      </c>
      <c r="BG193">
        <v>26.95</v>
      </c>
      <c r="BH193">
        <v>1.315789474</v>
      </c>
      <c r="BI193">
        <v>81</v>
      </c>
      <c r="BJ193">
        <v>7</v>
      </c>
      <c r="BK193" t="s">
        <v>66</v>
      </c>
      <c r="BL193">
        <f>81-38</f>
        <v>43</v>
      </c>
      <c r="BM193">
        <v>15</v>
      </c>
      <c r="BN193">
        <v>12</v>
      </c>
      <c r="BO193">
        <f t="shared" si="37"/>
        <v>13.5</v>
      </c>
      <c r="BP193">
        <v>2</v>
      </c>
      <c r="BQ193">
        <v>1</v>
      </c>
      <c r="BS193">
        <v>0</v>
      </c>
      <c r="BT193">
        <f t="shared" si="38"/>
        <v>32.098765432098766</v>
      </c>
      <c r="BU193">
        <f t="shared" si="39"/>
        <v>28.571428571428569</v>
      </c>
      <c r="BV193">
        <f t="shared" si="40"/>
        <v>27.906976744186046</v>
      </c>
      <c r="BW193">
        <f t="shared" si="41"/>
        <v>-11.111111111111111</v>
      </c>
    </row>
    <row r="194" spans="1:75" x14ac:dyDescent="0.2">
      <c r="A194" t="s">
        <v>256</v>
      </c>
      <c r="B194" t="s">
        <v>278</v>
      </c>
      <c r="C194" t="s">
        <v>106</v>
      </c>
      <c r="D194" t="s">
        <v>63</v>
      </c>
      <c r="E194" t="s">
        <v>81</v>
      </c>
      <c r="F194" t="s">
        <v>287</v>
      </c>
      <c r="G194">
        <v>7</v>
      </c>
      <c r="H194">
        <v>1.9</v>
      </c>
      <c r="I194">
        <v>0.85</v>
      </c>
      <c r="J194">
        <v>1.1000000000000001</v>
      </c>
      <c r="K194">
        <v>10.85</v>
      </c>
      <c r="L194">
        <v>0.39285714300000002</v>
      </c>
      <c r="M194">
        <v>18</v>
      </c>
      <c r="N194">
        <v>18</v>
      </c>
      <c r="O194">
        <v>0</v>
      </c>
      <c r="P194">
        <v>19</v>
      </c>
      <c r="Q194">
        <v>1</v>
      </c>
      <c r="R194">
        <v>0.5</v>
      </c>
      <c r="S194">
        <v>48.1</v>
      </c>
      <c r="T194">
        <v>5.5555555559999998</v>
      </c>
      <c r="U194">
        <v>5.5555555559999998</v>
      </c>
      <c r="V194">
        <v>2</v>
      </c>
      <c r="W194">
        <v>2</v>
      </c>
      <c r="X194">
        <v>3</v>
      </c>
      <c r="Y194">
        <v>1</v>
      </c>
      <c r="Z194">
        <v>50</v>
      </c>
      <c r="AA194" t="s">
        <v>66</v>
      </c>
      <c r="AB194" t="s">
        <v>66</v>
      </c>
      <c r="AC194" t="s">
        <v>66</v>
      </c>
      <c r="AD194" t="s">
        <v>66</v>
      </c>
      <c r="AE194">
        <v>7</v>
      </c>
      <c r="AF194">
        <v>13</v>
      </c>
      <c r="AG194" t="s">
        <v>66</v>
      </c>
      <c r="AH194">
        <v>5</v>
      </c>
      <c r="AI194">
        <v>8</v>
      </c>
      <c r="AJ194" t="s">
        <v>66</v>
      </c>
      <c r="AK194">
        <v>4</v>
      </c>
      <c r="AL194">
        <v>5</v>
      </c>
      <c r="AM194">
        <v>4.5</v>
      </c>
      <c r="AN194">
        <v>6.5</v>
      </c>
      <c r="AO194">
        <v>44.444444439999998</v>
      </c>
      <c r="AP194">
        <v>85.714285709999999</v>
      </c>
      <c r="AQ194">
        <v>1.5555555560000001</v>
      </c>
      <c r="AR194">
        <v>2</v>
      </c>
      <c r="AS194">
        <v>0.44444444399999999</v>
      </c>
      <c r="AT194">
        <v>0</v>
      </c>
      <c r="AU194" t="s">
        <v>66</v>
      </c>
      <c r="AV194">
        <v>4</v>
      </c>
      <c r="AW194">
        <v>0</v>
      </c>
      <c r="AX194">
        <v>0</v>
      </c>
      <c r="AY194">
        <v>1</v>
      </c>
      <c r="AZ194">
        <v>1</v>
      </c>
      <c r="BA194">
        <v>1</v>
      </c>
      <c r="BB194" t="s">
        <v>66</v>
      </c>
      <c r="BC194">
        <v>16.600000000000001</v>
      </c>
      <c r="BD194">
        <v>25</v>
      </c>
      <c r="BE194">
        <v>50.602409639999998</v>
      </c>
      <c r="BF194">
        <v>0</v>
      </c>
      <c r="BG194">
        <v>17.5</v>
      </c>
      <c r="BH194">
        <v>5.4216867469999999</v>
      </c>
      <c r="BI194">
        <v>201</v>
      </c>
      <c r="BJ194">
        <v>4.7</v>
      </c>
      <c r="BK194" t="s">
        <v>66</v>
      </c>
      <c r="BL194">
        <f>201-14</f>
        <v>187</v>
      </c>
      <c r="BM194">
        <v>6</v>
      </c>
      <c r="BN194">
        <v>4</v>
      </c>
      <c r="BO194">
        <f t="shared" si="37"/>
        <v>5</v>
      </c>
      <c r="BP194">
        <v>4</v>
      </c>
      <c r="BQ194">
        <v>1</v>
      </c>
      <c r="BS194">
        <v>0</v>
      </c>
      <c r="BT194">
        <f t="shared" si="38"/>
        <v>91.044776119402982</v>
      </c>
      <c r="BU194">
        <f t="shared" si="39"/>
        <v>57.446808510638306</v>
      </c>
      <c r="BV194">
        <f t="shared" si="40"/>
        <v>96.256684491978604</v>
      </c>
      <c r="BW194">
        <f t="shared" si="41"/>
        <v>10</v>
      </c>
    </row>
    <row r="195" spans="1:75" x14ac:dyDescent="0.2">
      <c r="A195" t="s">
        <v>256</v>
      </c>
      <c r="B195" t="s">
        <v>278</v>
      </c>
      <c r="C195" t="s">
        <v>106</v>
      </c>
      <c r="D195" t="s">
        <v>63</v>
      </c>
      <c r="E195" t="s">
        <v>83</v>
      </c>
      <c r="F195" t="s">
        <v>288</v>
      </c>
      <c r="G195">
        <v>7</v>
      </c>
      <c r="H195">
        <v>1.9</v>
      </c>
      <c r="I195">
        <v>0.85</v>
      </c>
      <c r="J195">
        <v>1.1000000000000001</v>
      </c>
      <c r="K195">
        <v>10.85</v>
      </c>
      <c r="L195">
        <v>0.39285714300000002</v>
      </c>
      <c r="M195">
        <v>32</v>
      </c>
      <c r="N195">
        <v>34</v>
      </c>
      <c r="O195">
        <v>2</v>
      </c>
      <c r="P195">
        <v>34</v>
      </c>
      <c r="Q195">
        <v>2</v>
      </c>
      <c r="R195">
        <v>1</v>
      </c>
      <c r="S195">
        <v>49.1</v>
      </c>
      <c r="T195">
        <v>6.25</v>
      </c>
      <c r="U195">
        <v>0</v>
      </c>
      <c r="V195">
        <v>5</v>
      </c>
      <c r="W195">
        <v>4</v>
      </c>
      <c r="X195">
        <v>6</v>
      </c>
      <c r="Y195">
        <v>1</v>
      </c>
      <c r="Z195">
        <v>20</v>
      </c>
      <c r="AA195" t="s">
        <v>66</v>
      </c>
      <c r="AB195" t="s">
        <v>66</v>
      </c>
      <c r="AC195" t="s">
        <v>66</v>
      </c>
      <c r="AD195" t="s">
        <v>66</v>
      </c>
      <c r="AE195">
        <v>10</v>
      </c>
      <c r="AF195">
        <v>13</v>
      </c>
      <c r="AG195" t="s">
        <v>66</v>
      </c>
      <c r="AH195">
        <v>12</v>
      </c>
      <c r="AI195">
        <v>15</v>
      </c>
      <c r="AJ195" t="s">
        <v>66</v>
      </c>
      <c r="AK195">
        <v>8</v>
      </c>
      <c r="AL195">
        <v>10</v>
      </c>
      <c r="AM195">
        <v>10</v>
      </c>
      <c r="AN195">
        <v>12.5</v>
      </c>
      <c r="AO195">
        <v>25</v>
      </c>
      <c r="AP195">
        <v>30</v>
      </c>
      <c r="AQ195">
        <v>1</v>
      </c>
      <c r="AR195">
        <v>1.04</v>
      </c>
      <c r="AS195">
        <v>0.04</v>
      </c>
      <c r="AT195">
        <v>0</v>
      </c>
      <c r="AU195" t="s">
        <v>66</v>
      </c>
      <c r="AV195">
        <v>3</v>
      </c>
      <c r="AW195">
        <v>3</v>
      </c>
      <c r="AX195">
        <v>0</v>
      </c>
      <c r="AY195">
        <v>1</v>
      </c>
      <c r="AZ195">
        <v>1</v>
      </c>
      <c r="BA195">
        <v>1</v>
      </c>
      <c r="BB195" t="s">
        <v>66</v>
      </c>
      <c r="BC195">
        <v>25.5</v>
      </c>
      <c r="BD195">
        <v>40.6</v>
      </c>
      <c r="BE195">
        <v>59.215686269999999</v>
      </c>
      <c r="BF195">
        <v>0</v>
      </c>
      <c r="BG195">
        <v>28.42</v>
      </c>
      <c r="BH195">
        <v>11.45098039</v>
      </c>
      <c r="BI195">
        <v>38</v>
      </c>
      <c r="BJ195">
        <v>7</v>
      </c>
      <c r="BK195" t="s">
        <v>66</v>
      </c>
      <c r="BL195">
        <f>38-26</f>
        <v>12</v>
      </c>
      <c r="BM195">
        <v>13</v>
      </c>
      <c r="BN195">
        <v>3</v>
      </c>
      <c r="BO195">
        <f t="shared" si="37"/>
        <v>8</v>
      </c>
      <c r="BP195">
        <v>3</v>
      </c>
      <c r="BQ195">
        <v>1</v>
      </c>
      <c r="BS195">
        <v>0</v>
      </c>
      <c r="BT195">
        <f t="shared" si="38"/>
        <v>15.789473684210526</v>
      </c>
      <c r="BU195">
        <f t="shared" si="39"/>
        <v>28.571428571428569</v>
      </c>
      <c r="BV195">
        <f t="shared" si="40"/>
        <v>16.666666666666664</v>
      </c>
      <c r="BW195">
        <f t="shared" si="41"/>
        <v>-25</v>
      </c>
    </row>
    <row r="196" spans="1:75" x14ac:dyDescent="0.2">
      <c r="A196" t="s">
        <v>256</v>
      </c>
      <c r="B196" t="s">
        <v>278</v>
      </c>
      <c r="C196" t="s">
        <v>106</v>
      </c>
      <c r="D196" t="s">
        <v>63</v>
      </c>
      <c r="E196" t="s">
        <v>85</v>
      </c>
      <c r="F196" t="s">
        <v>289</v>
      </c>
      <c r="G196">
        <v>7</v>
      </c>
      <c r="H196">
        <v>1.9</v>
      </c>
      <c r="I196">
        <v>0.85</v>
      </c>
      <c r="J196">
        <v>1.1000000000000001</v>
      </c>
      <c r="K196">
        <v>10.85</v>
      </c>
      <c r="L196">
        <v>0.39285714300000002</v>
      </c>
      <c r="M196">
        <v>44</v>
      </c>
      <c r="N196">
        <v>49</v>
      </c>
      <c r="O196">
        <v>5</v>
      </c>
      <c r="P196">
        <v>53</v>
      </c>
      <c r="Q196">
        <v>9</v>
      </c>
      <c r="R196">
        <v>4.5</v>
      </c>
      <c r="S196">
        <v>56.1</v>
      </c>
      <c r="T196">
        <v>20.454545450000001</v>
      </c>
      <c r="U196">
        <v>8.1632653059999996</v>
      </c>
      <c r="V196">
        <v>7</v>
      </c>
      <c r="W196">
        <v>7</v>
      </c>
      <c r="X196">
        <v>7</v>
      </c>
      <c r="Y196">
        <v>0</v>
      </c>
      <c r="Z196">
        <v>0</v>
      </c>
      <c r="AA196" t="s">
        <v>66</v>
      </c>
      <c r="AB196" t="s">
        <v>66</v>
      </c>
      <c r="AC196" t="s">
        <v>66</v>
      </c>
      <c r="AD196" t="s">
        <v>66</v>
      </c>
      <c r="AE196">
        <v>22</v>
      </c>
      <c r="AF196">
        <v>16</v>
      </c>
      <c r="AG196" t="s">
        <v>66</v>
      </c>
      <c r="AH196">
        <v>16</v>
      </c>
      <c r="AI196">
        <v>15</v>
      </c>
      <c r="AJ196" t="s">
        <v>66</v>
      </c>
      <c r="AK196">
        <v>9</v>
      </c>
      <c r="AL196">
        <v>11</v>
      </c>
      <c r="AM196">
        <v>12.5</v>
      </c>
      <c r="AN196">
        <v>13</v>
      </c>
      <c r="AO196">
        <v>4</v>
      </c>
      <c r="AP196">
        <v>-27.272727270000001</v>
      </c>
      <c r="AQ196">
        <v>1.76</v>
      </c>
      <c r="AR196">
        <v>1.230769231</v>
      </c>
      <c r="AS196">
        <v>-0.52923076899999999</v>
      </c>
      <c r="AT196">
        <v>0</v>
      </c>
      <c r="AU196" t="s">
        <v>66</v>
      </c>
      <c r="AV196">
        <v>1</v>
      </c>
      <c r="AW196">
        <v>2</v>
      </c>
      <c r="AX196">
        <v>0</v>
      </c>
      <c r="AY196">
        <v>1</v>
      </c>
      <c r="AZ196">
        <v>1</v>
      </c>
      <c r="BA196">
        <v>1</v>
      </c>
      <c r="BB196" t="s">
        <v>66</v>
      </c>
      <c r="BC196">
        <v>26.1</v>
      </c>
      <c r="BD196">
        <v>40.4</v>
      </c>
      <c r="BE196">
        <v>54.789272029999999</v>
      </c>
      <c r="BF196">
        <v>0</v>
      </c>
      <c r="BG196">
        <v>28.28</v>
      </c>
      <c r="BH196">
        <v>8.3524904210000006</v>
      </c>
      <c r="BI196">
        <v>62</v>
      </c>
      <c r="BJ196">
        <v>7.9</v>
      </c>
      <c r="BK196" t="s">
        <v>66</v>
      </c>
      <c r="BL196">
        <f>62-44</f>
        <v>18</v>
      </c>
      <c r="BM196">
        <v>11</v>
      </c>
      <c r="BN196">
        <v>10</v>
      </c>
      <c r="BO196">
        <f t="shared" si="37"/>
        <v>10.5</v>
      </c>
      <c r="BP196">
        <v>2</v>
      </c>
      <c r="BQ196">
        <v>1</v>
      </c>
      <c r="BS196">
        <v>0</v>
      </c>
      <c r="BT196">
        <f t="shared" si="38"/>
        <v>29.032258064516132</v>
      </c>
      <c r="BU196">
        <f t="shared" si="39"/>
        <v>11.392405063291143</v>
      </c>
      <c r="BV196">
        <f t="shared" si="40"/>
        <v>-22.222222222222221</v>
      </c>
      <c r="BW196">
        <f t="shared" si="41"/>
        <v>-19.047619047619047</v>
      </c>
    </row>
    <row r="197" spans="1:75" x14ac:dyDescent="0.2">
      <c r="A197" t="s">
        <v>256</v>
      </c>
      <c r="B197" t="s">
        <v>278</v>
      </c>
      <c r="C197" t="s">
        <v>106</v>
      </c>
      <c r="D197" t="s">
        <v>63</v>
      </c>
      <c r="E197" t="s">
        <v>87</v>
      </c>
      <c r="F197" t="s">
        <v>290</v>
      </c>
      <c r="G197">
        <v>7</v>
      </c>
      <c r="H197">
        <v>1.9</v>
      </c>
      <c r="I197">
        <v>0.85</v>
      </c>
      <c r="J197">
        <v>1.1000000000000001</v>
      </c>
      <c r="K197">
        <v>10.85</v>
      </c>
      <c r="L197">
        <v>0.39285714300000002</v>
      </c>
      <c r="M197">
        <v>34</v>
      </c>
      <c r="N197">
        <v>39</v>
      </c>
      <c r="O197">
        <v>5</v>
      </c>
      <c r="P197">
        <v>36</v>
      </c>
      <c r="Q197">
        <v>2</v>
      </c>
      <c r="R197">
        <v>1</v>
      </c>
      <c r="S197">
        <v>49.1</v>
      </c>
      <c r="T197">
        <v>5.8823529409999997</v>
      </c>
      <c r="U197">
        <v>-7.692307692</v>
      </c>
      <c r="V197">
        <v>4</v>
      </c>
      <c r="W197">
        <v>6</v>
      </c>
      <c r="X197">
        <v>5</v>
      </c>
      <c r="Y197">
        <v>1</v>
      </c>
      <c r="Z197">
        <v>25</v>
      </c>
      <c r="AA197" t="s">
        <v>66</v>
      </c>
      <c r="AB197" t="s">
        <v>66</v>
      </c>
      <c r="AC197" t="s">
        <v>66</v>
      </c>
      <c r="AD197" t="s">
        <v>66</v>
      </c>
      <c r="AE197">
        <v>9</v>
      </c>
      <c r="AF197">
        <v>12</v>
      </c>
      <c r="AG197" t="s">
        <v>66</v>
      </c>
      <c r="AH197">
        <v>12</v>
      </c>
      <c r="AI197">
        <v>15</v>
      </c>
      <c r="AJ197" t="s">
        <v>66</v>
      </c>
      <c r="AK197">
        <v>7</v>
      </c>
      <c r="AL197">
        <v>9</v>
      </c>
      <c r="AM197">
        <v>9.5</v>
      </c>
      <c r="AN197">
        <v>12</v>
      </c>
      <c r="AO197">
        <v>26.315789469999999</v>
      </c>
      <c r="AP197">
        <v>33.333333330000002</v>
      </c>
      <c r="AQ197">
        <v>0.94736842099999996</v>
      </c>
      <c r="AR197">
        <v>1</v>
      </c>
      <c r="AS197">
        <v>5.2631578999999998E-2</v>
      </c>
      <c r="AT197">
        <v>0</v>
      </c>
      <c r="AU197" t="s">
        <v>66</v>
      </c>
      <c r="AV197">
        <v>3</v>
      </c>
      <c r="AW197">
        <v>3</v>
      </c>
      <c r="AX197">
        <v>0</v>
      </c>
      <c r="AY197">
        <v>1</v>
      </c>
      <c r="AZ197">
        <v>1</v>
      </c>
      <c r="BA197">
        <v>1</v>
      </c>
      <c r="BB197" t="s">
        <v>66</v>
      </c>
      <c r="BC197">
        <v>22.2</v>
      </c>
      <c r="BD197">
        <v>38.777777780000001</v>
      </c>
      <c r="BE197">
        <v>74.674674679999995</v>
      </c>
      <c r="BF197">
        <v>0</v>
      </c>
      <c r="BG197">
        <v>27.144444450000002</v>
      </c>
      <c r="BH197">
        <v>22.272272279999999</v>
      </c>
      <c r="BI197">
        <v>41</v>
      </c>
      <c r="BJ197">
        <v>5</v>
      </c>
      <c r="BK197" t="s">
        <v>66</v>
      </c>
      <c r="BL197">
        <f>41-36</f>
        <v>5</v>
      </c>
      <c r="BM197">
        <v>13</v>
      </c>
      <c r="BN197">
        <v>6</v>
      </c>
      <c r="BO197">
        <f t="shared" si="37"/>
        <v>9.5</v>
      </c>
      <c r="BP197">
        <v>3</v>
      </c>
      <c r="BQ197">
        <v>1</v>
      </c>
      <c r="BS197">
        <v>0</v>
      </c>
      <c r="BT197">
        <f t="shared" si="38"/>
        <v>17.073170731707318</v>
      </c>
      <c r="BU197">
        <f t="shared" si="39"/>
        <v>20</v>
      </c>
      <c r="BV197">
        <f t="shared" si="40"/>
        <v>-80</v>
      </c>
      <c r="BW197">
        <f t="shared" si="41"/>
        <v>0</v>
      </c>
    </row>
    <row r="198" spans="1:75" x14ac:dyDescent="0.2">
      <c r="A198" t="s">
        <v>256</v>
      </c>
      <c r="B198" t="s">
        <v>278</v>
      </c>
      <c r="C198" t="s">
        <v>106</v>
      </c>
      <c r="D198" t="s">
        <v>63</v>
      </c>
      <c r="E198" t="s">
        <v>89</v>
      </c>
      <c r="F198" t="s">
        <v>291</v>
      </c>
      <c r="G198">
        <v>7</v>
      </c>
      <c r="H198">
        <v>1.9</v>
      </c>
      <c r="I198">
        <v>0.85</v>
      </c>
      <c r="J198">
        <v>1.1000000000000001</v>
      </c>
      <c r="K198">
        <v>10.85</v>
      </c>
      <c r="L198">
        <v>0.39285714300000002</v>
      </c>
      <c r="M198">
        <v>53</v>
      </c>
      <c r="N198">
        <v>66</v>
      </c>
      <c r="O198">
        <v>13</v>
      </c>
      <c r="P198">
        <v>74</v>
      </c>
      <c r="Q198">
        <v>21</v>
      </c>
      <c r="R198">
        <v>10.5</v>
      </c>
      <c r="S198">
        <v>68.099999999999994</v>
      </c>
      <c r="T198">
        <v>39.622641510000001</v>
      </c>
      <c r="U198">
        <v>12.121212119999999</v>
      </c>
      <c r="V198">
        <v>7</v>
      </c>
      <c r="W198">
        <v>9</v>
      </c>
      <c r="X198">
        <v>10</v>
      </c>
      <c r="Y198">
        <v>3</v>
      </c>
      <c r="Z198">
        <v>42.857142860000003</v>
      </c>
      <c r="AA198" t="s">
        <v>66</v>
      </c>
      <c r="AB198" t="s">
        <v>66</v>
      </c>
      <c r="AC198" t="s">
        <v>66</v>
      </c>
      <c r="AD198" t="s">
        <v>66</v>
      </c>
      <c r="AE198">
        <v>38</v>
      </c>
      <c r="AF198">
        <v>44</v>
      </c>
      <c r="AG198" t="s">
        <v>66</v>
      </c>
      <c r="AH198">
        <v>31</v>
      </c>
      <c r="AI198">
        <v>36</v>
      </c>
      <c r="AJ198" t="s">
        <v>66</v>
      </c>
      <c r="AK198">
        <v>19</v>
      </c>
      <c r="AL198">
        <v>23</v>
      </c>
      <c r="AM198">
        <v>25</v>
      </c>
      <c r="AN198">
        <v>29.5</v>
      </c>
      <c r="AO198">
        <v>18</v>
      </c>
      <c r="AP198">
        <v>15.78947368</v>
      </c>
      <c r="AQ198">
        <v>1.52</v>
      </c>
      <c r="AR198">
        <v>1.491525424</v>
      </c>
      <c r="AS198">
        <v>-2.8474576000000001E-2</v>
      </c>
      <c r="AT198">
        <v>0</v>
      </c>
      <c r="AU198" t="s">
        <v>66</v>
      </c>
      <c r="AV198">
        <v>2</v>
      </c>
      <c r="AW198">
        <v>1</v>
      </c>
      <c r="AX198">
        <v>0</v>
      </c>
      <c r="AY198">
        <v>1</v>
      </c>
      <c r="AZ198">
        <v>1</v>
      </c>
      <c r="BA198">
        <v>1</v>
      </c>
      <c r="BB198" t="s">
        <v>66</v>
      </c>
      <c r="BC198">
        <v>25.2</v>
      </c>
      <c r="BD198">
        <v>36.200000000000003</v>
      </c>
      <c r="BE198">
        <v>43.650793649999997</v>
      </c>
      <c r="BF198">
        <v>0</v>
      </c>
      <c r="BG198">
        <v>25.34</v>
      </c>
      <c r="BH198">
        <v>0.55555555599999995</v>
      </c>
      <c r="BI198">
        <v>93</v>
      </c>
      <c r="BJ198">
        <v>11.4</v>
      </c>
      <c r="BK198" t="s">
        <v>66</v>
      </c>
      <c r="BL198">
        <f>93-39</f>
        <v>54</v>
      </c>
      <c r="BM198">
        <v>21</v>
      </c>
      <c r="BN198">
        <v>13</v>
      </c>
      <c r="BO198">
        <f t="shared" si="37"/>
        <v>17</v>
      </c>
      <c r="BP198">
        <v>3</v>
      </c>
      <c r="BQ198">
        <v>1</v>
      </c>
      <c r="BS198">
        <v>0</v>
      </c>
      <c r="BT198">
        <f t="shared" si="38"/>
        <v>43.01075268817204</v>
      </c>
      <c r="BU198">
        <f t="shared" si="39"/>
        <v>38.596491228070178</v>
      </c>
      <c r="BV198">
        <f t="shared" si="40"/>
        <v>29.629629629629626</v>
      </c>
      <c r="BW198">
        <f t="shared" si="41"/>
        <v>-47.058823529411761</v>
      </c>
    </row>
    <row r="199" spans="1:75" x14ac:dyDescent="0.2">
      <c r="A199" t="s">
        <v>256</v>
      </c>
      <c r="B199" t="s">
        <v>278</v>
      </c>
      <c r="C199" t="s">
        <v>106</v>
      </c>
      <c r="D199" t="s">
        <v>63</v>
      </c>
      <c r="E199" t="s">
        <v>91</v>
      </c>
      <c r="F199" t="s">
        <v>292</v>
      </c>
      <c r="G199">
        <v>7</v>
      </c>
      <c r="H199">
        <v>1.9</v>
      </c>
      <c r="I199">
        <v>0.85</v>
      </c>
      <c r="J199">
        <v>1.1000000000000001</v>
      </c>
      <c r="K199">
        <v>10.85</v>
      </c>
      <c r="L199">
        <v>0.39285714300000002</v>
      </c>
      <c r="M199">
        <v>72</v>
      </c>
      <c r="N199">
        <v>79</v>
      </c>
      <c r="O199">
        <v>7</v>
      </c>
      <c r="P199">
        <v>78</v>
      </c>
      <c r="Q199">
        <v>6</v>
      </c>
      <c r="R199">
        <v>3</v>
      </c>
      <c r="S199">
        <v>53.1</v>
      </c>
      <c r="T199">
        <v>8.3333333330000006</v>
      </c>
      <c r="U199">
        <v>-1.2658227849999999</v>
      </c>
      <c r="V199">
        <v>9</v>
      </c>
      <c r="W199">
        <v>9</v>
      </c>
      <c r="X199">
        <v>14</v>
      </c>
      <c r="Y199">
        <v>5</v>
      </c>
      <c r="Z199">
        <v>55.555555560000002</v>
      </c>
      <c r="AA199" t="s">
        <v>66</v>
      </c>
      <c r="AB199" t="s">
        <v>66</v>
      </c>
      <c r="AC199" t="s">
        <v>66</v>
      </c>
      <c r="AD199" t="s">
        <v>66</v>
      </c>
      <c r="AE199">
        <v>48</v>
      </c>
      <c r="AF199">
        <v>47</v>
      </c>
      <c r="AG199" t="s">
        <v>66</v>
      </c>
      <c r="AH199">
        <v>52</v>
      </c>
      <c r="AI199">
        <v>58</v>
      </c>
      <c r="AJ199" t="s">
        <v>66</v>
      </c>
      <c r="AK199">
        <v>29</v>
      </c>
      <c r="AL199">
        <v>29</v>
      </c>
      <c r="AM199">
        <v>40.5</v>
      </c>
      <c r="AN199">
        <v>43.5</v>
      </c>
      <c r="AO199">
        <v>7.407407407</v>
      </c>
      <c r="AP199">
        <v>-2.0833333330000001</v>
      </c>
      <c r="AQ199">
        <v>1.1851851849999999</v>
      </c>
      <c r="AR199">
        <v>1.08045977</v>
      </c>
      <c r="AS199">
        <v>-0.104725415</v>
      </c>
      <c r="AT199">
        <v>0</v>
      </c>
      <c r="AU199" t="s">
        <v>66</v>
      </c>
      <c r="AV199">
        <v>1</v>
      </c>
      <c r="AW199">
        <v>1</v>
      </c>
      <c r="AX199">
        <v>0</v>
      </c>
      <c r="AY199">
        <v>1</v>
      </c>
      <c r="AZ199">
        <v>1</v>
      </c>
      <c r="BA199">
        <v>1</v>
      </c>
      <c r="BB199" t="s">
        <v>66</v>
      </c>
      <c r="BC199">
        <v>22.1</v>
      </c>
      <c r="BD199">
        <v>39.700000000000003</v>
      </c>
      <c r="BE199">
        <v>79.638009049999994</v>
      </c>
      <c r="BF199">
        <v>0</v>
      </c>
      <c r="BG199">
        <v>27.79</v>
      </c>
      <c r="BH199">
        <v>25.746606329999999</v>
      </c>
      <c r="BI199">
        <v>76</v>
      </c>
      <c r="BJ199">
        <v>11</v>
      </c>
      <c r="BK199" t="s">
        <v>66</v>
      </c>
      <c r="BL199">
        <f>76-47</f>
        <v>29</v>
      </c>
      <c r="BM199">
        <v>50</v>
      </c>
      <c r="BN199">
        <v>42</v>
      </c>
      <c r="BO199">
        <f t="shared" si="37"/>
        <v>46</v>
      </c>
      <c r="BP199">
        <v>3</v>
      </c>
      <c r="BQ199">
        <v>1</v>
      </c>
      <c r="BS199">
        <v>0</v>
      </c>
      <c r="BT199">
        <f t="shared" si="38"/>
        <v>5.2631578947368416</v>
      </c>
      <c r="BU199">
        <f t="shared" si="39"/>
        <v>18.181818181818183</v>
      </c>
      <c r="BV199">
        <f t="shared" si="40"/>
        <v>-65.517241379310349</v>
      </c>
      <c r="BW199">
        <f t="shared" si="41"/>
        <v>11.956521739130435</v>
      </c>
    </row>
    <row r="200" spans="1:75" x14ac:dyDescent="0.2">
      <c r="A200" t="s">
        <v>256</v>
      </c>
      <c r="B200" t="s">
        <v>278</v>
      </c>
      <c r="C200" t="s">
        <v>106</v>
      </c>
      <c r="D200" t="s">
        <v>63</v>
      </c>
      <c r="E200" t="s">
        <v>93</v>
      </c>
      <c r="F200" t="s">
        <v>293</v>
      </c>
      <c r="G200">
        <v>7</v>
      </c>
      <c r="H200">
        <v>1.9</v>
      </c>
      <c r="I200">
        <v>0.85</v>
      </c>
      <c r="J200">
        <v>1.1000000000000001</v>
      </c>
      <c r="K200">
        <v>10.85</v>
      </c>
      <c r="L200">
        <v>0.39285714300000002</v>
      </c>
      <c r="M200">
        <v>25</v>
      </c>
      <c r="N200">
        <v>29</v>
      </c>
      <c r="O200">
        <v>4</v>
      </c>
      <c r="P200">
        <v>31</v>
      </c>
      <c r="Q200">
        <v>6</v>
      </c>
      <c r="R200">
        <v>3</v>
      </c>
      <c r="S200">
        <v>53.1</v>
      </c>
      <c r="T200">
        <v>24</v>
      </c>
      <c r="U200">
        <v>6.896551724</v>
      </c>
      <c r="V200">
        <v>2</v>
      </c>
      <c r="W200">
        <v>3</v>
      </c>
      <c r="X200">
        <v>4</v>
      </c>
      <c r="Y200">
        <v>2</v>
      </c>
      <c r="Z200">
        <v>100</v>
      </c>
      <c r="AA200" t="s">
        <v>66</v>
      </c>
      <c r="AB200" t="s">
        <v>66</v>
      </c>
      <c r="AC200" t="s">
        <v>66</v>
      </c>
      <c r="AD200" t="s">
        <v>66</v>
      </c>
      <c r="AE200">
        <v>11</v>
      </c>
      <c r="AF200">
        <v>12</v>
      </c>
      <c r="AG200" t="s">
        <v>66</v>
      </c>
      <c r="AH200">
        <v>10</v>
      </c>
      <c r="AI200">
        <v>9</v>
      </c>
      <c r="AJ200" t="s">
        <v>66</v>
      </c>
      <c r="AK200">
        <v>7</v>
      </c>
      <c r="AL200">
        <v>7</v>
      </c>
      <c r="AM200">
        <v>8.5</v>
      </c>
      <c r="AN200">
        <v>8</v>
      </c>
      <c r="AO200">
        <v>-5.8823529409999997</v>
      </c>
      <c r="AP200">
        <v>9.0909090910000003</v>
      </c>
      <c r="AQ200">
        <v>1.294117647</v>
      </c>
      <c r="AR200">
        <v>1.5</v>
      </c>
      <c r="AS200">
        <v>0.20588235299999999</v>
      </c>
      <c r="AT200">
        <v>0</v>
      </c>
      <c r="AU200" t="s">
        <v>66</v>
      </c>
      <c r="AV200">
        <v>0</v>
      </c>
      <c r="AW200">
        <v>2</v>
      </c>
      <c r="AX200">
        <v>0</v>
      </c>
      <c r="AY200">
        <v>1</v>
      </c>
      <c r="AZ200">
        <v>1</v>
      </c>
      <c r="BA200">
        <v>1</v>
      </c>
      <c r="BB200" t="s">
        <v>66</v>
      </c>
      <c r="BC200">
        <v>27.75</v>
      </c>
      <c r="BD200">
        <v>37.6</v>
      </c>
      <c r="BE200">
        <v>35.495495499999997</v>
      </c>
      <c r="BF200">
        <v>0</v>
      </c>
      <c r="BG200">
        <v>26.32</v>
      </c>
      <c r="BH200">
        <v>-5.1531531529999999</v>
      </c>
      <c r="BI200">
        <v>31</v>
      </c>
      <c r="BJ200">
        <v>3</v>
      </c>
      <c r="BK200" t="s">
        <v>66</v>
      </c>
      <c r="BL200">
        <f>31-22</f>
        <v>9</v>
      </c>
      <c r="BM200">
        <v>9</v>
      </c>
      <c r="BN200">
        <v>8</v>
      </c>
      <c r="BO200">
        <f t="shared" si="37"/>
        <v>8.5</v>
      </c>
      <c r="BP200">
        <v>1</v>
      </c>
      <c r="BQ200">
        <v>1</v>
      </c>
      <c r="BS200">
        <v>0</v>
      </c>
      <c r="BT200">
        <f t="shared" si="38"/>
        <v>19.35483870967742</v>
      </c>
      <c r="BU200">
        <f t="shared" si="39"/>
        <v>33.333333333333329</v>
      </c>
      <c r="BV200">
        <f t="shared" si="40"/>
        <v>-22.222222222222221</v>
      </c>
      <c r="BW200">
        <f t="shared" si="41"/>
        <v>0</v>
      </c>
    </row>
    <row r="201" spans="1:75" x14ac:dyDescent="0.2">
      <c r="A201" t="s">
        <v>256</v>
      </c>
      <c r="B201" t="s">
        <v>278</v>
      </c>
      <c r="C201" t="s">
        <v>106</v>
      </c>
      <c r="D201" t="s">
        <v>63</v>
      </c>
      <c r="E201" t="s">
        <v>95</v>
      </c>
      <c r="F201" t="s">
        <v>294</v>
      </c>
      <c r="G201">
        <v>7</v>
      </c>
      <c r="H201">
        <v>1.9</v>
      </c>
      <c r="I201">
        <v>0.85</v>
      </c>
      <c r="J201">
        <v>1.1000000000000001</v>
      </c>
      <c r="K201">
        <v>10.85</v>
      </c>
      <c r="L201">
        <v>0.39285714300000002</v>
      </c>
      <c r="M201">
        <v>39</v>
      </c>
      <c r="N201">
        <v>45</v>
      </c>
      <c r="O201">
        <v>6</v>
      </c>
      <c r="P201">
        <v>49</v>
      </c>
      <c r="Q201">
        <v>10</v>
      </c>
      <c r="R201">
        <v>5</v>
      </c>
      <c r="S201">
        <v>57.1</v>
      </c>
      <c r="T201">
        <v>25.641025639999999</v>
      </c>
      <c r="U201">
        <v>8.8888888890000004</v>
      </c>
      <c r="V201">
        <v>4</v>
      </c>
      <c r="W201">
        <v>7</v>
      </c>
      <c r="X201">
        <v>5</v>
      </c>
      <c r="Y201">
        <v>1</v>
      </c>
      <c r="Z201">
        <v>25</v>
      </c>
      <c r="AA201" t="s">
        <v>66</v>
      </c>
      <c r="AB201" t="s">
        <v>66</v>
      </c>
      <c r="AC201" t="s">
        <v>66</v>
      </c>
      <c r="AD201" t="s">
        <v>66</v>
      </c>
      <c r="AE201">
        <v>20</v>
      </c>
      <c r="AF201">
        <v>24</v>
      </c>
      <c r="AG201" t="s">
        <v>66</v>
      </c>
      <c r="AH201">
        <v>15</v>
      </c>
      <c r="AI201">
        <v>12</v>
      </c>
      <c r="AJ201" t="s">
        <v>66</v>
      </c>
      <c r="AK201">
        <v>8</v>
      </c>
      <c r="AL201">
        <v>10</v>
      </c>
      <c r="AM201">
        <v>11.5</v>
      </c>
      <c r="AN201">
        <v>11</v>
      </c>
      <c r="AO201">
        <v>-4.3478260869999996</v>
      </c>
      <c r="AP201">
        <v>20</v>
      </c>
      <c r="AQ201">
        <v>1.7391304350000001</v>
      </c>
      <c r="AR201">
        <v>2.1818181820000002</v>
      </c>
      <c r="AS201">
        <v>0.44268774700000002</v>
      </c>
      <c r="AT201">
        <v>0</v>
      </c>
      <c r="AU201" t="s">
        <v>66</v>
      </c>
      <c r="AV201">
        <v>1</v>
      </c>
      <c r="AW201">
        <v>1</v>
      </c>
      <c r="AX201">
        <v>0</v>
      </c>
      <c r="AY201">
        <v>1</v>
      </c>
      <c r="AZ201">
        <v>1</v>
      </c>
      <c r="BA201">
        <v>1</v>
      </c>
      <c r="BB201" t="s">
        <v>66</v>
      </c>
      <c r="BC201">
        <v>25.7</v>
      </c>
      <c r="BD201">
        <v>33.299999999999997</v>
      </c>
      <c r="BE201">
        <v>29.571984440000001</v>
      </c>
      <c r="BF201">
        <v>0</v>
      </c>
      <c r="BG201">
        <v>23.31</v>
      </c>
      <c r="BH201">
        <v>-9.2996108950000007</v>
      </c>
      <c r="BI201">
        <v>63</v>
      </c>
      <c r="BJ201">
        <v>6.6</v>
      </c>
      <c r="BK201" t="s">
        <v>66</v>
      </c>
      <c r="BL201">
        <f>63-44</f>
        <v>19</v>
      </c>
      <c r="BM201">
        <v>16</v>
      </c>
      <c r="BN201">
        <v>12</v>
      </c>
      <c r="BO201">
        <f t="shared" si="37"/>
        <v>14</v>
      </c>
      <c r="BP201">
        <v>4</v>
      </c>
      <c r="BQ201">
        <v>1</v>
      </c>
      <c r="BS201">
        <v>0</v>
      </c>
      <c r="BT201">
        <f t="shared" si="38"/>
        <v>38.095238095238095</v>
      </c>
      <c r="BU201">
        <f t="shared" si="39"/>
        <v>39.393939393939391</v>
      </c>
      <c r="BV201">
        <f t="shared" si="40"/>
        <v>-5.2631578947368416</v>
      </c>
      <c r="BW201">
        <f t="shared" si="41"/>
        <v>17.857142857142858</v>
      </c>
    </row>
    <row r="202" spans="1:75" x14ac:dyDescent="0.2">
      <c r="A202" t="s">
        <v>256</v>
      </c>
      <c r="B202" t="s">
        <v>278</v>
      </c>
      <c r="C202" t="s">
        <v>106</v>
      </c>
      <c r="D202" t="s">
        <v>63</v>
      </c>
      <c r="E202" t="s">
        <v>97</v>
      </c>
      <c r="F202" t="s">
        <v>295</v>
      </c>
      <c r="G202">
        <v>7</v>
      </c>
      <c r="H202">
        <v>1.9</v>
      </c>
      <c r="I202">
        <v>0.85</v>
      </c>
      <c r="J202">
        <v>1.1000000000000001</v>
      </c>
      <c r="K202">
        <v>10.85</v>
      </c>
      <c r="L202">
        <v>0.39285714300000002</v>
      </c>
      <c r="M202">
        <v>40</v>
      </c>
      <c r="N202">
        <v>34</v>
      </c>
      <c r="O202">
        <v>-6</v>
      </c>
      <c r="P202">
        <v>35</v>
      </c>
      <c r="Q202">
        <v>-5</v>
      </c>
      <c r="R202">
        <v>-2.5</v>
      </c>
      <c r="S202">
        <v>42.1</v>
      </c>
      <c r="T202">
        <v>-12.5</v>
      </c>
      <c r="U202">
        <v>2.9411764709999999</v>
      </c>
      <c r="V202">
        <v>5</v>
      </c>
      <c r="W202">
        <v>5</v>
      </c>
      <c r="X202">
        <v>4</v>
      </c>
      <c r="Y202">
        <v>-1</v>
      </c>
      <c r="Z202">
        <v>-20</v>
      </c>
      <c r="AA202" t="s">
        <v>66</v>
      </c>
      <c r="AB202" t="s">
        <v>66</v>
      </c>
      <c r="AC202" t="s">
        <v>66</v>
      </c>
      <c r="AD202" t="s">
        <v>66</v>
      </c>
      <c r="AE202">
        <v>13</v>
      </c>
      <c r="AF202">
        <v>11</v>
      </c>
      <c r="AG202" t="s">
        <v>66</v>
      </c>
      <c r="AH202">
        <v>8</v>
      </c>
      <c r="AI202">
        <v>8</v>
      </c>
      <c r="AJ202" t="s">
        <v>66</v>
      </c>
      <c r="AK202">
        <v>6</v>
      </c>
      <c r="AL202">
        <v>7</v>
      </c>
      <c r="AM202">
        <v>7</v>
      </c>
      <c r="AN202">
        <v>7.5</v>
      </c>
      <c r="AO202">
        <v>7.1428571429999996</v>
      </c>
      <c r="AP202">
        <v>-15.38461538</v>
      </c>
      <c r="AQ202">
        <v>1.8571428569999999</v>
      </c>
      <c r="AR202">
        <v>1.4666666669999999</v>
      </c>
      <c r="AS202">
        <v>-0.39047619</v>
      </c>
      <c r="AT202">
        <v>0</v>
      </c>
      <c r="AU202" t="s">
        <v>66</v>
      </c>
      <c r="AV202">
        <v>1</v>
      </c>
      <c r="AW202">
        <v>3</v>
      </c>
      <c r="AX202">
        <v>0</v>
      </c>
      <c r="AY202">
        <v>1</v>
      </c>
      <c r="AZ202">
        <v>1</v>
      </c>
      <c r="BA202">
        <v>1</v>
      </c>
      <c r="BB202" t="s">
        <v>66</v>
      </c>
      <c r="BC202">
        <v>19.600000000000001</v>
      </c>
      <c r="BD202">
        <v>33.5</v>
      </c>
      <c r="BE202">
        <v>70.918367349999997</v>
      </c>
      <c r="BF202">
        <v>0</v>
      </c>
      <c r="BG202">
        <v>23.45</v>
      </c>
      <c r="BH202">
        <v>19.64285714</v>
      </c>
      <c r="BI202">
        <v>35</v>
      </c>
      <c r="BJ202">
        <v>4</v>
      </c>
      <c r="BK202" t="s">
        <v>66</v>
      </c>
      <c r="BL202">
        <f>35-28</f>
        <v>7</v>
      </c>
      <c r="BM202">
        <v>9</v>
      </c>
      <c r="BN202">
        <v>5</v>
      </c>
      <c r="BO202">
        <f t="shared" si="37"/>
        <v>7</v>
      </c>
      <c r="BP202">
        <v>2</v>
      </c>
      <c r="BQ202">
        <v>1</v>
      </c>
      <c r="BS202">
        <v>0</v>
      </c>
      <c r="BT202">
        <f t="shared" si="38"/>
        <v>-14.285714285714285</v>
      </c>
      <c r="BU202">
        <f t="shared" si="39"/>
        <v>-25</v>
      </c>
      <c r="BV202">
        <f t="shared" si="40"/>
        <v>-85.714285714285708</v>
      </c>
      <c r="BW202">
        <f t="shared" si="41"/>
        <v>0</v>
      </c>
    </row>
    <row r="203" spans="1:75" x14ac:dyDescent="0.2">
      <c r="A203" t="s">
        <v>256</v>
      </c>
      <c r="B203" t="s">
        <v>278</v>
      </c>
      <c r="C203" t="s">
        <v>106</v>
      </c>
      <c r="D203" t="s">
        <v>63</v>
      </c>
      <c r="E203" t="s">
        <v>101</v>
      </c>
      <c r="F203" t="s">
        <v>297</v>
      </c>
      <c r="G203">
        <v>7</v>
      </c>
      <c r="H203">
        <v>1.9</v>
      </c>
      <c r="I203">
        <v>0.85</v>
      </c>
      <c r="J203">
        <v>1.1000000000000001</v>
      </c>
      <c r="K203">
        <v>10.85</v>
      </c>
      <c r="L203">
        <v>0.39285714300000002</v>
      </c>
      <c r="M203">
        <v>31</v>
      </c>
      <c r="N203">
        <v>50</v>
      </c>
      <c r="O203">
        <v>19</v>
      </c>
      <c r="P203">
        <v>41</v>
      </c>
      <c r="Q203">
        <v>10</v>
      </c>
      <c r="R203">
        <v>5</v>
      </c>
      <c r="S203">
        <v>57.1</v>
      </c>
      <c r="T203">
        <v>32.258064519999998</v>
      </c>
      <c r="U203">
        <v>-18</v>
      </c>
      <c r="V203">
        <v>3</v>
      </c>
      <c r="W203">
        <v>6</v>
      </c>
      <c r="X203">
        <v>5</v>
      </c>
      <c r="Y203">
        <v>2</v>
      </c>
      <c r="Z203">
        <v>66.666666669999998</v>
      </c>
      <c r="AA203" t="s">
        <v>66</v>
      </c>
      <c r="AB203" t="s">
        <v>66</v>
      </c>
      <c r="AC203" t="s">
        <v>66</v>
      </c>
      <c r="AD203" t="s">
        <v>66</v>
      </c>
      <c r="AE203">
        <v>25</v>
      </c>
      <c r="AF203">
        <v>26</v>
      </c>
      <c r="AG203" t="s">
        <v>66</v>
      </c>
      <c r="AH203">
        <v>20</v>
      </c>
      <c r="AI203">
        <v>19</v>
      </c>
      <c r="AJ203" t="s">
        <v>66</v>
      </c>
      <c r="AK203">
        <v>15</v>
      </c>
      <c r="AL203">
        <v>16</v>
      </c>
      <c r="AM203">
        <v>17.5</v>
      </c>
      <c r="AN203">
        <v>17.5</v>
      </c>
      <c r="AO203">
        <v>0</v>
      </c>
      <c r="AP203">
        <v>4</v>
      </c>
      <c r="AQ203">
        <v>1.428571429</v>
      </c>
      <c r="AR203">
        <v>1.4857142860000001</v>
      </c>
      <c r="AS203">
        <v>5.7142856999999998E-2</v>
      </c>
      <c r="AT203">
        <v>0</v>
      </c>
      <c r="AU203" t="s">
        <v>66</v>
      </c>
      <c r="AV203">
        <v>1</v>
      </c>
      <c r="AW203">
        <v>2</v>
      </c>
      <c r="AX203">
        <v>0</v>
      </c>
      <c r="AY203">
        <v>1</v>
      </c>
      <c r="AZ203">
        <v>1</v>
      </c>
      <c r="BA203">
        <v>1</v>
      </c>
      <c r="BB203" t="s">
        <v>66</v>
      </c>
      <c r="BC203">
        <v>22.9</v>
      </c>
      <c r="BD203">
        <v>34.200000000000003</v>
      </c>
      <c r="BE203">
        <v>49.344978169999997</v>
      </c>
      <c r="BF203">
        <v>0</v>
      </c>
      <c r="BG203">
        <v>23.94</v>
      </c>
      <c r="BH203">
        <v>4.5414847160000003</v>
      </c>
      <c r="BI203">
        <v>54</v>
      </c>
      <c r="BJ203">
        <v>6.2</v>
      </c>
      <c r="BK203" t="s">
        <v>66</v>
      </c>
      <c r="BL203">
        <f>54-37</f>
        <v>17</v>
      </c>
      <c r="BM203">
        <v>16</v>
      </c>
      <c r="BN203">
        <v>12</v>
      </c>
      <c r="BO203">
        <f t="shared" si="37"/>
        <v>14</v>
      </c>
      <c r="BP203">
        <v>2</v>
      </c>
      <c r="BQ203">
        <v>1</v>
      </c>
      <c r="BS203">
        <v>0</v>
      </c>
      <c r="BT203">
        <f t="shared" si="38"/>
        <v>42.592592592592595</v>
      </c>
      <c r="BU203">
        <f t="shared" si="39"/>
        <v>51.612903225806448</v>
      </c>
      <c r="BV203">
        <f t="shared" si="40"/>
        <v>-47.058823529411761</v>
      </c>
      <c r="BW203">
        <f t="shared" si="41"/>
        <v>-25</v>
      </c>
    </row>
    <row r="204" spans="1:75" x14ac:dyDescent="0.2">
      <c r="A204" t="s">
        <v>256</v>
      </c>
      <c r="B204" t="s">
        <v>278</v>
      </c>
      <c r="C204" t="s">
        <v>106</v>
      </c>
      <c r="D204" t="s">
        <v>63</v>
      </c>
      <c r="E204" t="s">
        <v>99</v>
      </c>
      <c r="F204" t="s">
        <v>296</v>
      </c>
      <c r="G204">
        <v>7</v>
      </c>
      <c r="H204">
        <v>1.9</v>
      </c>
      <c r="I204">
        <v>0.85</v>
      </c>
      <c r="J204">
        <v>1.1000000000000001</v>
      </c>
      <c r="K204">
        <v>10.85</v>
      </c>
      <c r="L204">
        <v>0.39285714300000002</v>
      </c>
      <c r="M204">
        <v>49</v>
      </c>
      <c r="N204">
        <v>50</v>
      </c>
      <c r="O204">
        <v>1</v>
      </c>
      <c r="P204">
        <v>53</v>
      </c>
      <c r="Q204">
        <v>4</v>
      </c>
      <c r="R204">
        <v>2</v>
      </c>
      <c r="S204">
        <v>51.1</v>
      </c>
      <c r="T204">
        <v>8.1632653059999996</v>
      </c>
      <c r="U204">
        <v>6</v>
      </c>
      <c r="V204">
        <v>7</v>
      </c>
      <c r="W204">
        <v>7</v>
      </c>
      <c r="X204">
        <v>9</v>
      </c>
      <c r="Y204">
        <v>2</v>
      </c>
      <c r="Z204">
        <v>28.571428569999998</v>
      </c>
      <c r="AA204" t="s">
        <v>66</v>
      </c>
      <c r="AB204" t="s">
        <v>66</v>
      </c>
      <c r="AC204" t="s">
        <v>66</v>
      </c>
      <c r="AD204" t="s">
        <v>66</v>
      </c>
      <c r="AE204">
        <v>37</v>
      </c>
      <c r="AF204">
        <v>34</v>
      </c>
      <c r="AG204" t="s">
        <v>66</v>
      </c>
      <c r="AH204">
        <v>12</v>
      </c>
      <c r="AI204">
        <v>22</v>
      </c>
      <c r="AJ204" t="s">
        <v>66</v>
      </c>
      <c r="AK204">
        <v>11</v>
      </c>
      <c r="AL204">
        <v>12</v>
      </c>
      <c r="AM204">
        <v>11.5</v>
      </c>
      <c r="AN204">
        <v>17</v>
      </c>
      <c r="AO204">
        <v>47.826086959999998</v>
      </c>
      <c r="AP204">
        <v>-8.1081081079999997</v>
      </c>
      <c r="AQ204">
        <v>3.217391304</v>
      </c>
      <c r="AR204">
        <v>2</v>
      </c>
      <c r="AS204">
        <v>-1.217391304</v>
      </c>
      <c r="AT204">
        <v>0</v>
      </c>
      <c r="AU204" t="s">
        <v>66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 t="s">
        <v>66</v>
      </c>
      <c r="BC204">
        <v>21.7</v>
      </c>
      <c r="BD204">
        <v>29</v>
      </c>
      <c r="BE204">
        <v>33.640552999999997</v>
      </c>
      <c r="BF204">
        <v>0</v>
      </c>
      <c r="BG204">
        <v>20.3</v>
      </c>
      <c r="BH204">
        <v>-6.451612903</v>
      </c>
      <c r="BI204">
        <v>55</v>
      </c>
      <c r="BJ204">
        <v>9.9</v>
      </c>
      <c r="BK204" t="s">
        <v>66</v>
      </c>
      <c r="BL204">
        <f>55-33</f>
        <v>22</v>
      </c>
      <c r="BM204">
        <v>15</v>
      </c>
      <c r="BN204">
        <v>11</v>
      </c>
      <c r="BO204">
        <f t="shared" si="37"/>
        <v>13</v>
      </c>
      <c r="BP204">
        <v>3</v>
      </c>
      <c r="BQ204">
        <v>1</v>
      </c>
      <c r="BS204">
        <v>0</v>
      </c>
      <c r="BT204">
        <f t="shared" si="38"/>
        <v>10.909090909090908</v>
      </c>
      <c r="BU204">
        <f t="shared" si="39"/>
        <v>29.292929292929294</v>
      </c>
      <c r="BV204">
        <f t="shared" si="40"/>
        <v>-68.181818181818173</v>
      </c>
      <c r="BW204">
        <f t="shared" si="41"/>
        <v>11.538461538461538</v>
      </c>
    </row>
    <row r="205" spans="1:75" x14ac:dyDescent="0.2">
      <c r="A205" t="s">
        <v>299</v>
      </c>
      <c r="B205" t="s">
        <v>321</v>
      </c>
      <c r="C205" t="s">
        <v>106</v>
      </c>
      <c r="D205" t="s">
        <v>63</v>
      </c>
      <c r="E205" t="s">
        <v>64</v>
      </c>
      <c r="F205" t="s">
        <v>322</v>
      </c>
      <c r="G205">
        <v>9.5</v>
      </c>
      <c r="H205">
        <v>15.55</v>
      </c>
      <c r="I205">
        <v>15</v>
      </c>
      <c r="J205">
        <v>4.0999999999999996</v>
      </c>
      <c r="K205">
        <v>44.15</v>
      </c>
      <c r="L205">
        <v>3.2157894740000001</v>
      </c>
      <c r="M205">
        <v>20</v>
      </c>
      <c r="N205">
        <v>24</v>
      </c>
      <c r="O205">
        <v>4</v>
      </c>
      <c r="P205">
        <v>22</v>
      </c>
      <c r="Q205">
        <v>2</v>
      </c>
      <c r="R205">
        <v>1</v>
      </c>
      <c r="S205">
        <v>49.1</v>
      </c>
      <c r="T205">
        <v>10</v>
      </c>
      <c r="U205">
        <v>-8.3333333330000006</v>
      </c>
      <c r="V205">
        <v>3</v>
      </c>
      <c r="W205">
        <v>4</v>
      </c>
      <c r="X205">
        <v>3</v>
      </c>
      <c r="Y205">
        <v>0</v>
      </c>
      <c r="Z205">
        <v>0</v>
      </c>
      <c r="AA205" t="s">
        <v>66</v>
      </c>
      <c r="AB205" t="s">
        <v>66</v>
      </c>
      <c r="AC205" t="s">
        <v>66</v>
      </c>
      <c r="AD205" t="s">
        <v>66</v>
      </c>
      <c r="AE205">
        <v>5</v>
      </c>
      <c r="AF205">
        <v>6</v>
      </c>
      <c r="AG205" t="s">
        <v>66</v>
      </c>
      <c r="AH205">
        <v>8</v>
      </c>
      <c r="AI205">
        <v>5</v>
      </c>
      <c r="AJ205" t="s">
        <v>66</v>
      </c>
      <c r="AK205">
        <v>8</v>
      </c>
      <c r="AL205">
        <v>6</v>
      </c>
      <c r="AM205">
        <v>8</v>
      </c>
      <c r="AN205">
        <v>5.5</v>
      </c>
      <c r="AO205">
        <v>-31.25</v>
      </c>
      <c r="AP205">
        <v>20</v>
      </c>
      <c r="AQ205">
        <v>0.625</v>
      </c>
      <c r="AR205">
        <v>1.0909090910000001</v>
      </c>
      <c r="AS205">
        <v>0.465909091</v>
      </c>
      <c r="AT205">
        <v>0</v>
      </c>
      <c r="AU205" t="s">
        <v>66</v>
      </c>
      <c r="AV205">
        <v>1</v>
      </c>
      <c r="AW205">
        <v>0</v>
      </c>
      <c r="AX205">
        <v>0</v>
      </c>
      <c r="AY205">
        <v>1</v>
      </c>
      <c r="AZ205">
        <v>1</v>
      </c>
      <c r="BA205">
        <v>1</v>
      </c>
      <c r="BB205" t="s">
        <v>66</v>
      </c>
      <c r="BC205">
        <v>21.375</v>
      </c>
      <c r="BD205">
        <v>32.6</v>
      </c>
      <c r="BE205">
        <v>52.514619879999998</v>
      </c>
      <c r="BF205">
        <v>0</v>
      </c>
      <c r="BG205">
        <v>22.82</v>
      </c>
      <c r="BH205">
        <v>6.760233918</v>
      </c>
      <c r="BI205">
        <v>21</v>
      </c>
      <c r="BJ205">
        <v>3</v>
      </c>
      <c r="BK205" t="s">
        <v>66</v>
      </c>
      <c r="BL205">
        <v>1</v>
      </c>
      <c r="BM205">
        <v>7</v>
      </c>
      <c r="BN205">
        <v>6</v>
      </c>
      <c r="BO205">
        <f t="shared" si="37"/>
        <v>6.5</v>
      </c>
      <c r="BP205">
        <v>4</v>
      </c>
      <c r="BQ205">
        <v>1</v>
      </c>
      <c r="BS205">
        <v>0</v>
      </c>
      <c r="BT205">
        <f t="shared" si="38"/>
        <v>4.7619047619047619</v>
      </c>
      <c r="BU205">
        <f t="shared" si="39"/>
        <v>0</v>
      </c>
      <c r="BV205">
        <f t="shared" si="40"/>
        <v>-400</v>
      </c>
      <c r="BW205">
        <f t="shared" si="41"/>
        <v>-23.076923076923077</v>
      </c>
    </row>
    <row r="206" spans="1:75" x14ac:dyDescent="0.2">
      <c r="A206" t="s">
        <v>299</v>
      </c>
      <c r="B206" t="s">
        <v>321</v>
      </c>
      <c r="C206" t="s">
        <v>106</v>
      </c>
      <c r="D206" t="s">
        <v>63</v>
      </c>
      <c r="E206" t="s">
        <v>67</v>
      </c>
      <c r="F206" t="s">
        <v>323</v>
      </c>
      <c r="G206">
        <v>9.5</v>
      </c>
      <c r="H206">
        <v>15.55</v>
      </c>
      <c r="I206">
        <v>15</v>
      </c>
      <c r="J206">
        <v>4.0999999999999996</v>
      </c>
      <c r="K206">
        <v>44.15</v>
      </c>
      <c r="L206">
        <v>3.2157894740000001</v>
      </c>
      <c r="M206">
        <v>55</v>
      </c>
      <c r="N206">
        <v>64</v>
      </c>
      <c r="O206">
        <v>9</v>
      </c>
      <c r="P206">
        <v>63</v>
      </c>
      <c r="Q206">
        <v>8</v>
      </c>
      <c r="R206">
        <v>4</v>
      </c>
      <c r="S206">
        <v>55.1</v>
      </c>
      <c r="T206">
        <v>14.545454550000001</v>
      </c>
      <c r="U206">
        <v>-1.5625</v>
      </c>
      <c r="V206">
        <v>5</v>
      </c>
      <c r="W206">
        <v>7</v>
      </c>
      <c r="X206">
        <v>6</v>
      </c>
      <c r="Y206">
        <v>1</v>
      </c>
      <c r="Z206">
        <v>20</v>
      </c>
      <c r="AA206" t="s">
        <v>66</v>
      </c>
      <c r="AB206" t="s">
        <v>66</v>
      </c>
      <c r="AC206" t="s">
        <v>66</v>
      </c>
      <c r="AD206" t="s">
        <v>66</v>
      </c>
      <c r="AE206">
        <v>50</v>
      </c>
      <c r="AF206">
        <v>46</v>
      </c>
      <c r="AG206" t="s">
        <v>66</v>
      </c>
      <c r="AH206">
        <v>20</v>
      </c>
      <c r="AI206">
        <v>21</v>
      </c>
      <c r="AJ206" t="s">
        <v>66</v>
      </c>
      <c r="AK206">
        <v>11</v>
      </c>
      <c r="AL206">
        <v>17</v>
      </c>
      <c r="AM206">
        <v>15.5</v>
      </c>
      <c r="AN206">
        <v>19</v>
      </c>
      <c r="AO206">
        <v>22.58064516</v>
      </c>
      <c r="AP206">
        <v>-8</v>
      </c>
      <c r="AQ206">
        <v>3.225806452</v>
      </c>
      <c r="AR206">
        <v>2.4210526319999999</v>
      </c>
      <c r="AS206">
        <v>-0.80475381999999995</v>
      </c>
      <c r="AT206">
        <v>0</v>
      </c>
      <c r="AU206" t="s">
        <v>66</v>
      </c>
      <c r="AV206">
        <v>3</v>
      </c>
      <c r="AW206">
        <v>2</v>
      </c>
      <c r="AX206">
        <v>0</v>
      </c>
      <c r="AY206">
        <v>1</v>
      </c>
      <c r="AZ206">
        <v>1</v>
      </c>
      <c r="BA206">
        <v>1</v>
      </c>
      <c r="BB206" t="s">
        <v>66</v>
      </c>
      <c r="BC206">
        <v>31</v>
      </c>
      <c r="BD206">
        <v>50.7</v>
      </c>
      <c r="BE206">
        <v>63.548387099999999</v>
      </c>
      <c r="BF206">
        <v>0</v>
      </c>
      <c r="BG206">
        <v>35.49</v>
      </c>
      <c r="BH206">
        <v>14.48387097</v>
      </c>
      <c r="BI206">
        <v>60</v>
      </c>
      <c r="BJ206">
        <v>6.5</v>
      </c>
      <c r="BK206" t="s">
        <v>66</v>
      </c>
      <c r="BL206">
        <f>60-47</f>
        <v>13</v>
      </c>
      <c r="BM206">
        <v>9</v>
      </c>
      <c r="BN206">
        <v>8</v>
      </c>
      <c r="BO206">
        <f t="shared" si="37"/>
        <v>8.5</v>
      </c>
      <c r="BP206">
        <v>3</v>
      </c>
      <c r="BQ206">
        <v>1</v>
      </c>
      <c r="BS206">
        <v>0</v>
      </c>
      <c r="BT206">
        <f t="shared" si="38"/>
        <v>8.3333333333333321</v>
      </c>
      <c r="BU206">
        <f t="shared" si="39"/>
        <v>23.076923076923077</v>
      </c>
      <c r="BV206">
        <f t="shared" si="40"/>
        <v>-284.61538461538464</v>
      </c>
      <c r="BW206">
        <f t="shared" si="41"/>
        <v>-82.35294117647058</v>
      </c>
    </row>
    <row r="207" spans="1:75" x14ac:dyDescent="0.2">
      <c r="A207" t="s">
        <v>299</v>
      </c>
      <c r="B207" t="s">
        <v>321</v>
      </c>
      <c r="C207" t="s">
        <v>106</v>
      </c>
      <c r="D207" t="s">
        <v>63</v>
      </c>
      <c r="E207" t="s">
        <v>69</v>
      </c>
      <c r="F207" t="s">
        <v>324</v>
      </c>
      <c r="G207">
        <v>9.5</v>
      </c>
      <c r="H207">
        <v>15.55</v>
      </c>
      <c r="I207">
        <v>15</v>
      </c>
      <c r="J207">
        <v>4.0999999999999996</v>
      </c>
      <c r="K207">
        <v>44.15</v>
      </c>
      <c r="L207">
        <v>3.2157894740000001</v>
      </c>
      <c r="M207">
        <v>32</v>
      </c>
      <c r="N207">
        <v>38</v>
      </c>
      <c r="O207">
        <v>6</v>
      </c>
      <c r="P207">
        <v>42</v>
      </c>
      <c r="Q207">
        <v>10</v>
      </c>
      <c r="R207">
        <v>5</v>
      </c>
      <c r="S207">
        <v>57.1</v>
      </c>
      <c r="T207">
        <v>31.25</v>
      </c>
      <c r="U207">
        <v>10.52631579</v>
      </c>
      <c r="V207">
        <v>3</v>
      </c>
      <c r="W207">
        <v>3</v>
      </c>
      <c r="X207">
        <v>3</v>
      </c>
      <c r="Y207">
        <v>0</v>
      </c>
      <c r="Z207">
        <v>0</v>
      </c>
      <c r="AA207" t="s">
        <v>66</v>
      </c>
      <c r="AB207" t="s">
        <v>66</v>
      </c>
      <c r="AC207" t="s">
        <v>66</v>
      </c>
      <c r="AD207" t="s">
        <v>66</v>
      </c>
      <c r="AE207">
        <v>10</v>
      </c>
      <c r="AF207">
        <v>8</v>
      </c>
      <c r="AG207" t="s">
        <v>66</v>
      </c>
      <c r="AH207">
        <v>8</v>
      </c>
      <c r="AI207">
        <v>7</v>
      </c>
      <c r="AJ207" t="s">
        <v>66</v>
      </c>
      <c r="AK207">
        <v>6</v>
      </c>
      <c r="AL207">
        <v>5</v>
      </c>
      <c r="AM207">
        <v>7</v>
      </c>
      <c r="AN207">
        <v>6</v>
      </c>
      <c r="AO207">
        <v>-14.28571429</v>
      </c>
      <c r="AP207">
        <v>-20</v>
      </c>
      <c r="AQ207">
        <v>1.428571429</v>
      </c>
      <c r="AR207">
        <v>1.3333333329999999</v>
      </c>
      <c r="AS207">
        <v>-9.5238095999999994E-2</v>
      </c>
      <c r="AT207">
        <v>0</v>
      </c>
      <c r="AU207" t="s">
        <v>66</v>
      </c>
      <c r="AV207">
        <v>1</v>
      </c>
      <c r="AW207">
        <v>3</v>
      </c>
      <c r="AX207">
        <v>0</v>
      </c>
      <c r="AY207">
        <v>1</v>
      </c>
      <c r="AZ207">
        <v>1</v>
      </c>
      <c r="BA207">
        <v>1</v>
      </c>
      <c r="BB207" t="s">
        <v>66</v>
      </c>
      <c r="BC207">
        <v>25</v>
      </c>
      <c r="BD207">
        <v>36</v>
      </c>
      <c r="BE207">
        <v>44</v>
      </c>
      <c r="BF207">
        <v>0</v>
      </c>
      <c r="BG207">
        <v>25.2</v>
      </c>
      <c r="BH207">
        <v>0.8</v>
      </c>
      <c r="BI207">
        <v>47</v>
      </c>
      <c r="BJ207">
        <v>2.9</v>
      </c>
      <c r="BK207" t="s">
        <v>66</v>
      </c>
      <c r="BL207">
        <v>44</v>
      </c>
      <c r="BM207">
        <v>3</v>
      </c>
      <c r="BN207">
        <v>3</v>
      </c>
      <c r="BO207">
        <f t="shared" si="37"/>
        <v>3</v>
      </c>
      <c r="BP207">
        <v>4</v>
      </c>
      <c r="BQ207">
        <v>1</v>
      </c>
      <c r="BS207">
        <v>0</v>
      </c>
      <c r="BT207">
        <f t="shared" si="38"/>
        <v>31.914893617021278</v>
      </c>
      <c r="BU207">
        <f t="shared" si="39"/>
        <v>-3.4482758620689689</v>
      </c>
      <c r="BV207">
        <f t="shared" si="40"/>
        <v>77.272727272727266</v>
      </c>
      <c r="BW207">
        <f t="shared" si="41"/>
        <v>-133.33333333333331</v>
      </c>
    </row>
    <row r="208" spans="1:75" x14ac:dyDescent="0.2">
      <c r="A208" t="s">
        <v>299</v>
      </c>
      <c r="B208" t="s">
        <v>321</v>
      </c>
      <c r="C208" t="s">
        <v>106</v>
      </c>
      <c r="D208" t="s">
        <v>63</v>
      </c>
      <c r="E208" t="s">
        <v>71</v>
      </c>
      <c r="F208" t="s">
        <v>325</v>
      </c>
      <c r="G208">
        <v>9.5</v>
      </c>
      <c r="H208">
        <v>15.55</v>
      </c>
      <c r="I208">
        <v>15</v>
      </c>
      <c r="J208">
        <v>4.0999999999999996</v>
      </c>
      <c r="K208">
        <v>44.15</v>
      </c>
      <c r="L208">
        <v>3.2157894740000001</v>
      </c>
      <c r="M208">
        <v>26</v>
      </c>
      <c r="N208">
        <v>28</v>
      </c>
      <c r="O208">
        <v>2</v>
      </c>
      <c r="P208">
        <v>26</v>
      </c>
      <c r="Q208">
        <v>0</v>
      </c>
      <c r="R208">
        <v>1E-3</v>
      </c>
      <c r="S208">
        <v>47.1</v>
      </c>
      <c r="T208">
        <v>0</v>
      </c>
      <c r="U208">
        <v>-7.1428571429999996</v>
      </c>
      <c r="V208">
        <v>3</v>
      </c>
      <c r="W208">
        <v>3</v>
      </c>
      <c r="X208">
        <v>3</v>
      </c>
      <c r="Y208">
        <v>0</v>
      </c>
      <c r="Z208">
        <v>0</v>
      </c>
      <c r="AA208" t="s">
        <v>66</v>
      </c>
      <c r="AB208" t="s">
        <v>66</v>
      </c>
      <c r="AC208" t="s">
        <v>66</v>
      </c>
      <c r="AD208" t="s">
        <v>66</v>
      </c>
      <c r="AE208">
        <v>7</v>
      </c>
      <c r="AF208">
        <v>10</v>
      </c>
      <c r="AG208" t="s">
        <v>66</v>
      </c>
      <c r="AH208">
        <v>6</v>
      </c>
      <c r="AI208">
        <v>6</v>
      </c>
      <c r="AJ208" t="s">
        <v>66</v>
      </c>
      <c r="AK208">
        <v>5</v>
      </c>
      <c r="AL208">
        <v>6</v>
      </c>
      <c r="AM208">
        <v>5.5</v>
      </c>
      <c r="AN208">
        <v>6</v>
      </c>
      <c r="AO208">
        <v>9.0909090910000003</v>
      </c>
      <c r="AP208">
        <v>42.857142860000003</v>
      </c>
      <c r="AQ208">
        <v>1.2727272730000001</v>
      </c>
      <c r="AR208">
        <v>1.6666666670000001</v>
      </c>
      <c r="AS208">
        <v>0.393939394</v>
      </c>
      <c r="AT208">
        <v>0</v>
      </c>
      <c r="AU208" t="s">
        <v>66</v>
      </c>
      <c r="AV208">
        <v>3</v>
      </c>
      <c r="AW208">
        <v>1</v>
      </c>
      <c r="AX208">
        <v>0</v>
      </c>
      <c r="AY208">
        <v>1</v>
      </c>
      <c r="AZ208">
        <v>1</v>
      </c>
      <c r="BA208">
        <v>1</v>
      </c>
      <c r="BB208" t="s">
        <v>66</v>
      </c>
      <c r="BC208">
        <v>19.5</v>
      </c>
      <c r="BD208">
        <v>26.5</v>
      </c>
      <c r="BE208">
        <v>35.897435899999998</v>
      </c>
      <c r="BF208">
        <v>0</v>
      </c>
      <c r="BG208">
        <v>18.55</v>
      </c>
      <c r="BH208">
        <v>-4.8717948719999997</v>
      </c>
      <c r="BI208">
        <v>132</v>
      </c>
      <c r="BJ208">
        <v>3.6</v>
      </c>
      <c r="BK208" t="s">
        <v>66</v>
      </c>
      <c r="BL208">
        <v>102</v>
      </c>
      <c r="BM208">
        <v>3</v>
      </c>
      <c r="BN208">
        <v>2</v>
      </c>
      <c r="BO208">
        <f t="shared" si="37"/>
        <v>2.5</v>
      </c>
      <c r="BP208">
        <v>4</v>
      </c>
      <c r="BQ208">
        <v>1</v>
      </c>
      <c r="BS208">
        <v>0</v>
      </c>
      <c r="BT208">
        <f t="shared" si="38"/>
        <v>80.303030303030297</v>
      </c>
      <c r="BU208">
        <f t="shared" si="39"/>
        <v>16.666666666666668</v>
      </c>
      <c r="BV208">
        <f t="shared" si="40"/>
        <v>93.137254901960787</v>
      </c>
      <c r="BW208">
        <f t="shared" si="41"/>
        <v>-120</v>
      </c>
    </row>
    <row r="209" spans="1:75" x14ac:dyDescent="0.2">
      <c r="A209" t="s">
        <v>299</v>
      </c>
      <c r="B209" t="s">
        <v>321</v>
      </c>
      <c r="C209" t="s">
        <v>106</v>
      </c>
      <c r="D209" t="s">
        <v>63</v>
      </c>
      <c r="E209" t="s">
        <v>73</v>
      </c>
      <c r="F209" t="s">
        <v>326</v>
      </c>
      <c r="G209">
        <v>9.5</v>
      </c>
      <c r="H209">
        <v>15.55</v>
      </c>
      <c r="I209">
        <v>15</v>
      </c>
      <c r="J209">
        <v>4.0999999999999996</v>
      </c>
      <c r="K209">
        <v>44.15</v>
      </c>
      <c r="L209">
        <v>3.2157894740000001</v>
      </c>
      <c r="M209">
        <v>15</v>
      </c>
      <c r="N209">
        <v>17</v>
      </c>
      <c r="O209">
        <v>2</v>
      </c>
      <c r="P209">
        <v>13</v>
      </c>
      <c r="Q209">
        <v>-2</v>
      </c>
      <c r="R209">
        <v>-1</v>
      </c>
      <c r="S209">
        <v>45.1</v>
      </c>
      <c r="T209">
        <v>-13.33333333</v>
      </c>
      <c r="U209">
        <v>-23.529411759999999</v>
      </c>
      <c r="V209">
        <v>1</v>
      </c>
      <c r="W209">
        <v>2</v>
      </c>
      <c r="X209">
        <v>1</v>
      </c>
      <c r="Y209">
        <v>0</v>
      </c>
      <c r="Z209">
        <v>0</v>
      </c>
      <c r="AA209" t="s">
        <v>66</v>
      </c>
      <c r="AB209" t="s">
        <v>66</v>
      </c>
      <c r="AC209" t="s">
        <v>66</v>
      </c>
      <c r="AD209" t="s">
        <v>66</v>
      </c>
      <c r="AE209">
        <v>3</v>
      </c>
      <c r="AF209">
        <v>4</v>
      </c>
      <c r="AG209" t="s">
        <v>66</v>
      </c>
      <c r="AH209">
        <v>6</v>
      </c>
      <c r="AI209">
        <v>4</v>
      </c>
      <c r="AJ209" t="s">
        <v>66</v>
      </c>
      <c r="AK209">
        <v>4</v>
      </c>
      <c r="AL209">
        <v>3</v>
      </c>
      <c r="AM209">
        <v>5</v>
      </c>
      <c r="AN209">
        <v>3.5</v>
      </c>
      <c r="AO209">
        <v>-30</v>
      </c>
      <c r="AP209">
        <v>33.333333330000002</v>
      </c>
      <c r="AQ209">
        <v>0.6</v>
      </c>
      <c r="AR209">
        <v>1.1428571430000001</v>
      </c>
      <c r="AS209">
        <v>0.54285714299999999</v>
      </c>
      <c r="AT209">
        <v>0</v>
      </c>
      <c r="AU209" t="s">
        <v>66</v>
      </c>
      <c r="AV209">
        <v>1</v>
      </c>
      <c r="AW209">
        <v>2</v>
      </c>
      <c r="AX209">
        <v>0</v>
      </c>
      <c r="AY209">
        <v>1</v>
      </c>
      <c r="AZ209">
        <v>1</v>
      </c>
      <c r="BA209">
        <v>1</v>
      </c>
      <c r="BB209" t="s">
        <v>66</v>
      </c>
      <c r="BC209">
        <v>19</v>
      </c>
      <c r="BD209">
        <v>18.2</v>
      </c>
      <c r="BE209">
        <v>-4.2105263160000002</v>
      </c>
      <c r="BF209">
        <v>0</v>
      </c>
      <c r="BG209">
        <v>12.74</v>
      </c>
      <c r="BH209">
        <v>-32.947368419999997</v>
      </c>
      <c r="BI209">
        <v>17</v>
      </c>
      <c r="BJ209">
        <v>1.2</v>
      </c>
      <c r="BK209" t="s">
        <v>66</v>
      </c>
      <c r="BL209">
        <v>1</v>
      </c>
      <c r="BM209">
        <v>1</v>
      </c>
      <c r="BN209">
        <v>1</v>
      </c>
      <c r="BO209">
        <f t="shared" si="37"/>
        <v>1</v>
      </c>
      <c r="BP209">
        <v>4</v>
      </c>
      <c r="BQ209">
        <v>1</v>
      </c>
      <c r="BS209">
        <v>0</v>
      </c>
      <c r="BT209">
        <f t="shared" si="38"/>
        <v>11.76470588235294</v>
      </c>
      <c r="BU209">
        <f t="shared" si="39"/>
        <v>16.666666666666664</v>
      </c>
      <c r="BV209">
        <f t="shared" si="40"/>
        <v>-200</v>
      </c>
      <c r="BW209">
        <f t="shared" si="41"/>
        <v>-400</v>
      </c>
    </row>
    <row r="210" spans="1:75" x14ac:dyDescent="0.2">
      <c r="A210" t="s">
        <v>299</v>
      </c>
      <c r="B210" t="s">
        <v>321</v>
      </c>
      <c r="C210" t="s">
        <v>106</v>
      </c>
      <c r="D210" t="s">
        <v>63</v>
      </c>
      <c r="E210" t="s">
        <v>75</v>
      </c>
      <c r="F210" t="s">
        <v>327</v>
      </c>
      <c r="G210">
        <v>9.5</v>
      </c>
      <c r="H210">
        <v>15.55</v>
      </c>
      <c r="I210">
        <v>15</v>
      </c>
      <c r="J210">
        <v>4.0999999999999996</v>
      </c>
      <c r="K210">
        <v>44.15</v>
      </c>
      <c r="L210">
        <v>3.2157894740000001</v>
      </c>
      <c r="M210">
        <v>57</v>
      </c>
      <c r="N210">
        <v>58</v>
      </c>
      <c r="O210">
        <v>1</v>
      </c>
      <c r="P210">
        <v>61</v>
      </c>
      <c r="Q210">
        <v>4</v>
      </c>
      <c r="R210">
        <v>2</v>
      </c>
      <c r="S210">
        <v>51.1</v>
      </c>
      <c r="T210">
        <v>7.01754386</v>
      </c>
      <c r="U210">
        <v>5.1724137929999996</v>
      </c>
      <c r="V210">
        <v>5</v>
      </c>
      <c r="W210">
        <v>5</v>
      </c>
      <c r="X210">
        <v>6</v>
      </c>
      <c r="Y210">
        <v>1</v>
      </c>
      <c r="Z210">
        <v>20</v>
      </c>
      <c r="AA210" t="s">
        <v>66</v>
      </c>
      <c r="AB210" t="s">
        <v>66</v>
      </c>
      <c r="AC210" t="s">
        <v>66</v>
      </c>
      <c r="AD210" t="s">
        <v>66</v>
      </c>
      <c r="AE210">
        <v>26</v>
      </c>
      <c r="AF210">
        <v>30</v>
      </c>
      <c r="AG210" t="s">
        <v>66</v>
      </c>
      <c r="AH210">
        <v>9</v>
      </c>
      <c r="AI210">
        <v>14</v>
      </c>
      <c r="AJ210" t="s">
        <v>66</v>
      </c>
      <c r="AK210">
        <v>8</v>
      </c>
      <c r="AL210">
        <v>10</v>
      </c>
      <c r="AM210">
        <v>8.5</v>
      </c>
      <c r="AN210">
        <v>12</v>
      </c>
      <c r="AO210">
        <v>41.176470590000001</v>
      </c>
      <c r="AP210">
        <v>15.38461538</v>
      </c>
      <c r="AQ210">
        <v>3.0588235290000001</v>
      </c>
      <c r="AR210">
        <v>2.5</v>
      </c>
      <c r="AS210">
        <v>-0.55882352899999999</v>
      </c>
      <c r="AT210">
        <v>0</v>
      </c>
      <c r="AU210" t="s">
        <v>66</v>
      </c>
      <c r="AV210">
        <v>4</v>
      </c>
      <c r="AW210">
        <v>1</v>
      </c>
      <c r="AX210">
        <v>0</v>
      </c>
      <c r="AY210">
        <v>1</v>
      </c>
      <c r="AZ210">
        <v>1</v>
      </c>
      <c r="BA210">
        <v>1</v>
      </c>
      <c r="BB210" t="s">
        <v>66</v>
      </c>
      <c r="BC210">
        <v>23.5</v>
      </c>
      <c r="BD210">
        <v>37.1</v>
      </c>
      <c r="BE210">
        <v>57.872340430000001</v>
      </c>
      <c r="BF210">
        <v>0</v>
      </c>
      <c r="BG210">
        <v>25.97</v>
      </c>
      <c r="BH210">
        <v>10.5106383</v>
      </c>
      <c r="BI210">
        <v>72</v>
      </c>
      <c r="BJ210">
        <v>5.6</v>
      </c>
      <c r="BK210" t="s">
        <v>66</v>
      </c>
      <c r="BL210">
        <f>72-51</f>
        <v>21</v>
      </c>
      <c r="BM210">
        <v>13</v>
      </c>
      <c r="BN210">
        <v>6</v>
      </c>
      <c r="BO210">
        <f t="shared" si="37"/>
        <v>9.5</v>
      </c>
      <c r="BP210">
        <v>4</v>
      </c>
      <c r="BQ210">
        <v>1</v>
      </c>
      <c r="BS210">
        <v>0</v>
      </c>
      <c r="BT210">
        <f t="shared" si="38"/>
        <v>20.833333333333336</v>
      </c>
      <c r="BU210">
        <f t="shared" si="39"/>
        <v>10.714285714285708</v>
      </c>
      <c r="BV210">
        <f t="shared" si="40"/>
        <v>-23.809523809523807</v>
      </c>
      <c r="BW210">
        <f t="shared" si="41"/>
        <v>10.526315789473683</v>
      </c>
    </row>
    <row r="211" spans="1:75" x14ac:dyDescent="0.2">
      <c r="A211" t="s">
        <v>299</v>
      </c>
      <c r="B211" t="s">
        <v>321</v>
      </c>
      <c r="C211" t="s">
        <v>106</v>
      </c>
      <c r="D211" t="s">
        <v>63</v>
      </c>
      <c r="E211" t="s">
        <v>77</v>
      </c>
      <c r="F211" t="s">
        <v>328</v>
      </c>
      <c r="G211">
        <v>9.5</v>
      </c>
      <c r="H211">
        <v>15.55</v>
      </c>
      <c r="I211">
        <v>15</v>
      </c>
      <c r="J211">
        <v>4.0999999999999996</v>
      </c>
      <c r="K211">
        <v>44.15</v>
      </c>
      <c r="L211">
        <v>3.2157894740000001</v>
      </c>
      <c r="M211">
        <v>51</v>
      </c>
      <c r="N211">
        <v>52</v>
      </c>
      <c r="O211">
        <v>1</v>
      </c>
      <c r="P211">
        <v>51</v>
      </c>
      <c r="Q211">
        <v>0</v>
      </c>
      <c r="R211">
        <v>1E-3</v>
      </c>
      <c r="S211">
        <v>47.1</v>
      </c>
      <c r="T211">
        <v>0</v>
      </c>
      <c r="U211">
        <v>-1.923076923</v>
      </c>
      <c r="V211">
        <v>5</v>
      </c>
      <c r="W211">
        <v>4</v>
      </c>
      <c r="X211">
        <v>7</v>
      </c>
      <c r="Y211">
        <v>2</v>
      </c>
      <c r="Z211">
        <v>40</v>
      </c>
      <c r="AA211" t="s">
        <v>66</v>
      </c>
      <c r="AB211" t="s">
        <v>66</v>
      </c>
      <c r="AC211" t="s">
        <v>66</v>
      </c>
      <c r="AD211" t="s">
        <v>66</v>
      </c>
      <c r="AE211">
        <v>23</v>
      </c>
      <c r="AF211">
        <v>20</v>
      </c>
      <c r="AG211" t="s">
        <v>66</v>
      </c>
      <c r="AH211">
        <v>9</v>
      </c>
      <c r="AI211">
        <v>14</v>
      </c>
      <c r="AJ211" t="s">
        <v>66</v>
      </c>
      <c r="AK211">
        <v>7</v>
      </c>
      <c r="AL211">
        <v>10</v>
      </c>
      <c r="AM211">
        <v>8</v>
      </c>
      <c r="AN211">
        <v>12</v>
      </c>
      <c r="AO211">
        <v>50</v>
      </c>
      <c r="AP211">
        <v>-13.043478260000001</v>
      </c>
      <c r="AQ211">
        <v>2.875</v>
      </c>
      <c r="AR211">
        <v>1.6666666670000001</v>
      </c>
      <c r="AS211">
        <v>-1.2083333329999999</v>
      </c>
      <c r="AT211">
        <v>0</v>
      </c>
      <c r="AU211" t="s">
        <v>66</v>
      </c>
      <c r="AV211">
        <v>2</v>
      </c>
      <c r="AW211">
        <v>2</v>
      </c>
      <c r="AX211">
        <v>0</v>
      </c>
      <c r="AY211">
        <v>1</v>
      </c>
      <c r="AZ211">
        <v>1</v>
      </c>
      <c r="BA211">
        <v>1</v>
      </c>
      <c r="BB211" t="s">
        <v>66</v>
      </c>
      <c r="BC211">
        <v>21.5</v>
      </c>
      <c r="BD211">
        <v>37.4</v>
      </c>
      <c r="BE211">
        <v>73.953488370000002</v>
      </c>
      <c r="BF211">
        <v>0</v>
      </c>
      <c r="BG211">
        <v>26.18</v>
      </c>
      <c r="BH211">
        <v>21.767441860000002</v>
      </c>
      <c r="BI211">
        <v>52</v>
      </c>
      <c r="BJ211">
        <v>6.3</v>
      </c>
      <c r="BK211" t="s">
        <v>66</v>
      </c>
      <c r="BL211">
        <f>52-33</f>
        <v>19</v>
      </c>
      <c r="BM211">
        <v>9</v>
      </c>
      <c r="BN211">
        <v>5</v>
      </c>
      <c r="BO211">
        <f t="shared" si="37"/>
        <v>7</v>
      </c>
      <c r="BP211">
        <v>4</v>
      </c>
      <c r="BQ211">
        <v>1</v>
      </c>
      <c r="BS211">
        <v>0</v>
      </c>
      <c r="BT211">
        <f t="shared" si="38"/>
        <v>1.9230769230769231</v>
      </c>
      <c r="BU211">
        <f t="shared" si="39"/>
        <v>20.634920634920633</v>
      </c>
      <c r="BV211">
        <f t="shared" si="40"/>
        <v>-21.052631578947366</v>
      </c>
      <c r="BW211">
        <f t="shared" si="41"/>
        <v>-14.285714285714285</v>
      </c>
    </row>
    <row r="212" spans="1:75" x14ac:dyDescent="0.2">
      <c r="A212" t="s">
        <v>299</v>
      </c>
      <c r="B212" t="s">
        <v>321</v>
      </c>
      <c r="C212" t="s">
        <v>106</v>
      </c>
      <c r="D212" t="s">
        <v>63</v>
      </c>
      <c r="E212" t="s">
        <v>79</v>
      </c>
      <c r="F212" t="s">
        <v>329</v>
      </c>
      <c r="G212">
        <v>9.5</v>
      </c>
      <c r="H212">
        <v>15.55</v>
      </c>
      <c r="I212">
        <v>15</v>
      </c>
      <c r="J212">
        <v>4.0999999999999996</v>
      </c>
      <c r="K212">
        <v>44.15</v>
      </c>
      <c r="L212">
        <v>3.2157894740000001</v>
      </c>
      <c r="M212">
        <v>62</v>
      </c>
      <c r="N212">
        <v>58</v>
      </c>
      <c r="O212">
        <v>-4</v>
      </c>
      <c r="P212">
        <v>59</v>
      </c>
      <c r="Q212">
        <v>-3</v>
      </c>
      <c r="R212">
        <v>-1.5</v>
      </c>
      <c r="S212">
        <v>44.1</v>
      </c>
      <c r="T212">
        <v>-4.8387096769999998</v>
      </c>
      <c r="U212">
        <v>1.724137931</v>
      </c>
      <c r="V212">
        <v>4</v>
      </c>
      <c r="W212">
        <v>4</v>
      </c>
      <c r="X212">
        <v>7</v>
      </c>
      <c r="Y212">
        <v>3</v>
      </c>
      <c r="Z212">
        <v>75</v>
      </c>
      <c r="AA212" t="s">
        <v>66</v>
      </c>
      <c r="AB212" t="s">
        <v>66</v>
      </c>
      <c r="AC212" t="s">
        <v>66</v>
      </c>
      <c r="AD212" t="s">
        <v>66</v>
      </c>
      <c r="AE212">
        <v>17</v>
      </c>
      <c r="AF212">
        <v>23</v>
      </c>
      <c r="AG212" t="s">
        <v>66</v>
      </c>
      <c r="AH212">
        <v>11</v>
      </c>
      <c r="AI212">
        <v>10</v>
      </c>
      <c r="AJ212" t="s">
        <v>66</v>
      </c>
      <c r="AK212">
        <v>9</v>
      </c>
      <c r="AL212">
        <v>9</v>
      </c>
      <c r="AM212">
        <v>10</v>
      </c>
      <c r="AN212">
        <v>9.5</v>
      </c>
      <c r="AO212">
        <v>-5</v>
      </c>
      <c r="AP212">
        <v>35.294117649999997</v>
      </c>
      <c r="AQ212">
        <v>1.7</v>
      </c>
      <c r="AR212">
        <v>2.4210526319999999</v>
      </c>
      <c r="AS212">
        <v>0.72105263200000003</v>
      </c>
      <c r="AT212">
        <v>0</v>
      </c>
      <c r="AU212" t="s">
        <v>66</v>
      </c>
      <c r="AV212">
        <v>1</v>
      </c>
      <c r="AW212">
        <v>1</v>
      </c>
      <c r="AX212">
        <v>0</v>
      </c>
      <c r="AY212">
        <v>1</v>
      </c>
      <c r="AZ212">
        <v>1</v>
      </c>
      <c r="BA212">
        <v>1</v>
      </c>
      <c r="BB212" t="s">
        <v>66</v>
      </c>
      <c r="BC212">
        <v>25.1</v>
      </c>
      <c r="BD212">
        <v>37.200000000000003</v>
      </c>
      <c r="BE212">
        <v>48.20717131</v>
      </c>
      <c r="BF212">
        <v>0</v>
      </c>
      <c r="BG212">
        <v>26.04</v>
      </c>
      <c r="BH212">
        <v>3.7450199199999998</v>
      </c>
      <c r="BI212">
        <v>54</v>
      </c>
      <c r="BJ212">
        <v>6.2</v>
      </c>
      <c r="BK212" t="s">
        <v>66</v>
      </c>
      <c r="BL212">
        <v>12</v>
      </c>
      <c r="BM212">
        <v>12</v>
      </c>
      <c r="BN212">
        <v>7</v>
      </c>
      <c r="BO212">
        <f t="shared" si="37"/>
        <v>9.5</v>
      </c>
      <c r="BP212">
        <v>4</v>
      </c>
      <c r="BQ212">
        <v>1</v>
      </c>
      <c r="BS212">
        <v>0</v>
      </c>
      <c r="BT212">
        <f t="shared" si="38"/>
        <v>-14.814814814814813</v>
      </c>
      <c r="BU212">
        <f t="shared" si="39"/>
        <v>35.483870967741936</v>
      </c>
      <c r="BV212">
        <f t="shared" si="40"/>
        <v>-41.666666666666671</v>
      </c>
      <c r="BW212">
        <f t="shared" si="41"/>
        <v>-5.2631578947368416</v>
      </c>
    </row>
    <row r="213" spans="1:75" x14ac:dyDescent="0.2">
      <c r="A213" t="s">
        <v>299</v>
      </c>
      <c r="B213" t="s">
        <v>321</v>
      </c>
      <c r="C213" t="s">
        <v>106</v>
      </c>
      <c r="D213" t="s">
        <v>63</v>
      </c>
      <c r="E213" t="s">
        <v>81</v>
      </c>
      <c r="F213" t="s">
        <v>330</v>
      </c>
      <c r="G213">
        <v>9.5</v>
      </c>
      <c r="H213">
        <v>15.55</v>
      </c>
      <c r="I213">
        <v>15</v>
      </c>
      <c r="J213">
        <v>4.0999999999999996</v>
      </c>
      <c r="K213">
        <v>44.15</v>
      </c>
      <c r="L213">
        <v>3.2157894740000001</v>
      </c>
      <c r="M213">
        <v>41</v>
      </c>
      <c r="N213">
        <v>44</v>
      </c>
      <c r="O213">
        <v>3</v>
      </c>
      <c r="P213">
        <v>39</v>
      </c>
      <c r="Q213">
        <v>-2</v>
      </c>
      <c r="R213">
        <v>-1</v>
      </c>
      <c r="S213">
        <v>45.1</v>
      </c>
      <c r="T213">
        <v>-4.8780487800000003</v>
      </c>
      <c r="U213">
        <v>-11.363636359999999</v>
      </c>
      <c r="V213">
        <v>5</v>
      </c>
      <c r="W213">
        <v>4</v>
      </c>
      <c r="X213">
        <v>5</v>
      </c>
      <c r="Y213">
        <v>0</v>
      </c>
      <c r="Z213">
        <v>0</v>
      </c>
      <c r="AA213" t="s">
        <v>66</v>
      </c>
      <c r="AB213" t="s">
        <v>66</v>
      </c>
      <c r="AC213" t="s">
        <v>66</v>
      </c>
      <c r="AD213" t="s">
        <v>66</v>
      </c>
      <c r="AE213">
        <v>26</v>
      </c>
      <c r="AF213">
        <v>26</v>
      </c>
      <c r="AG213" t="s">
        <v>66</v>
      </c>
      <c r="AH213">
        <v>14</v>
      </c>
      <c r="AI213">
        <v>13</v>
      </c>
      <c r="AJ213" t="s">
        <v>66</v>
      </c>
      <c r="AK213">
        <v>9</v>
      </c>
      <c r="AL213">
        <v>8</v>
      </c>
      <c r="AM213">
        <v>11.5</v>
      </c>
      <c r="AN213">
        <v>10.5</v>
      </c>
      <c r="AO213">
        <v>-8.6956521739999992</v>
      </c>
      <c r="AP213">
        <v>0</v>
      </c>
      <c r="AQ213">
        <v>2.2608695650000001</v>
      </c>
      <c r="AR213">
        <v>2.4761904760000002</v>
      </c>
      <c r="AS213">
        <v>0.215320911</v>
      </c>
      <c r="AT213">
        <v>0</v>
      </c>
      <c r="AU213" t="s">
        <v>66</v>
      </c>
      <c r="AV213">
        <v>4</v>
      </c>
      <c r="AW213">
        <v>3</v>
      </c>
      <c r="AX213">
        <v>0</v>
      </c>
      <c r="AY213">
        <v>1</v>
      </c>
      <c r="AZ213">
        <v>1</v>
      </c>
      <c r="BA213">
        <v>1</v>
      </c>
      <c r="BB213" t="s">
        <v>66</v>
      </c>
      <c r="BC213">
        <v>25.2</v>
      </c>
      <c r="BD213">
        <v>28.5</v>
      </c>
      <c r="BE213">
        <v>13.0952381</v>
      </c>
      <c r="BF213">
        <v>0</v>
      </c>
      <c r="BG213">
        <v>19.95</v>
      </c>
      <c r="BH213">
        <v>-20.833333329999999</v>
      </c>
      <c r="BI213">
        <v>43</v>
      </c>
      <c r="BJ213">
        <v>4.2</v>
      </c>
      <c r="BK213" t="s">
        <v>66</v>
      </c>
      <c r="BL213">
        <v>20</v>
      </c>
      <c r="BM213">
        <v>7</v>
      </c>
      <c r="BN213">
        <v>5</v>
      </c>
      <c r="BO213">
        <f t="shared" si="37"/>
        <v>6</v>
      </c>
      <c r="BP213">
        <v>3</v>
      </c>
      <c r="BQ213">
        <v>1</v>
      </c>
      <c r="BS213">
        <v>0</v>
      </c>
      <c r="BT213">
        <f t="shared" si="38"/>
        <v>4.6511627906976747</v>
      </c>
      <c r="BU213">
        <f t="shared" si="39"/>
        <v>-19.047619047619044</v>
      </c>
      <c r="BV213">
        <f t="shared" si="40"/>
        <v>-30</v>
      </c>
      <c r="BW213">
        <f t="shared" si="41"/>
        <v>-91.666666666666657</v>
      </c>
    </row>
    <row r="214" spans="1:75" x14ac:dyDescent="0.2">
      <c r="A214" t="s">
        <v>299</v>
      </c>
      <c r="B214" t="s">
        <v>321</v>
      </c>
      <c r="C214" t="s">
        <v>106</v>
      </c>
      <c r="D214" t="s">
        <v>63</v>
      </c>
      <c r="E214" t="s">
        <v>83</v>
      </c>
      <c r="F214" t="s">
        <v>331</v>
      </c>
      <c r="G214">
        <v>9.5</v>
      </c>
      <c r="H214">
        <v>15.55</v>
      </c>
      <c r="I214">
        <v>15</v>
      </c>
      <c r="J214">
        <v>4.0999999999999996</v>
      </c>
      <c r="K214">
        <v>44.15</v>
      </c>
      <c r="L214">
        <v>3.2157894740000001</v>
      </c>
      <c r="M214">
        <v>40</v>
      </c>
      <c r="N214">
        <v>50</v>
      </c>
      <c r="O214">
        <v>10</v>
      </c>
      <c r="P214">
        <v>52</v>
      </c>
      <c r="Q214">
        <v>12</v>
      </c>
      <c r="R214">
        <v>6</v>
      </c>
      <c r="S214">
        <v>59.1</v>
      </c>
      <c r="T214">
        <v>30</v>
      </c>
      <c r="U214">
        <v>4</v>
      </c>
      <c r="V214">
        <v>4</v>
      </c>
      <c r="W214">
        <v>4</v>
      </c>
      <c r="X214">
        <v>5</v>
      </c>
      <c r="Y214">
        <v>1</v>
      </c>
      <c r="Z214">
        <v>25</v>
      </c>
      <c r="AA214" t="s">
        <v>66</v>
      </c>
      <c r="AB214" t="s">
        <v>66</v>
      </c>
      <c r="AC214" t="s">
        <v>66</v>
      </c>
      <c r="AD214" t="s">
        <v>66</v>
      </c>
      <c r="AE214">
        <v>30</v>
      </c>
      <c r="AF214">
        <v>35</v>
      </c>
      <c r="AG214" t="s">
        <v>66</v>
      </c>
      <c r="AH214">
        <v>10</v>
      </c>
      <c r="AI214">
        <v>15</v>
      </c>
      <c r="AJ214" t="s">
        <v>66</v>
      </c>
      <c r="AK214">
        <v>10</v>
      </c>
      <c r="AL214">
        <v>8</v>
      </c>
      <c r="AM214">
        <v>10</v>
      </c>
      <c r="AN214">
        <v>11.5</v>
      </c>
      <c r="AO214">
        <v>15</v>
      </c>
      <c r="AP214">
        <v>16.666666670000001</v>
      </c>
      <c r="AQ214">
        <v>3</v>
      </c>
      <c r="AR214">
        <v>3.0434782610000002</v>
      </c>
      <c r="AS214">
        <v>4.3478260999999997E-2</v>
      </c>
      <c r="AT214">
        <v>0</v>
      </c>
      <c r="AU214" t="s">
        <v>66</v>
      </c>
      <c r="AV214">
        <v>3</v>
      </c>
      <c r="AW214">
        <v>2</v>
      </c>
      <c r="AX214">
        <v>0</v>
      </c>
      <c r="AY214">
        <v>1</v>
      </c>
      <c r="AZ214">
        <v>1</v>
      </c>
      <c r="BA214">
        <v>1</v>
      </c>
      <c r="BB214" t="s">
        <v>66</v>
      </c>
      <c r="BC214">
        <v>24.8</v>
      </c>
      <c r="BD214">
        <v>27.5</v>
      </c>
      <c r="BE214">
        <v>10.887096769999999</v>
      </c>
      <c r="BF214">
        <v>0</v>
      </c>
      <c r="BG214">
        <v>19.25</v>
      </c>
      <c r="BH214">
        <v>-22.379032259999999</v>
      </c>
      <c r="BI214">
        <v>57</v>
      </c>
      <c r="BJ214">
        <v>5</v>
      </c>
      <c r="BK214" t="s">
        <v>66</v>
      </c>
      <c r="BL214">
        <v>17</v>
      </c>
      <c r="BM214">
        <v>19</v>
      </c>
      <c r="BN214">
        <v>8</v>
      </c>
      <c r="BO214">
        <f t="shared" si="37"/>
        <v>13.5</v>
      </c>
      <c r="BP214">
        <v>3</v>
      </c>
      <c r="BQ214">
        <v>1</v>
      </c>
      <c r="BS214">
        <v>0</v>
      </c>
      <c r="BT214">
        <f t="shared" si="38"/>
        <v>29.82456140350877</v>
      </c>
      <c r="BU214">
        <f t="shared" si="39"/>
        <v>20</v>
      </c>
      <c r="BV214">
        <f t="shared" si="40"/>
        <v>-76.470588235294116</v>
      </c>
      <c r="BW214">
        <f t="shared" si="41"/>
        <v>25.925925925925924</v>
      </c>
    </row>
    <row r="215" spans="1:75" x14ac:dyDescent="0.2">
      <c r="A215" t="s">
        <v>299</v>
      </c>
      <c r="B215" t="s">
        <v>321</v>
      </c>
      <c r="C215" t="s">
        <v>106</v>
      </c>
      <c r="D215" t="s">
        <v>63</v>
      </c>
      <c r="E215" t="s">
        <v>85</v>
      </c>
      <c r="F215" t="s">
        <v>332</v>
      </c>
      <c r="G215">
        <v>9.5</v>
      </c>
      <c r="H215">
        <v>15.55</v>
      </c>
      <c r="I215">
        <v>15</v>
      </c>
      <c r="J215">
        <v>4.0999999999999996</v>
      </c>
      <c r="K215">
        <v>44.15</v>
      </c>
      <c r="L215">
        <v>3.2157894740000001</v>
      </c>
      <c r="M215">
        <v>70</v>
      </c>
      <c r="N215">
        <v>76</v>
      </c>
      <c r="O215">
        <v>6</v>
      </c>
      <c r="P215">
        <v>84</v>
      </c>
      <c r="Q215">
        <v>14</v>
      </c>
      <c r="R215">
        <v>7</v>
      </c>
      <c r="S215">
        <v>61.1</v>
      </c>
      <c r="T215">
        <v>20</v>
      </c>
      <c r="U215">
        <v>10.52631579</v>
      </c>
      <c r="V215">
        <v>4</v>
      </c>
      <c r="W215">
        <v>5</v>
      </c>
      <c r="X215">
        <v>6</v>
      </c>
      <c r="Y215">
        <v>2</v>
      </c>
      <c r="Z215">
        <v>50</v>
      </c>
      <c r="AA215" t="s">
        <v>66</v>
      </c>
      <c r="AB215" t="s">
        <v>66</v>
      </c>
      <c r="AC215" t="s">
        <v>66</v>
      </c>
      <c r="AD215" t="s">
        <v>66</v>
      </c>
      <c r="AE215">
        <v>35</v>
      </c>
      <c r="AF215">
        <v>41</v>
      </c>
      <c r="AG215" t="s">
        <v>66</v>
      </c>
      <c r="AH215">
        <v>13</v>
      </c>
      <c r="AI215">
        <v>14</v>
      </c>
      <c r="AJ215" t="s">
        <v>66</v>
      </c>
      <c r="AK215">
        <v>10</v>
      </c>
      <c r="AL215">
        <v>12</v>
      </c>
      <c r="AM215">
        <v>11.5</v>
      </c>
      <c r="AN215">
        <v>13</v>
      </c>
      <c r="AO215">
        <v>13.043478260000001</v>
      </c>
      <c r="AP215">
        <v>17.14285714</v>
      </c>
      <c r="AQ215">
        <v>3.0434782610000002</v>
      </c>
      <c r="AR215">
        <v>3.153846154</v>
      </c>
      <c r="AS215">
        <v>0.11036789299999999</v>
      </c>
      <c r="AT215">
        <v>0</v>
      </c>
      <c r="AU215" t="s">
        <v>66</v>
      </c>
      <c r="AV215">
        <v>4</v>
      </c>
      <c r="AW215">
        <v>2</v>
      </c>
      <c r="AX215">
        <v>0</v>
      </c>
      <c r="AY215">
        <v>1</v>
      </c>
      <c r="AZ215">
        <v>1</v>
      </c>
      <c r="BA215">
        <v>1</v>
      </c>
      <c r="BB215" t="s">
        <v>66</v>
      </c>
      <c r="BC215">
        <v>29.4</v>
      </c>
      <c r="BD215">
        <v>36.700000000000003</v>
      </c>
      <c r="BE215">
        <v>24.829931970000001</v>
      </c>
      <c r="BF215">
        <v>0</v>
      </c>
      <c r="BG215">
        <v>25.69</v>
      </c>
      <c r="BH215">
        <v>-12.61904762</v>
      </c>
      <c r="BI215">
        <v>93</v>
      </c>
      <c r="BJ215">
        <v>6.3</v>
      </c>
      <c r="BK215" t="s">
        <v>66</v>
      </c>
      <c r="BL215">
        <f>93-59</f>
        <v>34</v>
      </c>
      <c r="BM215">
        <v>18</v>
      </c>
      <c r="BN215">
        <v>8</v>
      </c>
      <c r="BO215">
        <f t="shared" si="37"/>
        <v>13</v>
      </c>
      <c r="BP215">
        <v>4</v>
      </c>
      <c r="BQ215">
        <v>1</v>
      </c>
      <c r="BS215">
        <v>0</v>
      </c>
      <c r="BT215">
        <f t="shared" si="38"/>
        <v>24.731182795698924</v>
      </c>
      <c r="BU215">
        <f t="shared" si="39"/>
        <v>36.507936507936506</v>
      </c>
      <c r="BV215">
        <f t="shared" si="40"/>
        <v>-2.9411764705882351</v>
      </c>
      <c r="BW215">
        <f t="shared" si="41"/>
        <v>11.538461538461538</v>
      </c>
    </row>
    <row r="216" spans="1:75" x14ac:dyDescent="0.2">
      <c r="A216" t="s">
        <v>299</v>
      </c>
      <c r="B216" t="s">
        <v>321</v>
      </c>
      <c r="C216" t="s">
        <v>106</v>
      </c>
      <c r="D216" t="s">
        <v>63</v>
      </c>
      <c r="E216" t="s">
        <v>87</v>
      </c>
      <c r="F216" t="s">
        <v>333</v>
      </c>
      <c r="G216">
        <v>9.5</v>
      </c>
      <c r="H216">
        <v>15.55</v>
      </c>
      <c r="I216">
        <v>15</v>
      </c>
      <c r="J216">
        <v>4.0999999999999996</v>
      </c>
      <c r="K216">
        <v>44.15</v>
      </c>
      <c r="L216">
        <v>3.2157894740000001</v>
      </c>
      <c r="M216">
        <v>80</v>
      </c>
      <c r="N216">
        <v>81</v>
      </c>
      <c r="O216">
        <v>1</v>
      </c>
      <c r="P216">
        <v>79</v>
      </c>
      <c r="Q216">
        <v>-1</v>
      </c>
      <c r="R216">
        <v>-0.5</v>
      </c>
      <c r="S216">
        <v>46.1</v>
      </c>
      <c r="T216">
        <v>-1.25</v>
      </c>
      <c r="U216">
        <v>-2.4691358019999998</v>
      </c>
      <c r="V216">
        <v>5</v>
      </c>
      <c r="W216">
        <v>6</v>
      </c>
      <c r="X216">
        <v>6</v>
      </c>
      <c r="Y216">
        <v>1</v>
      </c>
      <c r="Z216">
        <v>20</v>
      </c>
      <c r="AA216" t="s">
        <v>66</v>
      </c>
      <c r="AB216" t="s">
        <v>66</v>
      </c>
      <c r="AC216" t="s">
        <v>66</v>
      </c>
      <c r="AD216" t="s">
        <v>66</v>
      </c>
      <c r="AE216">
        <v>22</v>
      </c>
      <c r="AF216">
        <v>18</v>
      </c>
      <c r="AG216" t="s">
        <v>66</v>
      </c>
      <c r="AH216">
        <v>17</v>
      </c>
      <c r="AI216">
        <v>13</v>
      </c>
      <c r="AJ216" t="s">
        <v>66</v>
      </c>
      <c r="AK216">
        <v>9</v>
      </c>
      <c r="AL216">
        <v>8</v>
      </c>
      <c r="AM216">
        <v>13</v>
      </c>
      <c r="AN216">
        <v>10.5</v>
      </c>
      <c r="AO216">
        <v>-19.23076923</v>
      </c>
      <c r="AP216">
        <v>-18.18181818</v>
      </c>
      <c r="AQ216">
        <v>1.692307692</v>
      </c>
      <c r="AR216">
        <v>1.7142857140000001</v>
      </c>
      <c r="AS216">
        <v>2.1978022E-2</v>
      </c>
      <c r="AT216">
        <v>0</v>
      </c>
      <c r="AU216" t="s">
        <v>66</v>
      </c>
      <c r="AV216">
        <v>2</v>
      </c>
      <c r="AW216">
        <v>0</v>
      </c>
      <c r="AX216">
        <v>0</v>
      </c>
      <c r="AY216">
        <v>1</v>
      </c>
      <c r="AZ216">
        <v>1</v>
      </c>
      <c r="BA216">
        <v>1</v>
      </c>
      <c r="BB216" t="s">
        <v>66</v>
      </c>
      <c r="BC216">
        <v>22.7</v>
      </c>
      <c r="BD216">
        <v>31.5</v>
      </c>
      <c r="BE216">
        <v>38.766519819999999</v>
      </c>
      <c r="BF216">
        <v>0</v>
      </c>
      <c r="BG216">
        <v>22.05</v>
      </c>
      <c r="BH216">
        <v>-2.8634361230000001</v>
      </c>
      <c r="BI216">
        <v>94</v>
      </c>
      <c r="BJ216">
        <v>7</v>
      </c>
      <c r="BK216" t="s">
        <v>66</v>
      </c>
      <c r="BL216">
        <v>40</v>
      </c>
      <c r="BM216">
        <v>25</v>
      </c>
      <c r="BN216">
        <v>16</v>
      </c>
      <c r="BO216">
        <f t="shared" si="37"/>
        <v>20.5</v>
      </c>
      <c r="BP216">
        <v>3</v>
      </c>
      <c r="BQ216">
        <v>1</v>
      </c>
      <c r="BS216">
        <v>0</v>
      </c>
      <c r="BT216">
        <f t="shared" si="38"/>
        <v>14.893617021276595</v>
      </c>
      <c r="BU216">
        <f t="shared" si="39"/>
        <v>28.571428571428569</v>
      </c>
      <c r="BV216">
        <f t="shared" si="40"/>
        <v>45</v>
      </c>
      <c r="BW216">
        <f t="shared" si="41"/>
        <v>36.585365853658537</v>
      </c>
    </row>
    <row r="217" spans="1:75" x14ac:dyDescent="0.2">
      <c r="A217" t="s">
        <v>299</v>
      </c>
      <c r="B217" t="s">
        <v>321</v>
      </c>
      <c r="C217" t="s">
        <v>106</v>
      </c>
      <c r="D217" t="s">
        <v>63</v>
      </c>
      <c r="E217" t="s">
        <v>89</v>
      </c>
      <c r="F217" t="s">
        <v>334</v>
      </c>
      <c r="G217">
        <v>9.5</v>
      </c>
      <c r="H217">
        <v>15.55</v>
      </c>
      <c r="I217">
        <v>15</v>
      </c>
      <c r="J217">
        <v>4.0999999999999996</v>
      </c>
      <c r="K217">
        <v>44.15</v>
      </c>
      <c r="L217">
        <v>3.2157894740000001</v>
      </c>
      <c r="M217">
        <v>43</v>
      </c>
      <c r="N217">
        <v>45</v>
      </c>
      <c r="O217">
        <v>2</v>
      </c>
      <c r="P217">
        <v>44</v>
      </c>
      <c r="Q217">
        <v>1</v>
      </c>
      <c r="R217">
        <v>0.5</v>
      </c>
      <c r="S217">
        <v>48.1</v>
      </c>
      <c r="T217">
        <v>2.3255813949999999</v>
      </c>
      <c r="U217">
        <v>-2.2222222220000001</v>
      </c>
      <c r="V217">
        <v>4</v>
      </c>
      <c r="W217">
        <v>4</v>
      </c>
      <c r="X217">
        <v>4</v>
      </c>
      <c r="Y217">
        <v>0</v>
      </c>
      <c r="Z217">
        <v>0</v>
      </c>
      <c r="AA217" t="s">
        <v>66</v>
      </c>
      <c r="AB217" t="s">
        <v>66</v>
      </c>
      <c r="AC217" t="s">
        <v>66</v>
      </c>
      <c r="AD217" t="s">
        <v>66</v>
      </c>
      <c r="AE217">
        <v>22</v>
      </c>
      <c r="AF217">
        <v>23</v>
      </c>
      <c r="AG217" t="s">
        <v>66</v>
      </c>
      <c r="AH217">
        <v>14</v>
      </c>
      <c r="AI217">
        <v>17</v>
      </c>
      <c r="AJ217" t="s">
        <v>66</v>
      </c>
      <c r="AK217">
        <v>8</v>
      </c>
      <c r="AL217">
        <v>11</v>
      </c>
      <c r="AM217">
        <v>11</v>
      </c>
      <c r="AN217">
        <v>14</v>
      </c>
      <c r="AO217">
        <v>27.272727270000001</v>
      </c>
      <c r="AP217">
        <v>4.5454545450000001</v>
      </c>
      <c r="AQ217">
        <v>2</v>
      </c>
      <c r="AR217">
        <v>1.6428571430000001</v>
      </c>
      <c r="AS217">
        <v>-0.35714285699999998</v>
      </c>
      <c r="AT217">
        <v>0</v>
      </c>
      <c r="AU217" t="s">
        <v>66</v>
      </c>
      <c r="AV217">
        <v>3</v>
      </c>
      <c r="AW217">
        <v>2</v>
      </c>
      <c r="AX217">
        <v>0</v>
      </c>
      <c r="AY217">
        <v>1</v>
      </c>
      <c r="AZ217">
        <v>1</v>
      </c>
      <c r="BA217">
        <v>1</v>
      </c>
      <c r="BB217" t="s">
        <v>66</v>
      </c>
      <c r="BC217">
        <v>26.3</v>
      </c>
      <c r="BD217">
        <v>37.200000000000003</v>
      </c>
      <c r="BE217">
        <v>41.444866920000003</v>
      </c>
      <c r="BF217">
        <v>0</v>
      </c>
      <c r="BG217">
        <v>26.04</v>
      </c>
      <c r="BH217">
        <v>-0.98859315599999997</v>
      </c>
      <c r="BI217">
        <v>44</v>
      </c>
      <c r="BJ217">
        <v>5.4</v>
      </c>
      <c r="BK217" t="s">
        <v>66</v>
      </c>
      <c r="BL217">
        <v>9</v>
      </c>
      <c r="BM217">
        <v>20</v>
      </c>
      <c r="BN217">
        <v>14</v>
      </c>
      <c r="BO217">
        <f t="shared" si="37"/>
        <v>17</v>
      </c>
      <c r="BP217">
        <v>4</v>
      </c>
      <c r="BQ217">
        <v>1</v>
      </c>
      <c r="BS217">
        <v>0</v>
      </c>
      <c r="BT217">
        <f t="shared" si="38"/>
        <v>2.2727272727272729</v>
      </c>
      <c r="BU217">
        <f t="shared" si="39"/>
        <v>25.925925925925931</v>
      </c>
      <c r="BV217">
        <f t="shared" si="40"/>
        <v>-144.44444444444443</v>
      </c>
      <c r="BW217">
        <f t="shared" si="41"/>
        <v>35.294117647058826</v>
      </c>
    </row>
    <row r="218" spans="1:75" x14ac:dyDescent="0.2">
      <c r="A218" t="s">
        <v>299</v>
      </c>
      <c r="B218" t="s">
        <v>321</v>
      </c>
      <c r="C218" t="s">
        <v>106</v>
      </c>
      <c r="D218" t="s">
        <v>63</v>
      </c>
      <c r="E218" t="s">
        <v>91</v>
      </c>
      <c r="F218" t="s">
        <v>335</v>
      </c>
      <c r="G218">
        <v>9.5</v>
      </c>
      <c r="H218">
        <v>15.55</v>
      </c>
      <c r="I218">
        <v>15</v>
      </c>
      <c r="J218">
        <v>4.0999999999999996</v>
      </c>
      <c r="K218">
        <v>44.15</v>
      </c>
      <c r="L218">
        <v>3.2157894740000001</v>
      </c>
      <c r="M218">
        <v>69</v>
      </c>
      <c r="N218">
        <v>82</v>
      </c>
      <c r="O218">
        <v>13</v>
      </c>
      <c r="P218">
        <v>69</v>
      </c>
      <c r="Q218">
        <v>0</v>
      </c>
      <c r="R218">
        <v>1E-3</v>
      </c>
      <c r="S218">
        <v>47.1</v>
      </c>
      <c r="T218">
        <v>0</v>
      </c>
      <c r="U218">
        <v>-15.85365854</v>
      </c>
      <c r="V218">
        <v>7</v>
      </c>
      <c r="W218">
        <v>7</v>
      </c>
      <c r="X218">
        <v>7</v>
      </c>
      <c r="Y218">
        <v>0</v>
      </c>
      <c r="Z218">
        <v>0</v>
      </c>
      <c r="AA218" t="s">
        <v>66</v>
      </c>
      <c r="AB218" t="s">
        <v>66</v>
      </c>
      <c r="AC218" t="s">
        <v>66</v>
      </c>
      <c r="AD218" t="s">
        <v>66</v>
      </c>
      <c r="AE218">
        <v>39</v>
      </c>
      <c r="AF218">
        <v>22</v>
      </c>
      <c r="AG218" t="s">
        <v>66</v>
      </c>
      <c r="AH218">
        <v>18</v>
      </c>
      <c r="AI218">
        <v>45</v>
      </c>
      <c r="AJ218" t="s">
        <v>66</v>
      </c>
      <c r="AK218">
        <v>17</v>
      </c>
      <c r="AL218">
        <v>10</v>
      </c>
      <c r="AM218">
        <v>17.5</v>
      </c>
      <c r="AN218">
        <v>27.5</v>
      </c>
      <c r="AO218">
        <v>57.142857139999997</v>
      </c>
      <c r="AP218">
        <v>-43.589743589999998</v>
      </c>
      <c r="AQ218">
        <v>2.228571429</v>
      </c>
      <c r="AR218">
        <v>0.8</v>
      </c>
      <c r="AS218">
        <v>-1.428571429</v>
      </c>
      <c r="AT218">
        <v>0</v>
      </c>
      <c r="AU218" t="s">
        <v>66</v>
      </c>
      <c r="AV218">
        <v>2</v>
      </c>
      <c r="AW218">
        <v>3</v>
      </c>
      <c r="AX218">
        <v>0</v>
      </c>
      <c r="AY218">
        <v>1</v>
      </c>
      <c r="AZ218">
        <v>1</v>
      </c>
      <c r="BA218">
        <v>1</v>
      </c>
      <c r="BB218" t="s">
        <v>66</v>
      </c>
      <c r="BC218">
        <v>31.6</v>
      </c>
      <c r="BD218">
        <v>50.9</v>
      </c>
      <c r="BE218">
        <v>61.075949369999996</v>
      </c>
      <c r="BF218">
        <v>0</v>
      </c>
      <c r="BG218">
        <v>35.630000000000003</v>
      </c>
      <c r="BH218">
        <v>12.75316456</v>
      </c>
      <c r="BI218">
        <v>74</v>
      </c>
      <c r="BJ218">
        <v>6.8</v>
      </c>
      <c r="BK218" t="s">
        <v>66</v>
      </c>
      <c r="BL218">
        <v>44</v>
      </c>
      <c r="BM218">
        <v>23</v>
      </c>
      <c r="BN218">
        <v>10</v>
      </c>
      <c r="BO218">
        <f t="shared" si="37"/>
        <v>16.5</v>
      </c>
      <c r="BP218">
        <v>2</v>
      </c>
      <c r="BQ218">
        <v>1</v>
      </c>
      <c r="BS218">
        <v>0</v>
      </c>
      <c r="BT218">
        <f t="shared" si="38"/>
        <v>6.756756756756757</v>
      </c>
      <c r="BU218">
        <f t="shared" si="39"/>
        <v>-2.9411764705882382</v>
      </c>
      <c r="BV218">
        <f t="shared" si="40"/>
        <v>11.363636363636363</v>
      </c>
      <c r="BW218">
        <f t="shared" si="41"/>
        <v>-6.0606060606060606</v>
      </c>
    </row>
    <row r="219" spans="1:75" x14ac:dyDescent="0.2">
      <c r="A219" t="s">
        <v>299</v>
      </c>
      <c r="B219" t="s">
        <v>321</v>
      </c>
      <c r="C219" t="s">
        <v>106</v>
      </c>
      <c r="D219" t="s">
        <v>63</v>
      </c>
      <c r="E219" t="s">
        <v>93</v>
      </c>
      <c r="F219" t="s">
        <v>336</v>
      </c>
      <c r="G219">
        <v>9.5</v>
      </c>
      <c r="H219">
        <v>15.55</v>
      </c>
      <c r="I219">
        <v>15</v>
      </c>
      <c r="J219">
        <v>4.0999999999999996</v>
      </c>
      <c r="K219">
        <v>44.15</v>
      </c>
      <c r="L219">
        <v>3.2157894740000001</v>
      </c>
      <c r="M219">
        <v>43</v>
      </c>
      <c r="N219">
        <v>46</v>
      </c>
      <c r="O219">
        <v>3</v>
      </c>
      <c r="P219">
        <v>46</v>
      </c>
      <c r="Q219">
        <v>3</v>
      </c>
      <c r="R219">
        <v>1.5</v>
      </c>
      <c r="S219">
        <v>50.1</v>
      </c>
      <c r="T219">
        <v>6.9767441860000003</v>
      </c>
      <c r="U219">
        <v>0</v>
      </c>
      <c r="V219">
        <v>4</v>
      </c>
      <c r="W219">
        <v>4</v>
      </c>
      <c r="X219">
        <v>5</v>
      </c>
      <c r="Y219">
        <v>1</v>
      </c>
      <c r="Z219">
        <v>25</v>
      </c>
      <c r="AA219" t="s">
        <v>66</v>
      </c>
      <c r="AB219" t="s">
        <v>66</v>
      </c>
      <c r="AC219" t="s">
        <v>66</v>
      </c>
      <c r="AD219" t="s">
        <v>66</v>
      </c>
      <c r="AE219">
        <v>26</v>
      </c>
      <c r="AF219">
        <v>18</v>
      </c>
      <c r="AG219" t="s">
        <v>66</v>
      </c>
      <c r="AH219">
        <v>18</v>
      </c>
      <c r="AI219">
        <v>12</v>
      </c>
      <c r="AJ219" t="s">
        <v>66</v>
      </c>
      <c r="AK219">
        <v>9</v>
      </c>
      <c r="AL219">
        <v>7</v>
      </c>
      <c r="AM219">
        <v>13.5</v>
      </c>
      <c r="AN219">
        <v>9.5</v>
      </c>
      <c r="AO219">
        <v>-29.62962963</v>
      </c>
      <c r="AP219">
        <v>-30.76923077</v>
      </c>
      <c r="AQ219">
        <v>1.9259259259999999</v>
      </c>
      <c r="AR219">
        <v>1.8947368419999999</v>
      </c>
      <c r="AS219">
        <v>-3.1189083999999999E-2</v>
      </c>
      <c r="AT219">
        <v>0</v>
      </c>
      <c r="AU219" t="s">
        <v>66</v>
      </c>
      <c r="AV219">
        <v>1</v>
      </c>
      <c r="AW219">
        <v>2</v>
      </c>
      <c r="AX219">
        <v>0</v>
      </c>
      <c r="AY219">
        <v>1</v>
      </c>
      <c r="AZ219">
        <v>1</v>
      </c>
      <c r="BA219">
        <v>1</v>
      </c>
      <c r="BB219" t="s">
        <v>66</v>
      </c>
      <c r="BC219">
        <v>29.6</v>
      </c>
      <c r="BD219">
        <v>43.8</v>
      </c>
      <c r="BE219">
        <v>47.972972970000001</v>
      </c>
      <c r="BF219">
        <v>0</v>
      </c>
      <c r="BG219">
        <v>30.66</v>
      </c>
      <c r="BH219">
        <v>3.5810810810000002</v>
      </c>
      <c r="BI219">
        <v>53</v>
      </c>
      <c r="BJ219">
        <v>5</v>
      </c>
      <c r="BK219" t="s">
        <v>66</v>
      </c>
      <c r="BL219">
        <v>10</v>
      </c>
      <c r="BM219">
        <v>14</v>
      </c>
      <c r="BN219">
        <v>12</v>
      </c>
      <c r="BO219">
        <f t="shared" si="37"/>
        <v>13</v>
      </c>
      <c r="BP219">
        <v>4</v>
      </c>
      <c r="BQ219">
        <v>1</v>
      </c>
      <c r="BS219">
        <v>0</v>
      </c>
      <c r="BT219">
        <f t="shared" si="38"/>
        <v>18.867924528301888</v>
      </c>
      <c r="BU219">
        <f t="shared" si="39"/>
        <v>20</v>
      </c>
      <c r="BV219">
        <f t="shared" si="40"/>
        <v>-160</v>
      </c>
      <c r="BW219">
        <f t="shared" si="41"/>
        <v>-3.8461538461538463</v>
      </c>
    </row>
    <row r="220" spans="1:75" x14ac:dyDescent="0.2">
      <c r="A220" t="s">
        <v>299</v>
      </c>
      <c r="B220" t="s">
        <v>321</v>
      </c>
      <c r="C220" t="s">
        <v>106</v>
      </c>
      <c r="D220" t="s">
        <v>63</v>
      </c>
      <c r="E220" t="s">
        <v>95</v>
      </c>
      <c r="F220" t="s">
        <v>337</v>
      </c>
      <c r="G220">
        <v>9.5</v>
      </c>
      <c r="H220">
        <v>15.55</v>
      </c>
      <c r="I220">
        <v>15</v>
      </c>
      <c r="J220">
        <v>4.0999999999999996</v>
      </c>
      <c r="K220">
        <v>44.15</v>
      </c>
      <c r="L220">
        <v>3.2157894740000001</v>
      </c>
      <c r="M220">
        <v>44</v>
      </c>
      <c r="N220">
        <v>40</v>
      </c>
      <c r="O220">
        <v>-4</v>
      </c>
      <c r="P220">
        <v>37</v>
      </c>
      <c r="Q220">
        <v>-7</v>
      </c>
      <c r="R220">
        <v>-3.5</v>
      </c>
      <c r="S220">
        <v>40.1</v>
      </c>
      <c r="T220">
        <v>-15.90909091</v>
      </c>
      <c r="U220">
        <v>-7.5</v>
      </c>
      <c r="V220">
        <v>4</v>
      </c>
      <c r="W220">
        <v>4</v>
      </c>
      <c r="X220">
        <v>4</v>
      </c>
      <c r="Y220">
        <v>0</v>
      </c>
      <c r="Z220">
        <v>0</v>
      </c>
      <c r="AA220" t="s">
        <v>66</v>
      </c>
      <c r="AB220" t="s">
        <v>66</v>
      </c>
      <c r="AC220" t="s">
        <v>66</v>
      </c>
      <c r="AD220" t="s">
        <v>66</v>
      </c>
      <c r="AE220">
        <v>26</v>
      </c>
      <c r="AF220">
        <v>20</v>
      </c>
      <c r="AG220" t="s">
        <v>66</v>
      </c>
      <c r="AH220">
        <v>15</v>
      </c>
      <c r="AI220">
        <v>10</v>
      </c>
      <c r="AJ220" t="s">
        <v>66</v>
      </c>
      <c r="AK220">
        <v>10</v>
      </c>
      <c r="AL220">
        <v>8</v>
      </c>
      <c r="AM220">
        <v>12.5</v>
      </c>
      <c r="AN220">
        <v>9</v>
      </c>
      <c r="AO220">
        <v>-28</v>
      </c>
      <c r="AP220">
        <v>-23.07692308</v>
      </c>
      <c r="AQ220">
        <v>2.08</v>
      </c>
      <c r="AR220">
        <v>2.2222222220000001</v>
      </c>
      <c r="AS220">
        <v>0.14222222200000001</v>
      </c>
      <c r="AT220">
        <v>0</v>
      </c>
      <c r="AU220" t="s">
        <v>66</v>
      </c>
      <c r="AV220">
        <v>2</v>
      </c>
      <c r="AW220">
        <v>1</v>
      </c>
      <c r="AX220">
        <v>0</v>
      </c>
      <c r="AY220">
        <v>1</v>
      </c>
      <c r="AZ220">
        <v>1</v>
      </c>
      <c r="BA220">
        <v>1</v>
      </c>
      <c r="BB220" t="s">
        <v>66</v>
      </c>
      <c r="BC220">
        <v>23.9</v>
      </c>
      <c r="BD220">
        <v>39.200000000000003</v>
      </c>
      <c r="BE220">
        <v>64.016736399999999</v>
      </c>
      <c r="BF220">
        <v>0</v>
      </c>
      <c r="BG220">
        <v>27.44</v>
      </c>
      <c r="BH220">
        <v>14.81171548</v>
      </c>
      <c r="BI220">
        <v>37</v>
      </c>
      <c r="BJ220">
        <v>5</v>
      </c>
      <c r="BK220" t="s">
        <v>66</v>
      </c>
      <c r="BL220">
        <v>16</v>
      </c>
      <c r="BM220">
        <v>9</v>
      </c>
      <c r="BN220">
        <v>5</v>
      </c>
      <c r="BO220">
        <f t="shared" si="37"/>
        <v>7</v>
      </c>
      <c r="BP220">
        <v>4</v>
      </c>
      <c r="BQ220">
        <v>1</v>
      </c>
      <c r="BS220">
        <v>0</v>
      </c>
      <c r="BT220">
        <f t="shared" si="38"/>
        <v>-18.918918918918919</v>
      </c>
      <c r="BU220">
        <f t="shared" si="39"/>
        <v>20</v>
      </c>
      <c r="BV220">
        <f t="shared" si="40"/>
        <v>-62.5</v>
      </c>
      <c r="BW220">
        <f t="shared" si="41"/>
        <v>-78.571428571428569</v>
      </c>
    </row>
    <row r="221" spans="1:75" x14ac:dyDescent="0.2">
      <c r="A221" t="s">
        <v>299</v>
      </c>
      <c r="B221" t="s">
        <v>321</v>
      </c>
      <c r="C221" t="s">
        <v>106</v>
      </c>
      <c r="D221" t="s">
        <v>63</v>
      </c>
      <c r="E221" t="s">
        <v>97</v>
      </c>
      <c r="F221" t="s">
        <v>338</v>
      </c>
      <c r="G221">
        <v>9.5</v>
      </c>
      <c r="H221">
        <v>15.55</v>
      </c>
      <c r="I221">
        <v>15</v>
      </c>
      <c r="J221">
        <v>4.0999999999999996</v>
      </c>
      <c r="K221">
        <v>44.15</v>
      </c>
      <c r="L221">
        <v>3.2157894740000001</v>
      </c>
      <c r="M221">
        <v>42</v>
      </c>
      <c r="N221">
        <v>46</v>
      </c>
      <c r="O221">
        <v>4</v>
      </c>
      <c r="P221">
        <v>46</v>
      </c>
      <c r="Q221">
        <v>4</v>
      </c>
      <c r="R221">
        <v>2</v>
      </c>
      <c r="S221">
        <v>51.1</v>
      </c>
      <c r="T221">
        <v>9.5238095240000007</v>
      </c>
      <c r="U221">
        <v>0</v>
      </c>
      <c r="V221">
        <v>4</v>
      </c>
      <c r="W221">
        <v>5</v>
      </c>
      <c r="X221">
        <v>6</v>
      </c>
      <c r="Y221">
        <v>2</v>
      </c>
      <c r="Z221">
        <v>50</v>
      </c>
      <c r="AA221" t="s">
        <v>66</v>
      </c>
      <c r="AB221" t="s">
        <v>66</v>
      </c>
      <c r="AC221" t="s">
        <v>66</v>
      </c>
      <c r="AD221" t="s">
        <v>66</v>
      </c>
      <c r="AE221">
        <v>25</v>
      </c>
      <c r="AF221">
        <v>29</v>
      </c>
      <c r="AG221" t="s">
        <v>66</v>
      </c>
      <c r="AH221">
        <v>15</v>
      </c>
      <c r="AI221">
        <v>13</v>
      </c>
      <c r="AJ221" t="s">
        <v>66</v>
      </c>
      <c r="AK221">
        <v>12</v>
      </c>
      <c r="AL221">
        <v>12</v>
      </c>
      <c r="AM221">
        <v>13.5</v>
      </c>
      <c r="AN221">
        <v>12.5</v>
      </c>
      <c r="AO221">
        <v>-7.407407407</v>
      </c>
      <c r="AP221">
        <v>16</v>
      </c>
      <c r="AQ221">
        <v>1.851851852</v>
      </c>
      <c r="AR221">
        <v>2.3199999999999998</v>
      </c>
      <c r="AS221">
        <v>0.46814814799999999</v>
      </c>
      <c r="AT221">
        <v>0</v>
      </c>
      <c r="AU221" t="s">
        <v>66</v>
      </c>
      <c r="AV221">
        <v>1</v>
      </c>
      <c r="AW221">
        <v>0</v>
      </c>
      <c r="AX221">
        <v>0</v>
      </c>
      <c r="AY221">
        <v>1</v>
      </c>
      <c r="AZ221">
        <v>1</v>
      </c>
      <c r="BA221">
        <v>1</v>
      </c>
      <c r="BB221" t="s">
        <v>66</v>
      </c>
      <c r="BC221">
        <v>31.8</v>
      </c>
      <c r="BD221">
        <v>34.4</v>
      </c>
      <c r="BE221">
        <v>8.1761006290000005</v>
      </c>
      <c r="BF221">
        <v>0</v>
      </c>
      <c r="BG221">
        <v>24.08</v>
      </c>
      <c r="BH221">
        <v>-24.27672956</v>
      </c>
      <c r="BI221">
        <v>47</v>
      </c>
      <c r="BJ221">
        <v>6.4</v>
      </c>
      <c r="BK221" t="s">
        <v>66</v>
      </c>
      <c r="BL221">
        <v>11</v>
      </c>
      <c r="BM221">
        <v>19</v>
      </c>
      <c r="BN221">
        <v>12</v>
      </c>
      <c r="BO221">
        <f t="shared" si="37"/>
        <v>15.5</v>
      </c>
      <c r="BP221">
        <v>4</v>
      </c>
      <c r="BQ221">
        <v>1</v>
      </c>
      <c r="BS221">
        <v>0</v>
      </c>
      <c r="BT221">
        <f t="shared" si="38"/>
        <v>10.638297872340425</v>
      </c>
      <c r="BU221">
        <f t="shared" si="39"/>
        <v>37.500000000000007</v>
      </c>
      <c r="BV221">
        <f t="shared" si="40"/>
        <v>-127.27272727272727</v>
      </c>
      <c r="BW221">
        <f t="shared" si="41"/>
        <v>12.903225806451612</v>
      </c>
    </row>
    <row r="222" spans="1:75" x14ac:dyDescent="0.2">
      <c r="A222" t="s">
        <v>299</v>
      </c>
      <c r="B222" t="s">
        <v>321</v>
      </c>
      <c r="C222" t="s">
        <v>106</v>
      </c>
      <c r="D222" t="s">
        <v>63</v>
      </c>
      <c r="E222" t="s">
        <v>99</v>
      </c>
      <c r="F222" t="s">
        <v>339</v>
      </c>
      <c r="G222">
        <v>9.5</v>
      </c>
      <c r="H222">
        <v>15.55</v>
      </c>
      <c r="I222">
        <v>15</v>
      </c>
      <c r="J222">
        <v>4.0999999999999996</v>
      </c>
      <c r="K222">
        <v>44.15</v>
      </c>
      <c r="L222">
        <v>3.2157894740000001</v>
      </c>
      <c r="M222">
        <v>29</v>
      </c>
      <c r="N222">
        <v>30</v>
      </c>
      <c r="O222">
        <v>1</v>
      </c>
      <c r="P222">
        <v>29</v>
      </c>
      <c r="Q222">
        <v>0</v>
      </c>
      <c r="R222">
        <v>1E-3</v>
      </c>
      <c r="S222">
        <v>47.1</v>
      </c>
      <c r="T222">
        <v>0</v>
      </c>
      <c r="U222">
        <v>-3.3333333330000001</v>
      </c>
      <c r="V222">
        <v>5</v>
      </c>
      <c r="W222">
        <v>6</v>
      </c>
      <c r="X222">
        <v>7</v>
      </c>
      <c r="Y222">
        <v>2</v>
      </c>
      <c r="Z222">
        <v>40</v>
      </c>
      <c r="AA222" t="s">
        <v>66</v>
      </c>
      <c r="AB222" t="s">
        <v>66</v>
      </c>
      <c r="AC222" t="s">
        <v>66</v>
      </c>
      <c r="AD222" t="s">
        <v>66</v>
      </c>
      <c r="AE222">
        <v>23</v>
      </c>
      <c r="AF222">
        <v>14</v>
      </c>
      <c r="AG222" t="s">
        <v>66</v>
      </c>
      <c r="AH222">
        <v>22</v>
      </c>
      <c r="AI222">
        <v>22</v>
      </c>
      <c r="AJ222" t="s">
        <v>66</v>
      </c>
      <c r="AK222">
        <v>11</v>
      </c>
      <c r="AL222">
        <v>14</v>
      </c>
      <c r="AM222">
        <v>16.5</v>
      </c>
      <c r="AN222">
        <v>18</v>
      </c>
      <c r="AO222">
        <v>9.0909090910000003</v>
      </c>
      <c r="AP222">
        <v>-39.130434780000002</v>
      </c>
      <c r="AQ222">
        <v>1.393939394</v>
      </c>
      <c r="AR222">
        <v>0.77777777800000003</v>
      </c>
      <c r="AS222">
        <v>-0.61616161599999997</v>
      </c>
      <c r="AT222">
        <v>0</v>
      </c>
      <c r="AU222" t="s">
        <v>66</v>
      </c>
      <c r="AV222">
        <v>1</v>
      </c>
      <c r="AW222">
        <v>0</v>
      </c>
      <c r="AX222">
        <v>0</v>
      </c>
      <c r="AY222">
        <v>1</v>
      </c>
      <c r="AZ222">
        <v>1</v>
      </c>
      <c r="BA222">
        <v>1</v>
      </c>
      <c r="BB222" t="s">
        <v>66</v>
      </c>
      <c r="BC222">
        <v>35.5</v>
      </c>
      <c r="BD222">
        <v>55.4</v>
      </c>
      <c r="BE222">
        <v>56.056338029999999</v>
      </c>
      <c r="BF222">
        <v>0</v>
      </c>
      <c r="BG222">
        <v>38.78</v>
      </c>
      <c r="BH222">
        <v>9.2394366199999993</v>
      </c>
      <c r="BI222">
        <v>38</v>
      </c>
      <c r="BJ222">
        <v>6.8</v>
      </c>
      <c r="BK222" t="s">
        <v>66</v>
      </c>
      <c r="BL222">
        <v>14</v>
      </c>
      <c r="BM222">
        <v>31</v>
      </c>
      <c r="BN222">
        <v>6</v>
      </c>
      <c r="BO222">
        <f t="shared" si="37"/>
        <v>18.5</v>
      </c>
      <c r="BP222">
        <v>4</v>
      </c>
      <c r="BQ222">
        <v>1</v>
      </c>
      <c r="BS222">
        <v>0</v>
      </c>
      <c r="BT222">
        <f t="shared" si="38"/>
        <v>23.684210526315788</v>
      </c>
      <c r="BU222">
        <f t="shared" si="39"/>
        <v>26.47058823529412</v>
      </c>
      <c r="BV222">
        <f t="shared" si="40"/>
        <v>-64.285714285714292</v>
      </c>
      <c r="BW222">
        <f t="shared" si="41"/>
        <v>10.810810810810811</v>
      </c>
    </row>
    <row r="223" spans="1:75" x14ac:dyDescent="0.2">
      <c r="A223" t="s">
        <v>299</v>
      </c>
      <c r="B223" t="s">
        <v>321</v>
      </c>
      <c r="C223" t="s">
        <v>106</v>
      </c>
      <c r="D223" t="s">
        <v>63</v>
      </c>
      <c r="E223" t="s">
        <v>101</v>
      </c>
      <c r="F223" t="s">
        <v>340</v>
      </c>
      <c r="G223">
        <v>9.5</v>
      </c>
      <c r="H223">
        <v>15.55</v>
      </c>
      <c r="I223">
        <v>15</v>
      </c>
      <c r="J223">
        <v>4.0999999999999996</v>
      </c>
      <c r="K223">
        <v>44.15</v>
      </c>
      <c r="L223">
        <v>3.2157894740000001</v>
      </c>
      <c r="M223">
        <v>19</v>
      </c>
      <c r="N223">
        <v>18</v>
      </c>
      <c r="O223">
        <v>-1</v>
      </c>
      <c r="P223">
        <v>14</v>
      </c>
      <c r="Q223">
        <v>-5</v>
      </c>
      <c r="R223">
        <v>-2.5</v>
      </c>
      <c r="S223">
        <v>42.1</v>
      </c>
      <c r="T223">
        <v>-26.315789469999999</v>
      </c>
      <c r="U223">
        <v>-22.222222219999999</v>
      </c>
      <c r="V223">
        <v>2</v>
      </c>
      <c r="W223">
        <v>2</v>
      </c>
      <c r="X223">
        <v>2</v>
      </c>
      <c r="Y223">
        <v>0</v>
      </c>
      <c r="Z223">
        <v>0</v>
      </c>
      <c r="AA223" t="s">
        <v>66</v>
      </c>
      <c r="AB223" t="s">
        <v>66</v>
      </c>
      <c r="AC223" t="s">
        <v>66</v>
      </c>
      <c r="AD223" t="s">
        <v>66</v>
      </c>
      <c r="AE223">
        <v>13</v>
      </c>
      <c r="AF223">
        <v>4</v>
      </c>
      <c r="AG223" t="s">
        <v>66</v>
      </c>
      <c r="AH223">
        <v>6</v>
      </c>
      <c r="AI223">
        <v>9</v>
      </c>
      <c r="AJ223" t="s">
        <v>66</v>
      </c>
      <c r="AK223">
        <v>4</v>
      </c>
      <c r="AL223">
        <v>7</v>
      </c>
      <c r="AM223">
        <v>5</v>
      </c>
      <c r="AN223">
        <v>8</v>
      </c>
      <c r="AO223">
        <v>60</v>
      </c>
      <c r="AP223">
        <v>-69.230769230000007</v>
      </c>
      <c r="AQ223">
        <v>2.6</v>
      </c>
      <c r="AR223">
        <v>0.5</v>
      </c>
      <c r="AS223">
        <v>-2.1</v>
      </c>
      <c r="AT223">
        <v>0</v>
      </c>
      <c r="AU223" t="s">
        <v>66</v>
      </c>
      <c r="AV223">
        <v>1</v>
      </c>
      <c r="AW223">
        <v>4</v>
      </c>
      <c r="AX223">
        <v>0</v>
      </c>
      <c r="AY223">
        <v>1</v>
      </c>
      <c r="AZ223">
        <v>1</v>
      </c>
      <c r="BA223">
        <v>1</v>
      </c>
      <c r="BB223" t="s">
        <v>66</v>
      </c>
      <c r="BC223">
        <v>14.66666667</v>
      </c>
      <c r="BD223">
        <v>40.75</v>
      </c>
      <c r="BE223">
        <v>177.84090900000001</v>
      </c>
      <c r="BF223">
        <v>0</v>
      </c>
      <c r="BG223">
        <v>28.524999999999999</v>
      </c>
      <c r="BH223">
        <v>94.488636319999998</v>
      </c>
      <c r="BI223">
        <v>8</v>
      </c>
      <c r="BJ223">
        <v>2.6</v>
      </c>
      <c r="BK223" t="s">
        <v>66</v>
      </c>
      <c r="BL223">
        <v>2</v>
      </c>
      <c r="BM223">
        <v>5</v>
      </c>
      <c r="BN223">
        <v>4</v>
      </c>
      <c r="BO223">
        <f t="shared" si="37"/>
        <v>4.5</v>
      </c>
      <c r="BP223">
        <v>3</v>
      </c>
      <c r="BQ223">
        <v>1</v>
      </c>
      <c r="BS223">
        <v>0</v>
      </c>
      <c r="BT223">
        <f t="shared" si="38"/>
        <v>-137.5</v>
      </c>
      <c r="BU223">
        <f t="shared" si="39"/>
        <v>23.076923076923077</v>
      </c>
      <c r="BV223">
        <f t="shared" si="40"/>
        <v>-550</v>
      </c>
      <c r="BW223">
        <f t="shared" si="41"/>
        <v>-11.111111111111111</v>
      </c>
    </row>
    <row r="224" spans="1:75" x14ac:dyDescent="0.2">
      <c r="A224" t="s">
        <v>299</v>
      </c>
      <c r="B224" t="s">
        <v>321</v>
      </c>
      <c r="C224" t="s">
        <v>106</v>
      </c>
      <c r="D224" t="s">
        <v>63</v>
      </c>
      <c r="E224" t="s">
        <v>103</v>
      </c>
      <c r="F224" t="s">
        <v>341</v>
      </c>
      <c r="G224">
        <v>9.5</v>
      </c>
      <c r="H224">
        <v>15.55</v>
      </c>
      <c r="I224">
        <v>15</v>
      </c>
      <c r="J224">
        <v>4.0999999999999996</v>
      </c>
      <c r="K224">
        <v>44.15</v>
      </c>
      <c r="L224">
        <v>3.2157894740000001</v>
      </c>
      <c r="M224">
        <v>66</v>
      </c>
      <c r="N224">
        <v>68</v>
      </c>
      <c r="O224">
        <v>2</v>
      </c>
      <c r="P224">
        <v>69</v>
      </c>
      <c r="Q224">
        <v>3</v>
      </c>
      <c r="R224">
        <v>1.5</v>
      </c>
      <c r="S224">
        <v>50.1</v>
      </c>
      <c r="T224">
        <v>4.5454545450000001</v>
      </c>
      <c r="U224">
        <v>1.4705882349999999</v>
      </c>
      <c r="V224">
        <v>6</v>
      </c>
      <c r="W224">
        <v>8</v>
      </c>
      <c r="X224">
        <v>8</v>
      </c>
      <c r="Y224">
        <v>2</v>
      </c>
      <c r="Z224">
        <v>33.333333330000002</v>
      </c>
      <c r="AA224" t="s">
        <v>66</v>
      </c>
      <c r="AB224" t="s">
        <v>66</v>
      </c>
      <c r="AC224" t="s">
        <v>66</v>
      </c>
      <c r="AD224" t="s">
        <v>66</v>
      </c>
      <c r="AE224">
        <v>41</v>
      </c>
      <c r="AF224">
        <v>29</v>
      </c>
      <c r="AG224" t="s">
        <v>66</v>
      </c>
      <c r="AH224">
        <v>25</v>
      </c>
      <c r="AI224">
        <v>18</v>
      </c>
      <c r="AJ224" t="s">
        <v>66</v>
      </c>
      <c r="AK224">
        <v>20</v>
      </c>
      <c r="AL224">
        <v>12</v>
      </c>
      <c r="AM224">
        <v>22.5</v>
      </c>
      <c r="AN224">
        <v>15</v>
      </c>
      <c r="AO224">
        <v>-33.333333330000002</v>
      </c>
      <c r="AP224">
        <v>-29.268292679999998</v>
      </c>
      <c r="AQ224">
        <v>1.8222222219999999</v>
      </c>
      <c r="AR224">
        <v>1.933333333</v>
      </c>
      <c r="AS224">
        <v>0.111111111</v>
      </c>
      <c r="AT224">
        <v>0</v>
      </c>
      <c r="AU224" t="s">
        <v>66</v>
      </c>
      <c r="AV224">
        <v>1</v>
      </c>
      <c r="AW224">
        <v>1</v>
      </c>
      <c r="AX224">
        <v>0</v>
      </c>
      <c r="AY224">
        <v>1</v>
      </c>
      <c r="AZ224">
        <v>1</v>
      </c>
      <c r="BA224">
        <v>1</v>
      </c>
      <c r="BB224" t="s">
        <v>66</v>
      </c>
      <c r="BC224">
        <v>25.2</v>
      </c>
      <c r="BD224">
        <v>41.7</v>
      </c>
      <c r="BE224">
        <v>65.47619048</v>
      </c>
      <c r="BF224">
        <v>0</v>
      </c>
      <c r="BG224">
        <v>29.19</v>
      </c>
      <c r="BH224">
        <v>15.83333333</v>
      </c>
      <c r="BI224">
        <v>72</v>
      </c>
      <c r="BJ224">
        <v>7.3</v>
      </c>
      <c r="BK224" t="s">
        <v>66</v>
      </c>
      <c r="BL224">
        <f>72-45</f>
        <v>27</v>
      </c>
      <c r="BM224">
        <v>11</v>
      </c>
      <c r="BN224">
        <v>7</v>
      </c>
      <c r="BO224">
        <f t="shared" si="37"/>
        <v>9</v>
      </c>
      <c r="BP224">
        <v>3</v>
      </c>
      <c r="BQ224">
        <v>1</v>
      </c>
      <c r="BS224">
        <v>0</v>
      </c>
      <c r="BT224">
        <f t="shared" si="38"/>
        <v>8.3333333333333321</v>
      </c>
      <c r="BU224">
        <f t="shared" si="39"/>
        <v>17.80821917808219</v>
      </c>
      <c r="BV224">
        <f t="shared" si="40"/>
        <v>-51.851851851851848</v>
      </c>
      <c r="BW224">
        <f t="shared" si="41"/>
        <v>-150</v>
      </c>
    </row>
    <row r="225" spans="1:75" x14ac:dyDescent="0.2">
      <c r="A225" t="s">
        <v>60</v>
      </c>
      <c r="B225" t="s">
        <v>105</v>
      </c>
      <c r="C225" t="s">
        <v>106</v>
      </c>
      <c r="D225" t="s">
        <v>63</v>
      </c>
      <c r="E225" t="s">
        <v>87</v>
      </c>
      <c r="F225" t="s">
        <v>118</v>
      </c>
      <c r="G225">
        <v>1.25</v>
      </c>
      <c r="H225">
        <v>2.85</v>
      </c>
      <c r="I225">
        <v>3.35</v>
      </c>
      <c r="J225">
        <v>2.4500000000000002</v>
      </c>
      <c r="K225">
        <v>9.9</v>
      </c>
      <c r="L225">
        <v>4.96</v>
      </c>
      <c r="M225">
        <v>70</v>
      </c>
      <c r="N225">
        <v>70</v>
      </c>
      <c r="O225">
        <v>0</v>
      </c>
      <c r="P225" t="s">
        <v>66</v>
      </c>
      <c r="Q225" t="s">
        <v>66</v>
      </c>
      <c r="R225" t="s">
        <v>66</v>
      </c>
      <c r="S225" t="s">
        <v>66</v>
      </c>
      <c r="T225" t="s">
        <v>66</v>
      </c>
      <c r="U225" t="s">
        <v>66</v>
      </c>
      <c r="V225">
        <v>7</v>
      </c>
      <c r="W225">
        <v>6</v>
      </c>
      <c r="X225" t="s">
        <v>66</v>
      </c>
      <c r="Y225" t="s">
        <v>66</v>
      </c>
      <c r="Z225" t="s">
        <v>66</v>
      </c>
      <c r="AA225" t="s">
        <v>66</v>
      </c>
      <c r="AB225" t="s">
        <v>66</v>
      </c>
      <c r="AC225" t="s">
        <v>66</v>
      </c>
      <c r="AD225" t="s">
        <v>66</v>
      </c>
      <c r="AE225">
        <v>30</v>
      </c>
      <c r="AF225" t="s">
        <v>66</v>
      </c>
      <c r="AG225" t="s">
        <v>66</v>
      </c>
      <c r="AH225">
        <v>16</v>
      </c>
      <c r="AI225" t="s">
        <v>66</v>
      </c>
      <c r="AJ225" t="s">
        <v>66</v>
      </c>
      <c r="AK225">
        <v>13</v>
      </c>
      <c r="AL225" t="s">
        <v>66</v>
      </c>
      <c r="AM225">
        <v>14.5</v>
      </c>
      <c r="AN225" t="s">
        <v>66</v>
      </c>
      <c r="AO225" t="s">
        <v>66</v>
      </c>
      <c r="AP225" t="s">
        <v>66</v>
      </c>
      <c r="AQ225">
        <v>2.0689655170000001</v>
      </c>
      <c r="AR225" t="s">
        <v>66</v>
      </c>
      <c r="AS225" t="s">
        <v>66</v>
      </c>
      <c r="AT225">
        <v>0</v>
      </c>
      <c r="AU225" t="s">
        <v>66</v>
      </c>
      <c r="AV225">
        <v>2</v>
      </c>
      <c r="AW225" t="s">
        <v>66</v>
      </c>
      <c r="AX225">
        <v>0</v>
      </c>
      <c r="AY225">
        <v>1</v>
      </c>
      <c r="AZ225">
        <v>1</v>
      </c>
      <c r="BA225">
        <v>0</v>
      </c>
      <c r="BB225" t="s">
        <v>66</v>
      </c>
      <c r="BC225">
        <v>24.4</v>
      </c>
      <c r="BD225" t="s">
        <v>66</v>
      </c>
      <c r="BE225" t="s">
        <v>66</v>
      </c>
      <c r="BF225" t="s">
        <v>66</v>
      </c>
      <c r="BG225" t="s">
        <v>66</v>
      </c>
      <c r="BH225" t="s">
        <v>66</v>
      </c>
      <c r="BI225" t="s">
        <v>66</v>
      </c>
      <c r="BJ225" t="s">
        <v>66</v>
      </c>
      <c r="BK225" t="s">
        <v>66</v>
      </c>
      <c r="BL225" t="s">
        <v>66</v>
      </c>
      <c r="BM225" t="s">
        <v>66</v>
      </c>
      <c r="BN225" t="s">
        <v>66</v>
      </c>
      <c r="BO225" t="s">
        <v>66</v>
      </c>
      <c r="BP225" t="s">
        <v>66</v>
      </c>
      <c r="BQ225">
        <v>0</v>
      </c>
      <c r="BS225">
        <v>0</v>
      </c>
      <c r="BT225" t="s">
        <v>66</v>
      </c>
      <c r="BU225" t="s">
        <v>66</v>
      </c>
      <c r="BV225" t="s">
        <v>66</v>
      </c>
      <c r="BW225" t="s">
        <v>66</v>
      </c>
    </row>
    <row r="226" spans="1:75" x14ac:dyDescent="0.2">
      <c r="A226" t="s">
        <v>170</v>
      </c>
      <c r="B226" t="s">
        <v>192</v>
      </c>
      <c r="C226" t="s">
        <v>106</v>
      </c>
      <c r="D226" t="s">
        <v>63</v>
      </c>
      <c r="E226" t="s">
        <v>75</v>
      </c>
      <c r="F226" t="s">
        <v>198</v>
      </c>
      <c r="G226">
        <v>2.2000000000000002</v>
      </c>
      <c r="H226">
        <v>17.2</v>
      </c>
      <c r="I226">
        <v>18.149999999999999</v>
      </c>
      <c r="J226">
        <v>3.95</v>
      </c>
      <c r="K226">
        <v>41.5</v>
      </c>
      <c r="L226">
        <v>16.06818182</v>
      </c>
      <c r="M226">
        <v>75</v>
      </c>
      <c r="N226">
        <v>29</v>
      </c>
      <c r="O226">
        <v>-46</v>
      </c>
      <c r="P226" t="s">
        <v>66</v>
      </c>
      <c r="Q226" t="s">
        <v>66</v>
      </c>
      <c r="R226" t="s">
        <v>66</v>
      </c>
      <c r="S226" t="s">
        <v>66</v>
      </c>
      <c r="T226" t="s">
        <v>66</v>
      </c>
      <c r="U226" t="s">
        <v>66</v>
      </c>
      <c r="V226">
        <v>7</v>
      </c>
      <c r="W226">
        <v>1</v>
      </c>
      <c r="X226" t="s">
        <v>66</v>
      </c>
      <c r="Y226" t="s">
        <v>66</v>
      </c>
      <c r="Z226" t="s">
        <v>66</v>
      </c>
      <c r="AA226" t="s">
        <v>66</v>
      </c>
      <c r="AB226" t="s">
        <v>66</v>
      </c>
      <c r="AC226" t="s">
        <v>66</v>
      </c>
      <c r="AD226" t="s">
        <v>66</v>
      </c>
      <c r="AE226">
        <v>18</v>
      </c>
      <c r="AF226" t="s">
        <v>66</v>
      </c>
      <c r="AG226" t="s">
        <v>66</v>
      </c>
      <c r="AH226">
        <v>6</v>
      </c>
      <c r="AI226" t="s">
        <v>66</v>
      </c>
      <c r="AJ226" t="s">
        <v>66</v>
      </c>
      <c r="AK226">
        <v>5</v>
      </c>
      <c r="AL226" t="s">
        <v>66</v>
      </c>
      <c r="AM226">
        <v>5.5</v>
      </c>
      <c r="AN226" t="s">
        <v>66</v>
      </c>
      <c r="AO226" t="s">
        <v>66</v>
      </c>
      <c r="AP226" t="s">
        <v>66</v>
      </c>
      <c r="AQ226">
        <v>3.2727272730000001</v>
      </c>
      <c r="AR226" t="s">
        <v>66</v>
      </c>
      <c r="AS226" t="s">
        <v>66</v>
      </c>
      <c r="AT226">
        <v>0</v>
      </c>
      <c r="AU226" t="s">
        <v>66</v>
      </c>
      <c r="AV226">
        <v>0</v>
      </c>
      <c r="AW226" t="s">
        <v>66</v>
      </c>
      <c r="AX226">
        <v>0</v>
      </c>
      <c r="AY226">
        <v>1</v>
      </c>
      <c r="AZ226">
        <v>1</v>
      </c>
      <c r="BA226">
        <v>0</v>
      </c>
      <c r="BB226" t="s">
        <v>66</v>
      </c>
      <c r="BC226">
        <v>24.333333329999999</v>
      </c>
      <c r="BD226" t="s">
        <v>66</v>
      </c>
      <c r="BE226" t="s">
        <v>66</v>
      </c>
      <c r="BF226" t="s">
        <v>66</v>
      </c>
      <c r="BG226" t="s">
        <v>66</v>
      </c>
      <c r="BH226" t="s">
        <v>66</v>
      </c>
      <c r="BI226" t="s">
        <v>66</v>
      </c>
      <c r="BJ226" t="s">
        <v>66</v>
      </c>
      <c r="BK226" t="s">
        <v>66</v>
      </c>
      <c r="BL226" t="s">
        <v>66</v>
      </c>
      <c r="BM226" t="s">
        <v>66</v>
      </c>
      <c r="BN226" t="s">
        <v>66</v>
      </c>
      <c r="BO226" t="s">
        <v>66</v>
      </c>
      <c r="BP226" t="s">
        <v>66</v>
      </c>
      <c r="BQ226">
        <v>0</v>
      </c>
      <c r="BS226">
        <v>0</v>
      </c>
      <c r="BT226" t="s">
        <v>66</v>
      </c>
      <c r="BU226" t="s">
        <v>66</v>
      </c>
      <c r="BV226" t="s">
        <v>66</v>
      </c>
      <c r="BW226" t="s">
        <v>66</v>
      </c>
    </row>
    <row r="227" spans="1:75" x14ac:dyDescent="0.2">
      <c r="A227" t="s">
        <v>213</v>
      </c>
      <c r="B227" t="s">
        <v>235</v>
      </c>
      <c r="C227" t="s">
        <v>106</v>
      </c>
      <c r="D227" t="s">
        <v>63</v>
      </c>
      <c r="E227" t="s">
        <v>81</v>
      </c>
      <c r="F227" t="s">
        <v>244</v>
      </c>
      <c r="G227">
        <v>8.65</v>
      </c>
      <c r="H227">
        <v>13.05</v>
      </c>
      <c r="I227">
        <v>14.95</v>
      </c>
      <c r="J227">
        <v>14.4</v>
      </c>
      <c r="K227">
        <v>51.05</v>
      </c>
      <c r="L227">
        <v>3.2369942200000001</v>
      </c>
      <c r="M227">
        <v>42</v>
      </c>
      <c r="N227">
        <v>14</v>
      </c>
      <c r="O227">
        <v>-28</v>
      </c>
      <c r="P227" t="s">
        <v>66</v>
      </c>
      <c r="Q227" t="s">
        <v>66</v>
      </c>
      <c r="R227" t="s">
        <v>66</v>
      </c>
      <c r="S227" t="s">
        <v>66</v>
      </c>
      <c r="T227" t="s">
        <v>66</v>
      </c>
      <c r="U227" t="s">
        <v>66</v>
      </c>
      <c r="V227">
        <v>5</v>
      </c>
      <c r="W227">
        <v>7</v>
      </c>
      <c r="X227" t="s">
        <v>66</v>
      </c>
      <c r="Y227" t="s">
        <v>66</v>
      </c>
      <c r="Z227" t="s">
        <v>66</v>
      </c>
      <c r="AA227" t="s">
        <v>66</v>
      </c>
      <c r="AB227" t="s">
        <v>66</v>
      </c>
      <c r="AC227" t="s">
        <v>66</v>
      </c>
      <c r="AD227" t="s">
        <v>66</v>
      </c>
      <c r="AE227">
        <v>7</v>
      </c>
      <c r="AF227" t="s">
        <v>66</v>
      </c>
      <c r="AG227" t="s">
        <v>66</v>
      </c>
      <c r="AH227">
        <v>5</v>
      </c>
      <c r="AI227" t="s">
        <v>66</v>
      </c>
      <c r="AJ227" t="s">
        <v>66</v>
      </c>
      <c r="AK227">
        <v>5</v>
      </c>
      <c r="AL227" t="s">
        <v>66</v>
      </c>
      <c r="AM227">
        <v>5</v>
      </c>
      <c r="AN227" t="s">
        <v>66</v>
      </c>
      <c r="AO227" t="s">
        <v>66</v>
      </c>
      <c r="AP227" t="s">
        <v>66</v>
      </c>
      <c r="AQ227">
        <v>1.4</v>
      </c>
      <c r="AR227" t="s">
        <v>66</v>
      </c>
      <c r="AS227" t="s">
        <v>66</v>
      </c>
      <c r="AT227">
        <v>0</v>
      </c>
      <c r="AU227" t="s">
        <v>66</v>
      </c>
      <c r="AV227">
        <v>4</v>
      </c>
      <c r="AW227" t="s">
        <v>66</v>
      </c>
      <c r="AX227">
        <v>0</v>
      </c>
      <c r="AY227">
        <v>1</v>
      </c>
      <c r="AZ227">
        <v>1</v>
      </c>
      <c r="BA227">
        <v>0</v>
      </c>
      <c r="BB227" t="s">
        <v>66</v>
      </c>
      <c r="BC227">
        <v>21.2</v>
      </c>
      <c r="BD227" t="s">
        <v>66</v>
      </c>
      <c r="BE227" t="s">
        <v>66</v>
      </c>
      <c r="BF227" t="s">
        <v>66</v>
      </c>
      <c r="BG227" t="s">
        <v>66</v>
      </c>
      <c r="BH227" t="s">
        <v>66</v>
      </c>
      <c r="BI227">
        <v>20</v>
      </c>
      <c r="BJ227">
        <v>8</v>
      </c>
      <c r="BK227" t="s">
        <v>66</v>
      </c>
      <c r="BL227">
        <v>12</v>
      </c>
      <c r="BM227">
        <v>12</v>
      </c>
      <c r="BN227">
        <v>7</v>
      </c>
      <c r="BO227">
        <f>AVERAGE(BM227,BN227)</f>
        <v>9.5</v>
      </c>
      <c r="BP227">
        <v>4</v>
      </c>
      <c r="BQ227">
        <v>1</v>
      </c>
      <c r="BS227">
        <v>0</v>
      </c>
      <c r="BT227">
        <f>(BI227-M227)/BI227*100</f>
        <v>-110.00000000000001</v>
      </c>
      <c r="BU227">
        <f>(BJ227-V227)/BJ227*100</f>
        <v>37.5</v>
      </c>
      <c r="BV227">
        <f>(BL227-AE227)/BL227*100</f>
        <v>41.666666666666671</v>
      </c>
      <c r="BW227">
        <f>(BO227-AM227)/BO227*100</f>
        <v>47.368421052631575</v>
      </c>
    </row>
    <row r="228" spans="1:75" x14ac:dyDescent="0.2">
      <c r="A228" t="s">
        <v>256</v>
      </c>
      <c r="B228" t="s">
        <v>278</v>
      </c>
      <c r="C228" t="s">
        <v>106</v>
      </c>
      <c r="D228" t="s">
        <v>63</v>
      </c>
      <c r="E228" t="s">
        <v>103</v>
      </c>
      <c r="F228" t="s">
        <v>298</v>
      </c>
      <c r="G228">
        <v>7</v>
      </c>
      <c r="H228">
        <v>1.9</v>
      </c>
      <c r="I228">
        <v>0.85</v>
      </c>
      <c r="J228">
        <v>1.1000000000000001</v>
      </c>
      <c r="K228">
        <v>10.85</v>
      </c>
      <c r="L228">
        <v>0.39285714300000002</v>
      </c>
      <c r="M228">
        <v>48</v>
      </c>
      <c r="N228" t="s">
        <v>66</v>
      </c>
      <c r="O228" t="s">
        <v>66</v>
      </c>
      <c r="P228" t="s">
        <v>66</v>
      </c>
      <c r="Q228" t="s">
        <v>66</v>
      </c>
      <c r="R228" t="s">
        <v>66</v>
      </c>
      <c r="S228" t="s">
        <v>66</v>
      </c>
      <c r="T228" t="s">
        <v>66</v>
      </c>
      <c r="U228" t="s">
        <v>66</v>
      </c>
      <c r="V228">
        <v>5</v>
      </c>
      <c r="W228" t="s">
        <v>66</v>
      </c>
      <c r="X228" t="s">
        <v>66</v>
      </c>
      <c r="Y228" t="s">
        <v>66</v>
      </c>
      <c r="Z228" t="s">
        <v>66</v>
      </c>
      <c r="AA228" t="s">
        <v>66</v>
      </c>
      <c r="AB228" t="s">
        <v>66</v>
      </c>
      <c r="AC228" t="s">
        <v>66</v>
      </c>
      <c r="AD228" t="s">
        <v>66</v>
      </c>
      <c r="AE228" t="s">
        <v>66</v>
      </c>
      <c r="AF228" t="s">
        <v>66</v>
      </c>
      <c r="AG228" t="s">
        <v>66</v>
      </c>
      <c r="AH228" t="s">
        <v>66</v>
      </c>
      <c r="AI228" t="s">
        <v>66</v>
      </c>
      <c r="AJ228" t="s">
        <v>66</v>
      </c>
      <c r="AK228" t="s">
        <v>66</v>
      </c>
      <c r="AL228" t="s">
        <v>66</v>
      </c>
      <c r="AM228" t="s">
        <v>66</v>
      </c>
      <c r="AN228" t="s">
        <v>66</v>
      </c>
      <c r="AO228" t="s">
        <v>66</v>
      </c>
      <c r="AP228" t="s">
        <v>66</v>
      </c>
      <c r="AQ228" t="s">
        <v>66</v>
      </c>
      <c r="AR228" t="s">
        <v>66</v>
      </c>
      <c r="AS228" t="s">
        <v>66</v>
      </c>
      <c r="AT228" t="s">
        <v>66</v>
      </c>
      <c r="AU228" t="s">
        <v>66</v>
      </c>
      <c r="AV228" t="s">
        <v>66</v>
      </c>
      <c r="AW228" t="s">
        <v>66</v>
      </c>
      <c r="AX228">
        <v>0</v>
      </c>
      <c r="AY228">
        <v>1</v>
      </c>
      <c r="AZ228">
        <v>0</v>
      </c>
      <c r="BA228">
        <v>0</v>
      </c>
      <c r="BB228" t="s">
        <v>66</v>
      </c>
      <c r="BC228" t="s">
        <v>66</v>
      </c>
      <c r="BD228" t="s">
        <v>66</v>
      </c>
      <c r="BE228" t="s">
        <v>66</v>
      </c>
      <c r="BF228" t="s">
        <v>66</v>
      </c>
      <c r="BG228" t="s">
        <v>66</v>
      </c>
      <c r="BH228" t="s">
        <v>66</v>
      </c>
      <c r="BI228" t="s">
        <v>66</v>
      </c>
      <c r="BJ228" t="s">
        <v>66</v>
      </c>
      <c r="BK228" t="s">
        <v>66</v>
      </c>
      <c r="BL228" t="s">
        <v>66</v>
      </c>
      <c r="BM228" t="s">
        <v>66</v>
      </c>
      <c r="BN228" t="s">
        <v>66</v>
      </c>
      <c r="BO228" t="s">
        <v>66</v>
      </c>
      <c r="BP228" t="s">
        <v>66</v>
      </c>
      <c r="BQ228">
        <v>0</v>
      </c>
      <c r="BS228">
        <v>0</v>
      </c>
      <c r="BT228" t="s">
        <v>66</v>
      </c>
      <c r="BU228" t="s">
        <v>66</v>
      </c>
      <c r="BV228" t="s">
        <v>66</v>
      </c>
      <c r="BW228" t="s">
        <v>66</v>
      </c>
    </row>
    <row r="229" spans="1:75" x14ac:dyDescent="0.2">
      <c r="A229" t="s">
        <v>60</v>
      </c>
      <c r="B229" t="s">
        <v>61</v>
      </c>
      <c r="C229" t="s">
        <v>62</v>
      </c>
      <c r="D229" t="s">
        <v>342</v>
      </c>
      <c r="E229" t="s">
        <v>347</v>
      </c>
      <c r="F229" t="s">
        <v>348</v>
      </c>
      <c r="G229">
        <v>2.7</v>
      </c>
      <c r="H229">
        <v>5.9</v>
      </c>
      <c r="I229">
        <v>5.75</v>
      </c>
      <c r="J229">
        <v>3.6</v>
      </c>
      <c r="K229">
        <v>17.95</v>
      </c>
      <c r="L229">
        <v>4.3148148150000001</v>
      </c>
      <c r="M229">
        <v>112</v>
      </c>
      <c r="N229">
        <v>141</v>
      </c>
      <c r="O229">
        <v>29</v>
      </c>
      <c r="P229">
        <v>167</v>
      </c>
      <c r="Q229">
        <v>55</v>
      </c>
      <c r="R229">
        <v>27.5</v>
      </c>
      <c r="S229">
        <v>102.1</v>
      </c>
      <c r="T229">
        <v>49.107142860000003</v>
      </c>
      <c r="U229">
        <v>18.439716310000001</v>
      </c>
      <c r="V229">
        <v>10</v>
      </c>
      <c r="W229">
        <v>14</v>
      </c>
      <c r="X229">
        <v>16</v>
      </c>
      <c r="Y229">
        <v>6</v>
      </c>
      <c r="Z229">
        <v>60</v>
      </c>
      <c r="AA229" t="s">
        <v>66</v>
      </c>
      <c r="AB229">
        <v>1</v>
      </c>
      <c r="AC229">
        <v>4</v>
      </c>
      <c r="AD229" t="s">
        <v>66</v>
      </c>
      <c r="AE229">
        <v>121</v>
      </c>
      <c r="AF229">
        <v>146</v>
      </c>
      <c r="AG229" t="s">
        <v>66</v>
      </c>
      <c r="AH229">
        <v>66</v>
      </c>
      <c r="AI229">
        <v>75</v>
      </c>
      <c r="AJ229" t="s">
        <v>66</v>
      </c>
      <c r="AK229">
        <v>53</v>
      </c>
      <c r="AL229">
        <v>58</v>
      </c>
      <c r="AM229">
        <v>59.5</v>
      </c>
      <c r="AN229">
        <v>66.5</v>
      </c>
      <c r="AO229">
        <v>11.764705879999999</v>
      </c>
      <c r="AP229">
        <v>20.661157020000001</v>
      </c>
      <c r="AQ229">
        <v>2.0336134449999999</v>
      </c>
      <c r="AR229">
        <v>2.1954887219999999</v>
      </c>
      <c r="AS229">
        <v>0.16187527700000001</v>
      </c>
      <c r="AT229">
        <v>0</v>
      </c>
      <c r="AU229" t="s">
        <v>66</v>
      </c>
      <c r="AV229">
        <v>1</v>
      </c>
      <c r="AW229">
        <v>2</v>
      </c>
      <c r="AX229">
        <v>0</v>
      </c>
      <c r="AY229">
        <v>1</v>
      </c>
      <c r="AZ229">
        <v>1</v>
      </c>
      <c r="BA229">
        <v>1</v>
      </c>
      <c r="BB229" t="s">
        <v>66</v>
      </c>
      <c r="BC229">
        <v>44</v>
      </c>
      <c r="BD229">
        <v>69.400000000000006</v>
      </c>
      <c r="BE229">
        <v>57.727272730000003</v>
      </c>
      <c r="BF229">
        <v>0</v>
      </c>
      <c r="BG229">
        <v>69.400000000000006</v>
      </c>
      <c r="BH229">
        <v>57.727272730000003</v>
      </c>
      <c r="BI229">
        <v>236</v>
      </c>
      <c r="BJ229">
        <v>20.3</v>
      </c>
      <c r="BK229">
        <v>8.1</v>
      </c>
      <c r="BL229">
        <v>216</v>
      </c>
      <c r="BM229">
        <v>88</v>
      </c>
      <c r="BN229">
        <v>86</v>
      </c>
      <c r="BO229">
        <f t="shared" ref="BO229:BO266" si="42">AVERAGE(BM229,BN229)</f>
        <v>87</v>
      </c>
      <c r="BP229">
        <v>4</v>
      </c>
      <c r="BQ229">
        <v>1</v>
      </c>
      <c r="BS229">
        <v>0</v>
      </c>
      <c r="BT229">
        <f t="shared" ref="BT229:BT272" si="43">(BI229-M229)/BI229*100</f>
        <v>52.542372881355938</v>
      </c>
      <c r="BU229">
        <f t="shared" ref="BU229:BU272" si="44">(BJ229-V229)/BJ229*100</f>
        <v>50.738916256157637</v>
      </c>
      <c r="BV229">
        <f t="shared" ref="BV229:BV272" si="45">(BL229-AE229)/BL229*100</f>
        <v>43.981481481481481</v>
      </c>
      <c r="BW229">
        <f t="shared" ref="BW229:BW266" si="46">(BO229-AM229)/BO229*100</f>
        <v>31.609195402298852</v>
      </c>
    </row>
    <row r="230" spans="1:75" x14ac:dyDescent="0.2">
      <c r="A230" t="s">
        <v>60</v>
      </c>
      <c r="B230" t="s">
        <v>61</v>
      </c>
      <c r="C230" t="s">
        <v>62</v>
      </c>
      <c r="D230" t="s">
        <v>342</v>
      </c>
      <c r="E230" t="s">
        <v>349</v>
      </c>
      <c r="F230" t="s">
        <v>350</v>
      </c>
      <c r="G230">
        <v>2.7</v>
      </c>
      <c r="H230">
        <v>5.9</v>
      </c>
      <c r="I230">
        <v>5.75</v>
      </c>
      <c r="J230">
        <v>3.6</v>
      </c>
      <c r="K230">
        <v>17.95</v>
      </c>
      <c r="L230">
        <v>4.3148148150000001</v>
      </c>
      <c r="M230">
        <v>76</v>
      </c>
      <c r="N230">
        <v>90</v>
      </c>
      <c r="O230">
        <v>14</v>
      </c>
      <c r="P230">
        <v>103</v>
      </c>
      <c r="Q230">
        <v>27</v>
      </c>
      <c r="R230">
        <v>13.5</v>
      </c>
      <c r="S230">
        <v>74.099999999999994</v>
      </c>
      <c r="T230">
        <v>35.526315789999998</v>
      </c>
      <c r="U230">
        <v>14.44444444</v>
      </c>
      <c r="V230">
        <v>8</v>
      </c>
      <c r="W230">
        <v>14</v>
      </c>
      <c r="X230">
        <v>11</v>
      </c>
      <c r="Y230">
        <v>3</v>
      </c>
      <c r="Z230">
        <v>37.5</v>
      </c>
      <c r="AA230" t="s">
        <v>66</v>
      </c>
      <c r="AB230" t="s">
        <v>66</v>
      </c>
      <c r="AC230" t="s">
        <v>66</v>
      </c>
      <c r="AD230" t="s">
        <v>66</v>
      </c>
      <c r="AE230">
        <v>61</v>
      </c>
      <c r="AF230">
        <v>67</v>
      </c>
      <c r="AG230" t="s">
        <v>66</v>
      </c>
      <c r="AH230">
        <v>62</v>
      </c>
      <c r="AI230">
        <v>50</v>
      </c>
      <c r="AJ230" t="s">
        <v>66</v>
      </c>
      <c r="AK230">
        <v>44</v>
      </c>
      <c r="AL230">
        <v>39</v>
      </c>
      <c r="AM230">
        <v>53</v>
      </c>
      <c r="AN230">
        <v>44.5</v>
      </c>
      <c r="AO230">
        <v>-16.037735850000001</v>
      </c>
      <c r="AP230">
        <v>9.8360655739999991</v>
      </c>
      <c r="AQ230">
        <v>1.150943396</v>
      </c>
      <c r="AR230">
        <v>1.5056179780000001</v>
      </c>
      <c r="AS230">
        <v>0.35467458200000002</v>
      </c>
      <c r="AT230">
        <v>0</v>
      </c>
      <c r="AU230" t="s">
        <v>66</v>
      </c>
      <c r="AV230">
        <v>1</v>
      </c>
      <c r="AW230">
        <v>2</v>
      </c>
      <c r="AX230">
        <v>0</v>
      </c>
      <c r="AY230">
        <v>1</v>
      </c>
      <c r="AZ230">
        <v>1</v>
      </c>
      <c r="BA230">
        <v>1</v>
      </c>
      <c r="BB230" t="s">
        <v>66</v>
      </c>
      <c r="BC230">
        <v>44.6</v>
      </c>
      <c r="BD230">
        <v>53.1</v>
      </c>
      <c r="BE230">
        <v>19.058295959999999</v>
      </c>
      <c r="BF230">
        <v>0</v>
      </c>
      <c r="BG230">
        <v>53.1</v>
      </c>
      <c r="BH230">
        <v>19.058295959999999</v>
      </c>
      <c r="BI230">
        <v>183</v>
      </c>
      <c r="BJ230">
        <v>12.5</v>
      </c>
      <c r="BK230">
        <v>3.3</v>
      </c>
      <c r="BL230">
        <f>183-64</f>
        <v>119</v>
      </c>
      <c r="BM230">
        <v>69</v>
      </c>
      <c r="BN230">
        <v>35</v>
      </c>
      <c r="BO230">
        <f t="shared" si="42"/>
        <v>52</v>
      </c>
      <c r="BP230">
        <v>4</v>
      </c>
      <c r="BQ230">
        <v>1</v>
      </c>
      <c r="BS230">
        <v>0</v>
      </c>
      <c r="BT230">
        <f t="shared" si="43"/>
        <v>58.469945355191257</v>
      </c>
      <c r="BU230">
        <f t="shared" si="44"/>
        <v>36</v>
      </c>
      <c r="BV230">
        <f t="shared" si="45"/>
        <v>48.739495798319325</v>
      </c>
      <c r="BW230">
        <f t="shared" si="46"/>
        <v>-1.9230769230769231</v>
      </c>
    </row>
    <row r="231" spans="1:75" x14ac:dyDescent="0.2">
      <c r="A231" t="s">
        <v>60</v>
      </c>
      <c r="B231" t="s">
        <v>61</v>
      </c>
      <c r="C231" t="s">
        <v>62</v>
      </c>
      <c r="D231" t="s">
        <v>342</v>
      </c>
      <c r="E231" t="s">
        <v>353</v>
      </c>
      <c r="F231" t="s">
        <v>354</v>
      </c>
      <c r="G231">
        <v>2.7</v>
      </c>
      <c r="H231">
        <v>5.9</v>
      </c>
      <c r="I231">
        <v>5.75</v>
      </c>
      <c r="J231">
        <v>3.6</v>
      </c>
      <c r="K231">
        <v>17.95</v>
      </c>
      <c r="L231">
        <v>4.3148148150000001</v>
      </c>
      <c r="M231">
        <v>110</v>
      </c>
      <c r="N231">
        <v>150</v>
      </c>
      <c r="O231">
        <v>40</v>
      </c>
      <c r="P231">
        <v>194</v>
      </c>
      <c r="Q231">
        <v>84</v>
      </c>
      <c r="R231">
        <v>42</v>
      </c>
      <c r="S231">
        <v>131.1</v>
      </c>
      <c r="T231">
        <v>76.363636360000001</v>
      </c>
      <c r="U231">
        <v>29.333333329999999</v>
      </c>
      <c r="V231">
        <v>10</v>
      </c>
      <c r="W231">
        <v>14</v>
      </c>
      <c r="X231">
        <v>20</v>
      </c>
      <c r="Y231">
        <v>10</v>
      </c>
      <c r="Z231">
        <v>100</v>
      </c>
      <c r="AA231" t="s">
        <v>66</v>
      </c>
      <c r="AB231">
        <v>2</v>
      </c>
      <c r="AC231">
        <v>4</v>
      </c>
      <c r="AD231" t="s">
        <v>66</v>
      </c>
      <c r="AE231">
        <v>125</v>
      </c>
      <c r="AF231">
        <v>146</v>
      </c>
      <c r="AG231" t="s">
        <v>66</v>
      </c>
      <c r="AH231">
        <v>62</v>
      </c>
      <c r="AI231">
        <v>58</v>
      </c>
      <c r="AJ231" t="s">
        <v>66</v>
      </c>
      <c r="AK231">
        <v>27</v>
      </c>
      <c r="AL231">
        <v>43</v>
      </c>
      <c r="AM231">
        <v>44.5</v>
      </c>
      <c r="AN231">
        <v>50.5</v>
      </c>
      <c r="AO231">
        <v>13.48314607</v>
      </c>
      <c r="AP231">
        <v>16.8</v>
      </c>
      <c r="AQ231">
        <v>2.808988764</v>
      </c>
      <c r="AR231">
        <v>2.8910891090000002</v>
      </c>
      <c r="AS231">
        <v>8.2100345000000005E-2</v>
      </c>
      <c r="AT231">
        <v>0</v>
      </c>
      <c r="AU231" t="s">
        <v>66</v>
      </c>
      <c r="AV231">
        <v>1</v>
      </c>
      <c r="AW231">
        <v>1</v>
      </c>
      <c r="AX231">
        <v>0</v>
      </c>
      <c r="AY231">
        <v>1</v>
      </c>
      <c r="AZ231">
        <v>1</v>
      </c>
      <c r="BA231">
        <v>1</v>
      </c>
      <c r="BB231" t="s">
        <v>66</v>
      </c>
      <c r="BC231">
        <v>55</v>
      </c>
      <c r="BD231">
        <v>54.9</v>
      </c>
      <c r="BE231">
        <v>-0.18181818199999999</v>
      </c>
      <c r="BF231">
        <v>0</v>
      </c>
      <c r="BG231">
        <v>54.9</v>
      </c>
      <c r="BH231">
        <v>-0.18181818199999999</v>
      </c>
      <c r="BI231">
        <v>268</v>
      </c>
      <c r="BJ231">
        <v>18.2</v>
      </c>
      <c r="BK231">
        <v>8.4</v>
      </c>
      <c r="BL231">
        <f>268-41</f>
        <v>227</v>
      </c>
      <c r="BM231">
        <v>35</v>
      </c>
      <c r="BN231">
        <v>30</v>
      </c>
      <c r="BO231">
        <f t="shared" si="42"/>
        <v>32.5</v>
      </c>
      <c r="BP231">
        <v>4</v>
      </c>
      <c r="BQ231">
        <v>1</v>
      </c>
      <c r="BS231">
        <v>0</v>
      </c>
      <c r="BT231">
        <f t="shared" si="43"/>
        <v>58.955223880597018</v>
      </c>
      <c r="BU231">
        <f t="shared" si="44"/>
        <v>45.054945054945051</v>
      </c>
      <c r="BV231">
        <f t="shared" si="45"/>
        <v>44.933920704845818</v>
      </c>
      <c r="BW231">
        <f t="shared" si="46"/>
        <v>-36.923076923076927</v>
      </c>
    </row>
    <row r="232" spans="1:75" x14ac:dyDescent="0.2">
      <c r="A232" t="s">
        <v>60</v>
      </c>
      <c r="B232" t="s">
        <v>61</v>
      </c>
      <c r="C232" t="s">
        <v>62</v>
      </c>
      <c r="D232" t="s">
        <v>342</v>
      </c>
      <c r="E232" t="s">
        <v>357</v>
      </c>
      <c r="F232" t="s">
        <v>358</v>
      </c>
      <c r="G232">
        <v>2.7</v>
      </c>
      <c r="H232">
        <v>5.9</v>
      </c>
      <c r="I232">
        <v>5.75</v>
      </c>
      <c r="J232">
        <v>3.6</v>
      </c>
      <c r="K232">
        <v>17.95</v>
      </c>
      <c r="L232">
        <v>4.3148148150000001</v>
      </c>
      <c r="M232">
        <v>130</v>
      </c>
      <c r="N232">
        <v>161</v>
      </c>
      <c r="O232">
        <v>31</v>
      </c>
      <c r="P232">
        <v>191</v>
      </c>
      <c r="Q232">
        <v>61</v>
      </c>
      <c r="R232">
        <v>30.5</v>
      </c>
      <c r="S232">
        <v>108.1</v>
      </c>
      <c r="T232">
        <v>46.92307692</v>
      </c>
      <c r="U232">
        <v>18.633540369999999</v>
      </c>
      <c r="V232">
        <v>16</v>
      </c>
      <c r="W232">
        <v>26</v>
      </c>
      <c r="X232">
        <v>27</v>
      </c>
      <c r="Y232">
        <v>11</v>
      </c>
      <c r="Z232">
        <v>68.75</v>
      </c>
      <c r="AA232" t="s">
        <v>66</v>
      </c>
      <c r="AB232">
        <v>3</v>
      </c>
      <c r="AC232">
        <v>6</v>
      </c>
      <c r="AD232" t="s">
        <v>66</v>
      </c>
      <c r="AE232">
        <v>137</v>
      </c>
      <c r="AF232">
        <v>171</v>
      </c>
      <c r="AG232" t="s">
        <v>66</v>
      </c>
      <c r="AH232">
        <v>61</v>
      </c>
      <c r="AI232">
        <v>84</v>
      </c>
      <c r="AJ232" t="s">
        <v>66</v>
      </c>
      <c r="AK232">
        <v>58</v>
      </c>
      <c r="AL232">
        <v>62</v>
      </c>
      <c r="AM232">
        <v>59.5</v>
      </c>
      <c r="AN232">
        <v>73</v>
      </c>
      <c r="AO232">
        <v>22.689075630000001</v>
      </c>
      <c r="AP232">
        <v>24.817518249999999</v>
      </c>
      <c r="AQ232">
        <v>2.3025210079999998</v>
      </c>
      <c r="AR232">
        <v>2.3424657529999999</v>
      </c>
      <c r="AS232">
        <v>3.9944744999999997E-2</v>
      </c>
      <c r="AT232">
        <v>0</v>
      </c>
      <c r="AU232" t="s">
        <v>66</v>
      </c>
      <c r="AV232">
        <v>2</v>
      </c>
      <c r="AW232">
        <v>2</v>
      </c>
      <c r="AX232">
        <v>0</v>
      </c>
      <c r="AY232">
        <v>1</v>
      </c>
      <c r="AZ232">
        <v>1</v>
      </c>
      <c r="BA232">
        <v>1</v>
      </c>
      <c r="BB232" t="s">
        <v>66</v>
      </c>
      <c r="BC232">
        <v>44.9</v>
      </c>
      <c r="BD232">
        <v>56.8</v>
      </c>
      <c r="BE232">
        <v>26.50334076</v>
      </c>
      <c r="BF232">
        <v>0</v>
      </c>
      <c r="BG232">
        <v>56.8</v>
      </c>
      <c r="BH232">
        <v>26.50334076</v>
      </c>
      <c r="BI232">
        <f>175+143</f>
        <v>318</v>
      </c>
      <c r="BJ232">
        <v>34.4</v>
      </c>
      <c r="BK232">
        <v>15.8</v>
      </c>
      <c r="BL232">
        <f>318-22</f>
        <v>296</v>
      </c>
      <c r="BM232">
        <v>102</v>
      </c>
      <c r="BN232">
        <v>88</v>
      </c>
      <c r="BO232">
        <f t="shared" si="42"/>
        <v>95</v>
      </c>
      <c r="BP232">
        <v>4</v>
      </c>
      <c r="BQ232">
        <v>1</v>
      </c>
      <c r="BS232">
        <v>0</v>
      </c>
      <c r="BT232">
        <f t="shared" si="43"/>
        <v>59.119496855345908</v>
      </c>
      <c r="BU232">
        <f t="shared" si="44"/>
        <v>53.488372093023251</v>
      </c>
      <c r="BV232">
        <f t="shared" si="45"/>
        <v>53.716216216216218</v>
      </c>
      <c r="BW232">
        <f t="shared" si="46"/>
        <v>37.368421052631575</v>
      </c>
    </row>
    <row r="233" spans="1:75" x14ac:dyDescent="0.2">
      <c r="A233" t="s">
        <v>60</v>
      </c>
      <c r="B233" t="s">
        <v>61</v>
      </c>
      <c r="C233" t="s">
        <v>62</v>
      </c>
      <c r="D233" t="s">
        <v>342</v>
      </c>
      <c r="E233" t="s">
        <v>359</v>
      </c>
      <c r="F233" t="s">
        <v>360</v>
      </c>
      <c r="G233">
        <v>2.7</v>
      </c>
      <c r="H233">
        <v>5.9</v>
      </c>
      <c r="I233">
        <v>5.75</v>
      </c>
      <c r="J233">
        <v>3.6</v>
      </c>
      <c r="K233">
        <v>17.95</v>
      </c>
      <c r="L233">
        <v>4.3148148150000001</v>
      </c>
      <c r="M233">
        <v>154</v>
      </c>
      <c r="N233">
        <v>187</v>
      </c>
      <c r="O233">
        <v>33</v>
      </c>
      <c r="P233">
        <v>205</v>
      </c>
      <c r="Q233">
        <v>51</v>
      </c>
      <c r="R233">
        <v>25.5</v>
      </c>
      <c r="S233">
        <v>98.1</v>
      </c>
      <c r="T233">
        <v>33.116883119999997</v>
      </c>
      <c r="U233">
        <v>9.6256684490000008</v>
      </c>
      <c r="V233">
        <v>15</v>
      </c>
      <c r="W233">
        <v>19</v>
      </c>
      <c r="X233">
        <v>21</v>
      </c>
      <c r="Y233">
        <v>6</v>
      </c>
      <c r="Z233">
        <v>40</v>
      </c>
      <c r="AA233">
        <v>4</v>
      </c>
      <c r="AB233">
        <v>4</v>
      </c>
      <c r="AC233">
        <v>6</v>
      </c>
      <c r="AD233" t="s">
        <v>66</v>
      </c>
      <c r="AE233">
        <v>163</v>
      </c>
      <c r="AF233">
        <v>183</v>
      </c>
      <c r="AG233" t="s">
        <v>66</v>
      </c>
      <c r="AH233">
        <v>82</v>
      </c>
      <c r="AI233">
        <v>98</v>
      </c>
      <c r="AJ233" t="s">
        <v>66</v>
      </c>
      <c r="AK233">
        <v>71</v>
      </c>
      <c r="AL233">
        <v>57</v>
      </c>
      <c r="AM233">
        <v>76.5</v>
      </c>
      <c r="AN233">
        <v>77.5</v>
      </c>
      <c r="AO233">
        <v>1.3071895419999999</v>
      </c>
      <c r="AP233">
        <v>12.26993865</v>
      </c>
      <c r="AQ233">
        <v>2.1307189540000002</v>
      </c>
      <c r="AR233">
        <v>2.361290323</v>
      </c>
      <c r="AS233">
        <v>0.230571369</v>
      </c>
      <c r="AT233">
        <v>0</v>
      </c>
      <c r="AU233" t="s">
        <v>66</v>
      </c>
      <c r="AV233">
        <v>1</v>
      </c>
      <c r="AW233">
        <v>2</v>
      </c>
      <c r="AX233">
        <v>0</v>
      </c>
      <c r="AY233">
        <v>1</v>
      </c>
      <c r="AZ233">
        <v>1</v>
      </c>
      <c r="BA233">
        <v>1</v>
      </c>
      <c r="BB233" t="s">
        <v>66</v>
      </c>
      <c r="BC233">
        <v>39.4</v>
      </c>
      <c r="BD233">
        <v>61.1</v>
      </c>
      <c r="BE233">
        <v>55.076142130000001</v>
      </c>
      <c r="BF233">
        <v>0</v>
      </c>
      <c r="BG233">
        <v>61.1</v>
      </c>
      <c r="BH233">
        <v>55.076142130000001</v>
      </c>
      <c r="BI233">
        <v>295</v>
      </c>
      <c r="BJ233">
        <v>26.1</v>
      </c>
      <c r="BK233">
        <v>11.3</v>
      </c>
      <c r="BL233">
        <f>295-17</f>
        <v>278</v>
      </c>
      <c r="BM233">
        <v>110</v>
      </c>
      <c r="BN233">
        <v>110</v>
      </c>
      <c r="BO233">
        <f t="shared" si="42"/>
        <v>110</v>
      </c>
      <c r="BP233">
        <v>4</v>
      </c>
      <c r="BQ233">
        <v>1</v>
      </c>
      <c r="BS233">
        <v>0</v>
      </c>
      <c r="BT233">
        <f t="shared" si="43"/>
        <v>47.79661016949153</v>
      </c>
      <c r="BU233">
        <f t="shared" si="44"/>
        <v>42.52873563218391</v>
      </c>
      <c r="BV233">
        <f t="shared" si="45"/>
        <v>41.366906474820141</v>
      </c>
      <c r="BW233">
        <f t="shared" si="46"/>
        <v>30.454545454545457</v>
      </c>
    </row>
    <row r="234" spans="1:75" x14ac:dyDescent="0.2">
      <c r="A234" t="s">
        <v>60</v>
      </c>
      <c r="B234" t="s">
        <v>61</v>
      </c>
      <c r="C234" t="s">
        <v>62</v>
      </c>
      <c r="D234" t="s">
        <v>342</v>
      </c>
      <c r="E234" t="s">
        <v>363</v>
      </c>
      <c r="F234" t="s">
        <v>364</v>
      </c>
      <c r="G234">
        <v>2.7</v>
      </c>
      <c r="H234">
        <v>5.9</v>
      </c>
      <c r="I234">
        <v>5.75</v>
      </c>
      <c r="J234">
        <v>3.6</v>
      </c>
      <c r="K234">
        <v>17.95</v>
      </c>
      <c r="L234">
        <v>4.3148148150000001</v>
      </c>
      <c r="M234">
        <v>122</v>
      </c>
      <c r="N234">
        <v>155</v>
      </c>
      <c r="O234">
        <v>33</v>
      </c>
      <c r="P234">
        <v>161</v>
      </c>
      <c r="Q234">
        <v>39</v>
      </c>
      <c r="R234">
        <v>19.5</v>
      </c>
      <c r="S234">
        <v>86.1</v>
      </c>
      <c r="T234">
        <v>31.967213109999999</v>
      </c>
      <c r="U234">
        <v>3.8709677419999999</v>
      </c>
      <c r="V234">
        <v>15</v>
      </c>
      <c r="W234">
        <v>20</v>
      </c>
      <c r="X234">
        <v>24</v>
      </c>
      <c r="Y234">
        <v>9</v>
      </c>
      <c r="Z234">
        <v>60</v>
      </c>
      <c r="AA234" t="s">
        <v>66</v>
      </c>
      <c r="AB234">
        <v>2</v>
      </c>
      <c r="AC234">
        <v>4</v>
      </c>
      <c r="AD234" t="s">
        <v>66</v>
      </c>
      <c r="AE234">
        <v>141</v>
      </c>
      <c r="AF234">
        <v>134</v>
      </c>
      <c r="AG234" t="s">
        <v>66</v>
      </c>
      <c r="AH234">
        <v>78</v>
      </c>
      <c r="AI234">
        <v>75</v>
      </c>
      <c r="AJ234" t="s">
        <v>66</v>
      </c>
      <c r="AK234">
        <v>60</v>
      </c>
      <c r="AL234">
        <v>76</v>
      </c>
      <c r="AM234">
        <v>69</v>
      </c>
      <c r="AN234">
        <v>75.5</v>
      </c>
      <c r="AO234">
        <v>9.420289855</v>
      </c>
      <c r="AP234">
        <v>-4.9645390069999999</v>
      </c>
      <c r="AQ234">
        <v>2.0434782610000002</v>
      </c>
      <c r="AR234">
        <v>1.774834437</v>
      </c>
      <c r="AS234">
        <v>-0.26864382399999998</v>
      </c>
      <c r="AT234">
        <v>0</v>
      </c>
      <c r="AU234" t="s">
        <v>66</v>
      </c>
      <c r="AV234">
        <v>1</v>
      </c>
      <c r="AW234">
        <v>1</v>
      </c>
      <c r="AX234">
        <v>0</v>
      </c>
      <c r="AY234">
        <v>1</v>
      </c>
      <c r="AZ234">
        <v>1</v>
      </c>
      <c r="BA234">
        <v>1</v>
      </c>
      <c r="BB234" t="s">
        <v>66</v>
      </c>
      <c r="BC234">
        <v>45.7</v>
      </c>
      <c r="BD234">
        <v>54</v>
      </c>
      <c r="BE234">
        <v>18.1619256</v>
      </c>
      <c r="BF234">
        <v>0</v>
      </c>
      <c r="BG234">
        <v>54</v>
      </c>
      <c r="BH234">
        <v>18.1619256</v>
      </c>
      <c r="BI234">
        <v>269</v>
      </c>
      <c r="BJ234">
        <v>30.6</v>
      </c>
      <c r="BK234">
        <v>11.8</v>
      </c>
      <c r="BL234">
        <v>264</v>
      </c>
      <c r="BM234">
        <v>104</v>
      </c>
      <c r="BN234">
        <v>92</v>
      </c>
      <c r="BO234">
        <f t="shared" si="42"/>
        <v>98</v>
      </c>
      <c r="BP234">
        <v>4</v>
      </c>
      <c r="BQ234">
        <v>1</v>
      </c>
      <c r="BS234">
        <v>0</v>
      </c>
      <c r="BT234">
        <f t="shared" si="43"/>
        <v>54.646840148698885</v>
      </c>
      <c r="BU234">
        <f t="shared" si="44"/>
        <v>50.980392156862756</v>
      </c>
      <c r="BV234">
        <f t="shared" si="45"/>
        <v>46.590909090909086</v>
      </c>
      <c r="BW234">
        <f t="shared" si="46"/>
        <v>29.591836734693878</v>
      </c>
    </row>
    <row r="235" spans="1:75" x14ac:dyDescent="0.2">
      <c r="A235" t="s">
        <v>60</v>
      </c>
      <c r="B235" t="s">
        <v>61</v>
      </c>
      <c r="C235" t="s">
        <v>62</v>
      </c>
      <c r="D235" t="s">
        <v>342</v>
      </c>
      <c r="E235" t="s">
        <v>367</v>
      </c>
      <c r="F235" t="s">
        <v>368</v>
      </c>
      <c r="G235">
        <v>2.7</v>
      </c>
      <c r="H235">
        <v>5.9</v>
      </c>
      <c r="I235">
        <v>5.75</v>
      </c>
      <c r="J235">
        <v>3.6</v>
      </c>
      <c r="K235">
        <v>17.95</v>
      </c>
      <c r="L235">
        <v>4.3148148150000001</v>
      </c>
      <c r="M235">
        <v>145</v>
      </c>
      <c r="N235">
        <v>208</v>
      </c>
      <c r="O235">
        <v>63</v>
      </c>
      <c r="P235">
        <v>244</v>
      </c>
      <c r="Q235">
        <v>99</v>
      </c>
      <c r="R235">
        <v>49.5</v>
      </c>
      <c r="S235">
        <v>146.1</v>
      </c>
      <c r="T235">
        <v>68.275862070000002</v>
      </c>
      <c r="U235">
        <v>17.30769231</v>
      </c>
      <c r="V235">
        <v>16</v>
      </c>
      <c r="W235">
        <v>26</v>
      </c>
      <c r="X235">
        <v>31</v>
      </c>
      <c r="Y235">
        <v>15</v>
      </c>
      <c r="Z235">
        <v>93.75</v>
      </c>
      <c r="AA235">
        <v>4</v>
      </c>
      <c r="AB235">
        <v>5</v>
      </c>
      <c r="AC235">
        <v>8</v>
      </c>
      <c r="AD235" t="s">
        <v>66</v>
      </c>
      <c r="AE235">
        <v>182</v>
      </c>
      <c r="AF235">
        <v>217</v>
      </c>
      <c r="AG235" t="s">
        <v>66</v>
      </c>
      <c r="AH235">
        <v>135</v>
      </c>
      <c r="AI235">
        <v>126</v>
      </c>
      <c r="AJ235" t="s">
        <v>66</v>
      </c>
      <c r="AK235">
        <v>108</v>
      </c>
      <c r="AL235">
        <v>84</v>
      </c>
      <c r="AM235">
        <v>121.5</v>
      </c>
      <c r="AN235">
        <v>105</v>
      </c>
      <c r="AO235">
        <v>-13.58024691</v>
      </c>
      <c r="AP235">
        <v>19.23076923</v>
      </c>
      <c r="AQ235">
        <v>1.4979423869999999</v>
      </c>
      <c r="AR235">
        <v>2.0666666669999998</v>
      </c>
      <c r="AS235">
        <v>0.56872427999999997</v>
      </c>
      <c r="AT235">
        <v>0</v>
      </c>
      <c r="AU235" t="s">
        <v>66</v>
      </c>
      <c r="AV235">
        <v>1</v>
      </c>
      <c r="AW235">
        <v>1</v>
      </c>
      <c r="AX235">
        <v>0</v>
      </c>
      <c r="AY235">
        <v>1</v>
      </c>
      <c r="AZ235">
        <v>1</v>
      </c>
      <c r="BA235">
        <v>1</v>
      </c>
      <c r="BB235" t="s">
        <v>66</v>
      </c>
      <c r="BC235">
        <v>53.9</v>
      </c>
      <c r="BD235">
        <v>57.9</v>
      </c>
      <c r="BE235">
        <v>7.4211502779999998</v>
      </c>
      <c r="BF235">
        <v>0</v>
      </c>
      <c r="BG235">
        <v>57.9</v>
      </c>
      <c r="BH235">
        <v>7.4211502779999998</v>
      </c>
      <c r="BI235">
        <v>305</v>
      </c>
      <c r="BJ235">
        <v>38.5</v>
      </c>
      <c r="BK235">
        <v>15.2</v>
      </c>
      <c r="BL235">
        <v>285</v>
      </c>
      <c r="BM235">
        <v>164</v>
      </c>
      <c r="BN235">
        <v>109</v>
      </c>
      <c r="BO235">
        <f t="shared" si="42"/>
        <v>136.5</v>
      </c>
      <c r="BP235">
        <v>4</v>
      </c>
      <c r="BQ235">
        <v>1</v>
      </c>
      <c r="BS235">
        <v>0</v>
      </c>
      <c r="BT235">
        <f t="shared" si="43"/>
        <v>52.459016393442624</v>
      </c>
      <c r="BU235">
        <f t="shared" si="44"/>
        <v>58.441558441558442</v>
      </c>
      <c r="BV235">
        <f t="shared" si="45"/>
        <v>36.140350877192986</v>
      </c>
      <c r="BW235">
        <f t="shared" si="46"/>
        <v>10.989010989010989</v>
      </c>
    </row>
    <row r="236" spans="1:75" x14ac:dyDescent="0.2">
      <c r="A236" t="s">
        <v>60</v>
      </c>
      <c r="B236" t="s">
        <v>61</v>
      </c>
      <c r="C236" t="s">
        <v>62</v>
      </c>
      <c r="D236" t="s">
        <v>342</v>
      </c>
      <c r="E236" t="s">
        <v>373</v>
      </c>
      <c r="F236" t="s">
        <v>374</v>
      </c>
      <c r="G236">
        <v>2.7</v>
      </c>
      <c r="H236">
        <v>5.9</v>
      </c>
      <c r="I236">
        <v>5.75</v>
      </c>
      <c r="J236">
        <v>3.6</v>
      </c>
      <c r="K236">
        <v>17.95</v>
      </c>
      <c r="L236">
        <v>4.3148148150000001</v>
      </c>
      <c r="M236">
        <v>87</v>
      </c>
      <c r="N236">
        <v>121</v>
      </c>
      <c r="O236">
        <v>34</v>
      </c>
      <c r="P236">
        <v>166</v>
      </c>
      <c r="Q236">
        <v>79</v>
      </c>
      <c r="R236">
        <v>39.5</v>
      </c>
      <c r="S236">
        <v>126.1</v>
      </c>
      <c r="T236">
        <v>90.804597700000002</v>
      </c>
      <c r="U236">
        <v>37.19008264</v>
      </c>
      <c r="V236">
        <v>11</v>
      </c>
      <c r="W236">
        <v>17</v>
      </c>
      <c r="X236">
        <v>19</v>
      </c>
      <c r="Y236">
        <v>8</v>
      </c>
      <c r="Z236">
        <v>72.727272729999996</v>
      </c>
      <c r="AA236" t="s">
        <v>66</v>
      </c>
      <c r="AB236" t="s">
        <v>66</v>
      </c>
      <c r="AC236">
        <v>3</v>
      </c>
      <c r="AD236" t="s">
        <v>66</v>
      </c>
      <c r="AE236">
        <v>88</v>
      </c>
      <c r="AF236">
        <v>135</v>
      </c>
      <c r="AG236" t="s">
        <v>66</v>
      </c>
      <c r="AH236">
        <v>75</v>
      </c>
      <c r="AI236">
        <v>71</v>
      </c>
      <c r="AJ236" t="s">
        <v>66</v>
      </c>
      <c r="AK236">
        <v>41</v>
      </c>
      <c r="AL236">
        <v>43</v>
      </c>
      <c r="AM236">
        <v>58</v>
      </c>
      <c r="AN236">
        <v>57</v>
      </c>
      <c r="AO236">
        <v>-1.724137931</v>
      </c>
      <c r="AP236">
        <v>53.409090910000003</v>
      </c>
      <c r="AQ236">
        <v>1.5172413789999999</v>
      </c>
      <c r="AR236">
        <v>2.3684210530000001</v>
      </c>
      <c r="AS236">
        <v>0.85117967400000005</v>
      </c>
      <c r="AT236">
        <v>0</v>
      </c>
      <c r="AU236" t="s">
        <v>66</v>
      </c>
      <c r="AV236">
        <v>2</v>
      </c>
      <c r="AW236">
        <v>4</v>
      </c>
      <c r="AX236">
        <v>0</v>
      </c>
      <c r="AY236">
        <v>1</v>
      </c>
      <c r="AZ236">
        <v>1</v>
      </c>
      <c r="BA236">
        <v>1</v>
      </c>
      <c r="BB236" t="s">
        <v>66</v>
      </c>
      <c r="BC236">
        <v>41.3</v>
      </c>
      <c r="BD236">
        <v>59.8</v>
      </c>
      <c r="BE236">
        <v>44.794188859999998</v>
      </c>
      <c r="BF236">
        <v>0</v>
      </c>
      <c r="BG236">
        <v>59.8</v>
      </c>
      <c r="BH236">
        <v>44.794188859999998</v>
      </c>
      <c r="BI236">
        <v>242</v>
      </c>
      <c r="BJ236">
        <v>28.5</v>
      </c>
      <c r="BK236">
        <v>8.4</v>
      </c>
      <c r="BL236">
        <f>242-27</f>
        <v>215</v>
      </c>
      <c r="BM236">
        <v>74</v>
      </c>
      <c r="BN236">
        <v>67</v>
      </c>
      <c r="BO236">
        <f t="shared" si="42"/>
        <v>70.5</v>
      </c>
      <c r="BP236">
        <v>4</v>
      </c>
      <c r="BQ236">
        <v>1</v>
      </c>
      <c r="BS236">
        <v>0</v>
      </c>
      <c r="BT236">
        <f t="shared" si="43"/>
        <v>64.049586776859499</v>
      </c>
      <c r="BU236">
        <f t="shared" si="44"/>
        <v>61.403508771929829</v>
      </c>
      <c r="BV236">
        <f t="shared" si="45"/>
        <v>59.069767441860463</v>
      </c>
      <c r="BW236">
        <f t="shared" si="46"/>
        <v>17.730496453900709</v>
      </c>
    </row>
    <row r="237" spans="1:75" x14ac:dyDescent="0.2">
      <c r="A237" t="s">
        <v>60</v>
      </c>
      <c r="B237" t="s">
        <v>61</v>
      </c>
      <c r="C237" t="s">
        <v>62</v>
      </c>
      <c r="D237" t="s">
        <v>342</v>
      </c>
      <c r="E237" t="s">
        <v>351</v>
      </c>
      <c r="F237" t="s">
        <v>352</v>
      </c>
      <c r="G237">
        <v>2.7</v>
      </c>
      <c r="H237">
        <v>5.9</v>
      </c>
      <c r="I237">
        <v>5.75</v>
      </c>
      <c r="J237">
        <v>3.6</v>
      </c>
      <c r="K237">
        <v>17.95</v>
      </c>
      <c r="L237">
        <v>4.3148148150000001</v>
      </c>
      <c r="M237">
        <v>80</v>
      </c>
      <c r="N237">
        <v>98</v>
      </c>
      <c r="O237">
        <v>18</v>
      </c>
      <c r="P237">
        <v>100</v>
      </c>
      <c r="Q237">
        <v>20</v>
      </c>
      <c r="R237">
        <v>10</v>
      </c>
      <c r="S237">
        <v>67.099999999999994</v>
      </c>
      <c r="T237">
        <v>25</v>
      </c>
      <c r="U237">
        <v>2.0408163269999999</v>
      </c>
      <c r="V237">
        <v>9</v>
      </c>
      <c r="W237">
        <v>15</v>
      </c>
      <c r="X237">
        <v>17</v>
      </c>
      <c r="Y237">
        <v>8</v>
      </c>
      <c r="Z237">
        <v>88.888888890000004</v>
      </c>
      <c r="AA237" t="s">
        <v>66</v>
      </c>
      <c r="AB237" t="s">
        <v>66</v>
      </c>
      <c r="AC237" t="s">
        <v>66</v>
      </c>
      <c r="AD237" t="s">
        <v>66</v>
      </c>
      <c r="AE237">
        <v>61</v>
      </c>
      <c r="AF237">
        <v>54</v>
      </c>
      <c r="AG237" t="s">
        <v>66</v>
      </c>
      <c r="AH237">
        <v>52</v>
      </c>
      <c r="AI237">
        <v>46</v>
      </c>
      <c r="AJ237" t="s">
        <v>66</v>
      </c>
      <c r="AK237">
        <v>33</v>
      </c>
      <c r="AL237">
        <v>30</v>
      </c>
      <c r="AM237">
        <v>42.5</v>
      </c>
      <c r="AN237">
        <v>38</v>
      </c>
      <c r="AO237">
        <v>-10.58823529</v>
      </c>
      <c r="AP237">
        <v>-11.475409839999999</v>
      </c>
      <c r="AQ237">
        <v>1.4352941180000001</v>
      </c>
      <c r="AR237">
        <v>1.4210526320000001</v>
      </c>
      <c r="AS237">
        <v>-1.4241485999999999E-2</v>
      </c>
      <c r="AT237">
        <v>0</v>
      </c>
      <c r="AU237" t="s">
        <v>66</v>
      </c>
      <c r="AV237">
        <v>2</v>
      </c>
      <c r="AW237">
        <v>2</v>
      </c>
      <c r="AX237">
        <v>1</v>
      </c>
      <c r="AY237">
        <v>1</v>
      </c>
      <c r="AZ237">
        <v>1</v>
      </c>
      <c r="BA237">
        <v>1</v>
      </c>
      <c r="BB237" t="s">
        <v>66</v>
      </c>
      <c r="BC237">
        <v>44.7</v>
      </c>
      <c r="BD237">
        <v>56.2</v>
      </c>
      <c r="BE237">
        <v>25.727069350000001</v>
      </c>
      <c r="BF237">
        <v>0</v>
      </c>
      <c r="BG237">
        <v>56.2</v>
      </c>
      <c r="BH237">
        <v>25.727069350000001</v>
      </c>
      <c r="BI237">
        <v>114</v>
      </c>
      <c r="BJ237">
        <v>17.600000000000001</v>
      </c>
      <c r="BK237" t="s">
        <v>66</v>
      </c>
      <c r="BL237">
        <f>114-33</f>
        <v>81</v>
      </c>
      <c r="BM237">
        <v>48</v>
      </c>
      <c r="BN237">
        <v>33</v>
      </c>
      <c r="BO237">
        <f t="shared" si="42"/>
        <v>40.5</v>
      </c>
      <c r="BP237">
        <v>4</v>
      </c>
      <c r="BQ237">
        <v>1</v>
      </c>
      <c r="BS237">
        <v>0</v>
      </c>
      <c r="BT237">
        <f t="shared" si="43"/>
        <v>29.82456140350877</v>
      </c>
      <c r="BU237">
        <f t="shared" si="44"/>
        <v>48.863636363636367</v>
      </c>
      <c r="BV237">
        <f t="shared" si="45"/>
        <v>24.691358024691358</v>
      </c>
      <c r="BW237">
        <f t="shared" si="46"/>
        <v>-4.9382716049382713</v>
      </c>
    </row>
    <row r="238" spans="1:75" x14ac:dyDescent="0.2">
      <c r="A238" t="s">
        <v>60</v>
      </c>
      <c r="B238" t="s">
        <v>61</v>
      </c>
      <c r="C238" t="s">
        <v>62</v>
      </c>
      <c r="D238" t="s">
        <v>342</v>
      </c>
      <c r="E238" t="s">
        <v>355</v>
      </c>
      <c r="F238" t="s">
        <v>356</v>
      </c>
      <c r="G238">
        <v>2.7</v>
      </c>
      <c r="H238">
        <v>5.9</v>
      </c>
      <c r="I238">
        <v>5.75</v>
      </c>
      <c r="J238">
        <v>3.6</v>
      </c>
      <c r="K238">
        <v>17.95</v>
      </c>
      <c r="L238">
        <v>4.3148148150000001</v>
      </c>
      <c r="M238">
        <v>170</v>
      </c>
      <c r="N238">
        <v>184</v>
      </c>
      <c r="O238">
        <v>14</v>
      </c>
      <c r="P238">
        <v>251</v>
      </c>
      <c r="Q238">
        <v>81</v>
      </c>
      <c r="R238">
        <v>40.5</v>
      </c>
      <c r="S238">
        <v>128.1</v>
      </c>
      <c r="T238">
        <v>47.647058819999998</v>
      </c>
      <c r="U238">
        <v>36.413043479999999</v>
      </c>
      <c r="V238">
        <v>22</v>
      </c>
      <c r="W238">
        <v>30</v>
      </c>
      <c r="X238">
        <v>34</v>
      </c>
      <c r="Y238">
        <v>12</v>
      </c>
      <c r="Z238">
        <v>54.545454550000002</v>
      </c>
      <c r="AA238">
        <v>7</v>
      </c>
      <c r="AB238">
        <v>5</v>
      </c>
      <c r="AC238">
        <v>10</v>
      </c>
      <c r="AD238" t="s">
        <v>66</v>
      </c>
      <c r="AE238">
        <v>159</v>
      </c>
      <c r="AF238">
        <v>227</v>
      </c>
      <c r="AG238" t="s">
        <v>66</v>
      </c>
      <c r="AH238">
        <v>180</v>
      </c>
      <c r="AI238">
        <v>140</v>
      </c>
      <c r="AJ238" t="s">
        <v>66</v>
      </c>
      <c r="AK238">
        <v>109</v>
      </c>
      <c r="AL238">
        <v>115</v>
      </c>
      <c r="AM238">
        <v>144.5</v>
      </c>
      <c r="AN238">
        <v>127.5</v>
      </c>
      <c r="AO238">
        <v>-11.764705879999999</v>
      </c>
      <c r="AP238">
        <v>42.767295599999997</v>
      </c>
      <c r="AQ238">
        <v>1.100346021</v>
      </c>
      <c r="AR238">
        <v>1.7803921570000001</v>
      </c>
      <c r="AS238">
        <v>0.68004613599999997</v>
      </c>
      <c r="AT238">
        <v>0</v>
      </c>
      <c r="AU238" t="s">
        <v>66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 t="s">
        <v>66</v>
      </c>
      <c r="BC238">
        <v>61.3</v>
      </c>
      <c r="BD238">
        <v>68.599999999999994</v>
      </c>
      <c r="BE238">
        <v>11.908645999999999</v>
      </c>
      <c r="BF238">
        <v>0</v>
      </c>
      <c r="BG238">
        <v>68.599999999999994</v>
      </c>
      <c r="BH238">
        <v>11.908645999999999</v>
      </c>
      <c r="BI238">
        <v>350</v>
      </c>
      <c r="BJ238">
        <v>44.1</v>
      </c>
      <c r="BK238">
        <v>19.5</v>
      </c>
      <c r="BL238">
        <f>350-28</f>
        <v>322</v>
      </c>
      <c r="BM238">
        <v>154</v>
      </c>
      <c r="BN238">
        <v>98</v>
      </c>
      <c r="BO238">
        <f t="shared" si="42"/>
        <v>126</v>
      </c>
      <c r="BP238">
        <v>4</v>
      </c>
      <c r="BQ238">
        <v>1</v>
      </c>
      <c r="BS238">
        <v>0</v>
      </c>
      <c r="BT238">
        <f t="shared" si="43"/>
        <v>51.428571428571423</v>
      </c>
      <c r="BU238">
        <f t="shared" si="44"/>
        <v>50.113378684807252</v>
      </c>
      <c r="BV238">
        <f t="shared" si="45"/>
        <v>50.621118012422365</v>
      </c>
      <c r="BW238">
        <f t="shared" si="46"/>
        <v>-14.682539682539684</v>
      </c>
    </row>
    <row r="239" spans="1:75" x14ac:dyDescent="0.2">
      <c r="A239" t="s">
        <v>127</v>
      </c>
      <c r="B239" t="s">
        <v>128</v>
      </c>
      <c r="C239" t="s">
        <v>62</v>
      </c>
      <c r="D239" t="s">
        <v>342</v>
      </c>
      <c r="E239" t="s">
        <v>343</v>
      </c>
      <c r="F239" t="s">
        <v>403</v>
      </c>
      <c r="G239">
        <v>3.85</v>
      </c>
      <c r="H239">
        <v>7.5</v>
      </c>
      <c r="I239">
        <v>4.45</v>
      </c>
      <c r="J239">
        <v>0.95</v>
      </c>
      <c r="K239">
        <v>16.75</v>
      </c>
      <c r="L239">
        <v>3.1038961039999999</v>
      </c>
      <c r="M239">
        <v>216</v>
      </c>
      <c r="N239">
        <v>310</v>
      </c>
      <c r="O239">
        <v>94</v>
      </c>
      <c r="P239">
        <v>328</v>
      </c>
      <c r="Q239">
        <v>112</v>
      </c>
      <c r="R239">
        <v>56</v>
      </c>
      <c r="S239">
        <v>159.1</v>
      </c>
      <c r="T239">
        <v>51.851851850000003</v>
      </c>
      <c r="U239">
        <v>5.8064516130000001</v>
      </c>
      <c r="V239">
        <v>30</v>
      </c>
      <c r="W239">
        <v>45</v>
      </c>
      <c r="X239">
        <v>57</v>
      </c>
      <c r="Y239">
        <v>27</v>
      </c>
      <c r="Z239">
        <v>90</v>
      </c>
      <c r="AA239">
        <v>9</v>
      </c>
      <c r="AB239">
        <v>14</v>
      </c>
      <c r="AC239">
        <v>17</v>
      </c>
      <c r="AD239" t="s">
        <v>66</v>
      </c>
      <c r="AE239">
        <v>298</v>
      </c>
      <c r="AF239">
        <v>313</v>
      </c>
      <c r="AG239" t="s">
        <v>66</v>
      </c>
      <c r="AH239">
        <v>160</v>
      </c>
      <c r="AI239">
        <v>162</v>
      </c>
      <c r="AJ239" t="s">
        <v>66</v>
      </c>
      <c r="AK239">
        <v>105</v>
      </c>
      <c r="AL239">
        <v>128</v>
      </c>
      <c r="AM239">
        <v>132.5</v>
      </c>
      <c r="AN239">
        <v>145</v>
      </c>
      <c r="AO239">
        <v>9.4339622639999998</v>
      </c>
      <c r="AP239">
        <v>5.0335570470000004</v>
      </c>
      <c r="AQ239">
        <v>2.2490566040000002</v>
      </c>
      <c r="AR239">
        <v>2.1586206899999998</v>
      </c>
      <c r="AS239">
        <v>-9.0435914000000006E-2</v>
      </c>
      <c r="AT239">
        <v>0</v>
      </c>
      <c r="AU239" t="s">
        <v>66</v>
      </c>
      <c r="AV239">
        <v>1</v>
      </c>
      <c r="AW239">
        <v>2</v>
      </c>
      <c r="AX239">
        <v>0</v>
      </c>
      <c r="AY239">
        <v>1</v>
      </c>
      <c r="AZ239">
        <v>1</v>
      </c>
      <c r="BA239">
        <v>1</v>
      </c>
      <c r="BB239" t="s">
        <v>66</v>
      </c>
      <c r="BC239">
        <v>53.1</v>
      </c>
      <c r="BD239">
        <v>55.5</v>
      </c>
      <c r="BE239">
        <v>4.519774011</v>
      </c>
      <c r="BF239">
        <v>0</v>
      </c>
      <c r="BG239">
        <v>55.5</v>
      </c>
      <c r="BH239">
        <v>4.519774011</v>
      </c>
      <c r="BI239">
        <v>390</v>
      </c>
      <c r="BJ239">
        <v>39.6</v>
      </c>
      <c r="BK239">
        <v>28.3</v>
      </c>
      <c r="BL239">
        <f>390-49</f>
        <v>341</v>
      </c>
      <c r="BM239">
        <v>147</v>
      </c>
      <c r="BN239">
        <v>128</v>
      </c>
      <c r="BO239">
        <f t="shared" si="42"/>
        <v>137.5</v>
      </c>
      <c r="BP239">
        <v>4</v>
      </c>
      <c r="BQ239">
        <v>1</v>
      </c>
      <c r="BS239">
        <v>0</v>
      </c>
      <c r="BT239">
        <f t="shared" si="43"/>
        <v>44.61538461538462</v>
      </c>
      <c r="BU239">
        <f t="shared" si="44"/>
        <v>24.242424242424246</v>
      </c>
      <c r="BV239">
        <f t="shared" si="45"/>
        <v>12.609970674486803</v>
      </c>
      <c r="BW239">
        <f t="shared" si="46"/>
        <v>3.6363636363636362</v>
      </c>
    </row>
    <row r="240" spans="1:75" x14ac:dyDescent="0.2">
      <c r="A240" t="s">
        <v>127</v>
      </c>
      <c r="B240" t="s">
        <v>128</v>
      </c>
      <c r="C240" t="s">
        <v>62</v>
      </c>
      <c r="D240" t="s">
        <v>342</v>
      </c>
      <c r="E240" t="s">
        <v>345</v>
      </c>
      <c r="F240" t="s">
        <v>404</v>
      </c>
      <c r="G240">
        <v>3.85</v>
      </c>
      <c r="H240">
        <v>7.5</v>
      </c>
      <c r="I240">
        <v>4.45</v>
      </c>
      <c r="J240">
        <v>0.95</v>
      </c>
      <c r="K240">
        <v>16.75</v>
      </c>
      <c r="L240">
        <v>3.1038961039999999</v>
      </c>
      <c r="M240">
        <v>263</v>
      </c>
      <c r="N240">
        <v>324</v>
      </c>
      <c r="O240">
        <v>61</v>
      </c>
      <c r="P240">
        <v>367</v>
      </c>
      <c r="Q240">
        <v>104</v>
      </c>
      <c r="R240">
        <v>52</v>
      </c>
      <c r="S240">
        <v>151.1</v>
      </c>
      <c r="T240">
        <v>39.543726239999998</v>
      </c>
      <c r="U240">
        <v>13.27160494</v>
      </c>
      <c r="V240">
        <v>29</v>
      </c>
      <c r="W240">
        <v>46</v>
      </c>
      <c r="X240">
        <v>50</v>
      </c>
      <c r="Y240">
        <v>21</v>
      </c>
      <c r="Z240">
        <v>72.413793100000007</v>
      </c>
      <c r="AA240">
        <v>15</v>
      </c>
      <c r="AB240">
        <v>23</v>
      </c>
      <c r="AC240">
        <v>26</v>
      </c>
      <c r="AD240" t="s">
        <v>66</v>
      </c>
      <c r="AE240">
        <v>284</v>
      </c>
      <c r="AF240">
        <v>301</v>
      </c>
      <c r="AG240" t="s">
        <v>66</v>
      </c>
      <c r="AH240">
        <v>128</v>
      </c>
      <c r="AI240">
        <v>166</v>
      </c>
      <c r="AJ240" t="s">
        <v>66</v>
      </c>
      <c r="AK240">
        <v>95</v>
      </c>
      <c r="AL240">
        <v>138</v>
      </c>
      <c r="AM240">
        <v>111.5</v>
      </c>
      <c r="AN240">
        <v>152</v>
      </c>
      <c r="AO240">
        <v>36.322869959999998</v>
      </c>
      <c r="AP240">
        <v>5.9859154930000003</v>
      </c>
      <c r="AQ240">
        <v>2.5470852019999999</v>
      </c>
      <c r="AR240">
        <v>1.9802631580000001</v>
      </c>
      <c r="AS240">
        <v>-0.56682204400000002</v>
      </c>
      <c r="AT240">
        <v>0</v>
      </c>
      <c r="AU240" t="s">
        <v>66</v>
      </c>
      <c r="AV240">
        <v>4</v>
      </c>
      <c r="AW240">
        <v>2</v>
      </c>
      <c r="AX240">
        <v>0</v>
      </c>
      <c r="AY240">
        <v>1</v>
      </c>
      <c r="AZ240">
        <v>1</v>
      </c>
      <c r="BA240">
        <v>1</v>
      </c>
      <c r="BB240" t="s">
        <v>66</v>
      </c>
      <c r="BC240">
        <v>54.8</v>
      </c>
      <c r="BD240">
        <v>67.400000000000006</v>
      </c>
      <c r="BE240">
        <v>22.992700729999999</v>
      </c>
      <c r="BF240">
        <v>0</v>
      </c>
      <c r="BG240">
        <v>67.400000000000006</v>
      </c>
      <c r="BH240">
        <v>22.992700729999999</v>
      </c>
      <c r="BI240">
        <v>355</v>
      </c>
      <c r="BJ240">
        <v>61.6</v>
      </c>
      <c r="BK240">
        <v>38.6</v>
      </c>
      <c r="BL240">
        <v>315</v>
      </c>
      <c r="BM240">
        <v>110</v>
      </c>
      <c r="BN240">
        <v>103</v>
      </c>
      <c r="BO240">
        <f t="shared" si="42"/>
        <v>106.5</v>
      </c>
      <c r="BP240">
        <v>4</v>
      </c>
      <c r="BQ240">
        <v>1</v>
      </c>
      <c r="BS240">
        <v>0</v>
      </c>
      <c r="BT240">
        <f t="shared" si="43"/>
        <v>25.915492957746476</v>
      </c>
      <c r="BU240">
        <f t="shared" si="44"/>
        <v>52.922077922077925</v>
      </c>
      <c r="BV240">
        <f t="shared" si="45"/>
        <v>9.8412698412698418</v>
      </c>
      <c r="BW240">
        <f t="shared" si="46"/>
        <v>-4.6948356807511731</v>
      </c>
    </row>
    <row r="241" spans="1:75" x14ac:dyDescent="0.2">
      <c r="A241" t="s">
        <v>127</v>
      </c>
      <c r="B241" t="s">
        <v>128</v>
      </c>
      <c r="C241" t="s">
        <v>62</v>
      </c>
      <c r="D241" t="s">
        <v>342</v>
      </c>
      <c r="E241" t="s">
        <v>353</v>
      </c>
      <c r="F241" t="s">
        <v>408</v>
      </c>
      <c r="G241">
        <v>3.85</v>
      </c>
      <c r="H241">
        <v>7.5</v>
      </c>
      <c r="I241">
        <v>4.45</v>
      </c>
      <c r="J241">
        <v>0.95</v>
      </c>
      <c r="K241">
        <v>16.75</v>
      </c>
      <c r="L241">
        <v>3.1038961039999999</v>
      </c>
      <c r="M241">
        <v>123</v>
      </c>
      <c r="N241">
        <v>170</v>
      </c>
      <c r="O241">
        <v>47</v>
      </c>
      <c r="P241">
        <v>184</v>
      </c>
      <c r="Q241">
        <v>61</v>
      </c>
      <c r="R241">
        <v>30.5</v>
      </c>
      <c r="S241">
        <v>108.1</v>
      </c>
      <c r="T241">
        <v>49.593495930000003</v>
      </c>
      <c r="U241">
        <v>8.2352941180000006</v>
      </c>
      <c r="V241">
        <v>8</v>
      </c>
      <c r="W241">
        <v>14</v>
      </c>
      <c r="X241">
        <v>14</v>
      </c>
      <c r="Y241">
        <v>6</v>
      </c>
      <c r="Z241">
        <v>75</v>
      </c>
      <c r="AA241" t="s">
        <v>66</v>
      </c>
      <c r="AB241">
        <v>4</v>
      </c>
      <c r="AC241">
        <v>5</v>
      </c>
      <c r="AD241" t="s">
        <v>66</v>
      </c>
      <c r="AE241">
        <v>128</v>
      </c>
      <c r="AF241">
        <v>132</v>
      </c>
      <c r="AG241" t="s">
        <v>66</v>
      </c>
      <c r="AH241">
        <v>50</v>
      </c>
      <c r="AI241">
        <v>66</v>
      </c>
      <c r="AJ241" t="s">
        <v>66</v>
      </c>
      <c r="AK241">
        <v>28</v>
      </c>
      <c r="AL241">
        <v>49</v>
      </c>
      <c r="AM241">
        <v>39</v>
      </c>
      <c r="AN241">
        <v>57.5</v>
      </c>
      <c r="AO241">
        <v>47.435897439999998</v>
      </c>
      <c r="AP241">
        <v>3.125</v>
      </c>
      <c r="AQ241">
        <v>3.2820512819999998</v>
      </c>
      <c r="AR241">
        <v>2.2956521740000002</v>
      </c>
      <c r="AS241">
        <v>-0.98639910799999997</v>
      </c>
      <c r="AT241">
        <v>0</v>
      </c>
      <c r="AU241" t="s">
        <v>66</v>
      </c>
      <c r="AV241">
        <v>1</v>
      </c>
      <c r="AW241">
        <v>1</v>
      </c>
      <c r="AX241">
        <v>0</v>
      </c>
      <c r="AY241">
        <v>1</v>
      </c>
      <c r="AZ241">
        <v>1</v>
      </c>
      <c r="BA241">
        <v>1</v>
      </c>
      <c r="BB241" t="s">
        <v>66</v>
      </c>
      <c r="BC241">
        <v>42.9</v>
      </c>
      <c r="BD241">
        <v>55.2</v>
      </c>
      <c r="BE241">
        <v>28.671328670000001</v>
      </c>
      <c r="BF241">
        <v>0</v>
      </c>
      <c r="BG241">
        <v>55.2</v>
      </c>
      <c r="BH241">
        <v>28.671328670000001</v>
      </c>
      <c r="BI241">
        <v>450</v>
      </c>
      <c r="BJ241">
        <v>44.2</v>
      </c>
      <c r="BK241">
        <v>26.1</v>
      </c>
      <c r="BL241">
        <v>346</v>
      </c>
      <c r="BM241">
        <v>126</v>
      </c>
      <c r="BN241">
        <v>125</v>
      </c>
      <c r="BO241">
        <f t="shared" si="42"/>
        <v>125.5</v>
      </c>
      <c r="BP241">
        <v>4</v>
      </c>
      <c r="BQ241">
        <v>1</v>
      </c>
      <c r="BS241">
        <v>0</v>
      </c>
      <c r="BT241">
        <f t="shared" si="43"/>
        <v>72.666666666666671</v>
      </c>
      <c r="BU241">
        <f t="shared" si="44"/>
        <v>81.900452488687776</v>
      </c>
      <c r="BV241">
        <f t="shared" si="45"/>
        <v>63.005780346820806</v>
      </c>
      <c r="BW241">
        <f t="shared" si="46"/>
        <v>68.924302788844628</v>
      </c>
    </row>
    <row r="242" spans="1:75" x14ac:dyDescent="0.2">
      <c r="A242" t="s">
        <v>127</v>
      </c>
      <c r="B242" t="s">
        <v>128</v>
      </c>
      <c r="C242" t="s">
        <v>62</v>
      </c>
      <c r="D242" t="s">
        <v>342</v>
      </c>
      <c r="E242" t="s">
        <v>361</v>
      </c>
      <c r="F242" t="s">
        <v>412</v>
      </c>
      <c r="G242">
        <v>3.85</v>
      </c>
      <c r="H242">
        <v>7.5</v>
      </c>
      <c r="I242">
        <v>4.45</v>
      </c>
      <c r="J242">
        <v>0.95</v>
      </c>
      <c r="K242">
        <v>16.75</v>
      </c>
      <c r="L242">
        <v>3.1038961039999999</v>
      </c>
      <c r="M242">
        <v>220</v>
      </c>
      <c r="N242">
        <v>234</v>
      </c>
      <c r="O242">
        <v>14</v>
      </c>
      <c r="P242">
        <v>224</v>
      </c>
      <c r="Q242">
        <v>4</v>
      </c>
      <c r="R242">
        <v>2</v>
      </c>
      <c r="S242">
        <v>51.1</v>
      </c>
      <c r="T242">
        <v>1.818181818</v>
      </c>
      <c r="U242">
        <v>-4.2735042740000004</v>
      </c>
      <c r="V242">
        <v>15</v>
      </c>
      <c r="W242">
        <v>16</v>
      </c>
      <c r="X242">
        <v>17</v>
      </c>
      <c r="Y242">
        <v>2</v>
      </c>
      <c r="Z242">
        <v>13.33333333</v>
      </c>
      <c r="AA242">
        <v>6</v>
      </c>
      <c r="AB242">
        <v>8</v>
      </c>
      <c r="AC242">
        <v>9</v>
      </c>
      <c r="AD242" t="s">
        <v>66</v>
      </c>
      <c r="AE242">
        <v>191</v>
      </c>
      <c r="AF242">
        <v>137</v>
      </c>
      <c r="AG242" t="s">
        <v>66</v>
      </c>
      <c r="AH242">
        <v>67</v>
      </c>
      <c r="AI242">
        <v>79</v>
      </c>
      <c r="AJ242" t="s">
        <v>66</v>
      </c>
      <c r="AK242">
        <v>57</v>
      </c>
      <c r="AL242">
        <v>44</v>
      </c>
      <c r="AM242">
        <v>62</v>
      </c>
      <c r="AN242">
        <v>61.5</v>
      </c>
      <c r="AO242">
        <v>-0.80645161300000001</v>
      </c>
      <c r="AP242">
        <v>-28.272251310000001</v>
      </c>
      <c r="AQ242">
        <v>3.0806451610000001</v>
      </c>
      <c r="AR242">
        <v>2.2276422760000001</v>
      </c>
      <c r="AS242">
        <v>-0.85300288499999999</v>
      </c>
      <c r="AT242">
        <v>0</v>
      </c>
      <c r="AU242" t="s">
        <v>66</v>
      </c>
      <c r="AV242">
        <v>0</v>
      </c>
      <c r="AW242">
        <v>3</v>
      </c>
      <c r="AX242">
        <v>0</v>
      </c>
      <c r="AY242">
        <v>1</v>
      </c>
      <c r="AZ242">
        <v>1</v>
      </c>
      <c r="BA242">
        <v>1</v>
      </c>
      <c r="BB242" t="s">
        <v>66</v>
      </c>
      <c r="BC242">
        <v>54.6</v>
      </c>
      <c r="BD242">
        <v>56.6</v>
      </c>
      <c r="BE242">
        <v>3.663003663</v>
      </c>
      <c r="BF242">
        <v>0</v>
      </c>
      <c r="BG242">
        <v>56.6</v>
      </c>
      <c r="BH242">
        <v>3.663003663</v>
      </c>
      <c r="BI242">
        <v>256</v>
      </c>
      <c r="BJ242">
        <v>18.7</v>
      </c>
      <c r="BK242">
        <v>9.3000000000000007</v>
      </c>
      <c r="BL242">
        <f>256-117</f>
        <v>139</v>
      </c>
      <c r="BM242">
        <v>58</v>
      </c>
      <c r="BN242">
        <v>38</v>
      </c>
      <c r="BO242">
        <f t="shared" si="42"/>
        <v>48</v>
      </c>
      <c r="BP242">
        <v>4</v>
      </c>
      <c r="BQ242">
        <v>1</v>
      </c>
      <c r="BS242">
        <v>0</v>
      </c>
      <c r="BT242">
        <f t="shared" si="43"/>
        <v>14.0625</v>
      </c>
      <c r="BU242">
        <f t="shared" si="44"/>
        <v>19.786096256684488</v>
      </c>
      <c r="BV242">
        <f t="shared" si="45"/>
        <v>-37.410071942446045</v>
      </c>
      <c r="BW242">
        <f t="shared" si="46"/>
        <v>-29.166666666666668</v>
      </c>
    </row>
    <row r="243" spans="1:75" x14ac:dyDescent="0.2">
      <c r="A243" t="s">
        <v>127</v>
      </c>
      <c r="B243" t="s">
        <v>128</v>
      </c>
      <c r="C243" t="s">
        <v>62</v>
      </c>
      <c r="D243" t="s">
        <v>342</v>
      </c>
      <c r="E243" t="s">
        <v>363</v>
      </c>
      <c r="F243" t="s">
        <v>413</v>
      </c>
      <c r="G243">
        <v>3.85</v>
      </c>
      <c r="H243">
        <v>7.5</v>
      </c>
      <c r="I243">
        <v>4.45</v>
      </c>
      <c r="J243">
        <v>0.95</v>
      </c>
      <c r="K243">
        <v>16.75</v>
      </c>
      <c r="L243">
        <v>3.1038961039999999</v>
      </c>
      <c r="M243">
        <v>280</v>
      </c>
      <c r="N243">
        <v>322</v>
      </c>
      <c r="O243">
        <v>42</v>
      </c>
      <c r="P243">
        <v>354</v>
      </c>
      <c r="Q243">
        <v>74</v>
      </c>
      <c r="R243">
        <v>37</v>
      </c>
      <c r="S243">
        <v>121.1</v>
      </c>
      <c r="T243">
        <v>26.428571430000002</v>
      </c>
      <c r="U243">
        <v>9.9378881989999996</v>
      </c>
      <c r="V243">
        <v>22</v>
      </c>
      <c r="W243">
        <v>30</v>
      </c>
      <c r="X243">
        <v>32</v>
      </c>
      <c r="Y243">
        <v>10</v>
      </c>
      <c r="Z243">
        <v>45.454545449999998</v>
      </c>
      <c r="AA243">
        <v>15</v>
      </c>
      <c r="AB243">
        <v>18</v>
      </c>
      <c r="AC243">
        <v>18</v>
      </c>
      <c r="AD243" t="s">
        <v>66</v>
      </c>
      <c r="AE243">
        <v>249</v>
      </c>
      <c r="AF243">
        <v>238</v>
      </c>
      <c r="AG243" t="s">
        <v>66</v>
      </c>
      <c r="AH243">
        <v>92</v>
      </c>
      <c r="AI243">
        <v>85</v>
      </c>
      <c r="AJ243" t="s">
        <v>66</v>
      </c>
      <c r="AK243">
        <v>85</v>
      </c>
      <c r="AL243">
        <v>78</v>
      </c>
      <c r="AM243">
        <v>88.5</v>
      </c>
      <c r="AN243">
        <v>81.5</v>
      </c>
      <c r="AO243">
        <v>-7.9096045200000002</v>
      </c>
      <c r="AP243">
        <v>-4.4176706829999999</v>
      </c>
      <c r="AQ243">
        <v>2.8135593220000001</v>
      </c>
      <c r="AR243">
        <v>2.9202453990000001</v>
      </c>
      <c r="AS243">
        <v>0.106686077</v>
      </c>
      <c r="AT243">
        <v>0</v>
      </c>
      <c r="AU243" t="s">
        <v>66</v>
      </c>
      <c r="AV243">
        <v>1</v>
      </c>
      <c r="AW243">
        <v>1</v>
      </c>
      <c r="AX243">
        <v>0</v>
      </c>
      <c r="AY243">
        <v>1</v>
      </c>
      <c r="AZ243">
        <v>1</v>
      </c>
      <c r="BA243">
        <v>1</v>
      </c>
      <c r="BB243" t="s">
        <v>66</v>
      </c>
      <c r="BC243">
        <v>61.9</v>
      </c>
      <c r="BD243">
        <v>67.8</v>
      </c>
      <c r="BE243">
        <v>9.5315024229999992</v>
      </c>
      <c r="BF243">
        <v>0</v>
      </c>
      <c r="BG243">
        <v>67.8</v>
      </c>
      <c r="BH243">
        <v>9.5315024229999992</v>
      </c>
      <c r="BI243">
        <v>377</v>
      </c>
      <c r="BJ243">
        <v>33.4</v>
      </c>
      <c r="BK243">
        <v>21.5</v>
      </c>
      <c r="BL243">
        <f>377-250</f>
        <v>127</v>
      </c>
      <c r="BM243">
        <v>90</v>
      </c>
      <c r="BN243">
        <v>80</v>
      </c>
      <c r="BO243">
        <f t="shared" si="42"/>
        <v>85</v>
      </c>
      <c r="BP243">
        <v>4</v>
      </c>
      <c r="BQ243">
        <v>1</v>
      </c>
      <c r="BS243">
        <v>0</v>
      </c>
      <c r="BT243">
        <f t="shared" si="43"/>
        <v>25.72944297082228</v>
      </c>
      <c r="BU243">
        <f t="shared" si="44"/>
        <v>34.131736526946106</v>
      </c>
      <c r="BV243">
        <f t="shared" si="45"/>
        <v>-96.062992125984252</v>
      </c>
      <c r="BW243">
        <f t="shared" si="46"/>
        <v>-4.117647058823529</v>
      </c>
    </row>
    <row r="244" spans="1:75" x14ac:dyDescent="0.2">
      <c r="A244" t="s">
        <v>127</v>
      </c>
      <c r="B244" t="s">
        <v>128</v>
      </c>
      <c r="C244" t="s">
        <v>62</v>
      </c>
      <c r="D244" t="s">
        <v>342</v>
      </c>
      <c r="E244" t="s">
        <v>369</v>
      </c>
      <c r="F244" t="s">
        <v>416</v>
      </c>
      <c r="G244">
        <v>3.85</v>
      </c>
      <c r="H244">
        <v>7.5</v>
      </c>
      <c r="I244">
        <v>4.45</v>
      </c>
      <c r="J244">
        <v>0.95</v>
      </c>
      <c r="K244">
        <v>16.75</v>
      </c>
      <c r="L244">
        <v>3.1038961039999999</v>
      </c>
      <c r="M244">
        <v>144</v>
      </c>
      <c r="N244">
        <v>182</v>
      </c>
      <c r="O244">
        <v>38</v>
      </c>
      <c r="P244">
        <v>203</v>
      </c>
      <c r="Q244">
        <v>59</v>
      </c>
      <c r="R244">
        <v>29.5</v>
      </c>
      <c r="S244">
        <v>106.1</v>
      </c>
      <c r="T244">
        <v>40.972222219999999</v>
      </c>
      <c r="U244">
        <v>11.53846154</v>
      </c>
      <c r="V244">
        <v>10</v>
      </c>
      <c r="W244">
        <v>18</v>
      </c>
      <c r="X244">
        <v>19</v>
      </c>
      <c r="Y244">
        <v>9</v>
      </c>
      <c r="Z244">
        <v>90</v>
      </c>
      <c r="AA244">
        <v>1</v>
      </c>
      <c r="AB244">
        <v>5</v>
      </c>
      <c r="AC244">
        <v>6</v>
      </c>
      <c r="AD244" t="s">
        <v>66</v>
      </c>
      <c r="AE244">
        <v>142</v>
      </c>
      <c r="AF244">
        <v>160</v>
      </c>
      <c r="AG244" t="s">
        <v>66</v>
      </c>
      <c r="AH244">
        <v>77</v>
      </c>
      <c r="AI244">
        <v>62</v>
      </c>
      <c r="AJ244" t="s">
        <v>66</v>
      </c>
      <c r="AK244">
        <v>40</v>
      </c>
      <c r="AL244">
        <v>44</v>
      </c>
      <c r="AM244">
        <v>58.5</v>
      </c>
      <c r="AN244">
        <v>53</v>
      </c>
      <c r="AO244">
        <v>-9.4017094019999998</v>
      </c>
      <c r="AP244">
        <v>12.676056340000001</v>
      </c>
      <c r="AQ244">
        <v>2.4273504269999999</v>
      </c>
      <c r="AR244">
        <v>3.0188679249999999</v>
      </c>
      <c r="AS244">
        <v>0.59151749799999997</v>
      </c>
      <c r="AT244">
        <v>0</v>
      </c>
      <c r="AU244" t="s">
        <v>66</v>
      </c>
      <c r="AV244">
        <v>1</v>
      </c>
      <c r="AW244">
        <v>1</v>
      </c>
      <c r="AX244">
        <v>0</v>
      </c>
      <c r="AY244">
        <v>1</v>
      </c>
      <c r="AZ244">
        <v>1</v>
      </c>
      <c r="BA244">
        <v>1</v>
      </c>
      <c r="BB244" t="s">
        <v>66</v>
      </c>
      <c r="BC244">
        <v>45.8</v>
      </c>
      <c r="BD244">
        <v>53.6</v>
      </c>
      <c r="BE244">
        <v>17.030567690000002</v>
      </c>
      <c r="BF244">
        <v>0</v>
      </c>
      <c r="BG244">
        <v>53.6</v>
      </c>
      <c r="BH244">
        <v>17.030567690000002</v>
      </c>
      <c r="BI244">
        <v>235</v>
      </c>
      <c r="BJ244">
        <v>23</v>
      </c>
      <c r="BK244">
        <v>10.8</v>
      </c>
      <c r="BL244">
        <f>235-73</f>
        <v>162</v>
      </c>
      <c r="BM244">
        <v>110</v>
      </c>
      <c r="BN244">
        <v>75</v>
      </c>
      <c r="BO244">
        <f t="shared" si="42"/>
        <v>92.5</v>
      </c>
      <c r="BP244">
        <v>4</v>
      </c>
      <c r="BQ244">
        <v>1</v>
      </c>
      <c r="BS244">
        <v>0</v>
      </c>
      <c r="BT244">
        <f t="shared" si="43"/>
        <v>38.723404255319153</v>
      </c>
      <c r="BU244">
        <f t="shared" si="44"/>
        <v>56.521739130434781</v>
      </c>
      <c r="BV244">
        <f t="shared" si="45"/>
        <v>12.345679012345679</v>
      </c>
      <c r="BW244">
        <f t="shared" si="46"/>
        <v>36.756756756756758</v>
      </c>
    </row>
    <row r="245" spans="1:75" x14ac:dyDescent="0.2">
      <c r="A245" t="s">
        <v>127</v>
      </c>
      <c r="B245" t="s">
        <v>128</v>
      </c>
      <c r="C245" t="s">
        <v>62</v>
      </c>
      <c r="D245" t="s">
        <v>342</v>
      </c>
      <c r="E245" t="s">
        <v>371</v>
      </c>
      <c r="F245" t="s">
        <v>417</v>
      </c>
      <c r="G245">
        <v>3.85</v>
      </c>
      <c r="H245">
        <v>7.5</v>
      </c>
      <c r="I245">
        <v>4.45</v>
      </c>
      <c r="J245">
        <v>0.95</v>
      </c>
      <c r="K245">
        <v>16.75</v>
      </c>
      <c r="L245">
        <v>3.1038961039999999</v>
      </c>
      <c r="M245">
        <v>220</v>
      </c>
      <c r="N245">
        <v>265</v>
      </c>
      <c r="O245">
        <v>45</v>
      </c>
      <c r="P245">
        <v>321</v>
      </c>
      <c r="Q245">
        <v>101</v>
      </c>
      <c r="R245">
        <v>50.5</v>
      </c>
      <c r="S245">
        <v>148.1</v>
      </c>
      <c r="T245">
        <v>45.909090910000003</v>
      </c>
      <c r="U245">
        <v>21.13207547</v>
      </c>
      <c r="V245">
        <v>19</v>
      </c>
      <c r="W245">
        <v>27</v>
      </c>
      <c r="X245">
        <v>29</v>
      </c>
      <c r="Y245">
        <v>10</v>
      </c>
      <c r="Z245">
        <v>52.631578949999998</v>
      </c>
      <c r="AA245">
        <v>7</v>
      </c>
      <c r="AB245">
        <v>11</v>
      </c>
      <c r="AC245">
        <v>14</v>
      </c>
      <c r="AD245" t="s">
        <v>66</v>
      </c>
      <c r="AE245">
        <v>189</v>
      </c>
      <c r="AF245">
        <v>245</v>
      </c>
      <c r="AG245" t="s">
        <v>66</v>
      </c>
      <c r="AH245">
        <v>79</v>
      </c>
      <c r="AI245">
        <v>108</v>
      </c>
      <c r="AJ245" t="s">
        <v>66</v>
      </c>
      <c r="AK245">
        <v>77</v>
      </c>
      <c r="AL245">
        <v>77</v>
      </c>
      <c r="AM245">
        <v>78</v>
      </c>
      <c r="AN245">
        <v>92.5</v>
      </c>
      <c r="AO245">
        <v>18.589743590000001</v>
      </c>
      <c r="AP245">
        <v>29.62962963</v>
      </c>
      <c r="AQ245">
        <v>2.423076923</v>
      </c>
      <c r="AR245">
        <v>2.6486486490000001</v>
      </c>
      <c r="AS245">
        <v>0.225571726</v>
      </c>
      <c r="AT245">
        <v>0</v>
      </c>
      <c r="AU245" t="s">
        <v>66</v>
      </c>
      <c r="AV245">
        <v>1</v>
      </c>
      <c r="AW245">
        <v>2</v>
      </c>
      <c r="AX245">
        <v>0</v>
      </c>
      <c r="AY245">
        <v>1</v>
      </c>
      <c r="AZ245">
        <v>1</v>
      </c>
      <c r="BA245">
        <v>1</v>
      </c>
      <c r="BB245" t="s">
        <v>66</v>
      </c>
      <c r="BC245">
        <v>54.1</v>
      </c>
      <c r="BD245">
        <v>53.5</v>
      </c>
      <c r="BE245">
        <v>-1.109057301</v>
      </c>
      <c r="BF245">
        <v>0</v>
      </c>
      <c r="BG245">
        <v>53.5</v>
      </c>
      <c r="BH245">
        <v>-1.109057301</v>
      </c>
      <c r="BI245">
        <v>197</v>
      </c>
      <c r="BJ245">
        <v>23.7</v>
      </c>
      <c r="BK245">
        <v>4.7</v>
      </c>
      <c r="BL245">
        <f>197-104</f>
        <v>93</v>
      </c>
      <c r="BM245">
        <v>76</v>
      </c>
      <c r="BN245">
        <v>58</v>
      </c>
      <c r="BO245">
        <f t="shared" si="42"/>
        <v>67</v>
      </c>
      <c r="BP245">
        <v>4</v>
      </c>
      <c r="BQ245">
        <v>1</v>
      </c>
      <c r="BS245">
        <v>0</v>
      </c>
      <c r="BT245">
        <f t="shared" si="43"/>
        <v>-11.6751269035533</v>
      </c>
      <c r="BU245">
        <f t="shared" si="44"/>
        <v>19.83122362869198</v>
      </c>
      <c r="BV245">
        <f t="shared" si="45"/>
        <v>-103.2258064516129</v>
      </c>
      <c r="BW245">
        <f t="shared" si="46"/>
        <v>-16.417910447761194</v>
      </c>
    </row>
    <row r="246" spans="1:75" x14ac:dyDescent="0.2">
      <c r="A246" t="s">
        <v>127</v>
      </c>
      <c r="B246" t="s">
        <v>128</v>
      </c>
      <c r="C246" t="s">
        <v>62</v>
      </c>
      <c r="D246" t="s">
        <v>342</v>
      </c>
      <c r="E246" t="s">
        <v>373</v>
      </c>
      <c r="F246" t="s">
        <v>418</v>
      </c>
      <c r="G246">
        <v>3.85</v>
      </c>
      <c r="H246">
        <v>7.5</v>
      </c>
      <c r="I246">
        <v>4.45</v>
      </c>
      <c r="J246">
        <v>0.95</v>
      </c>
      <c r="K246">
        <v>16.75</v>
      </c>
      <c r="L246">
        <v>3.1038961039999999</v>
      </c>
      <c r="M246">
        <v>330</v>
      </c>
      <c r="N246">
        <v>357</v>
      </c>
      <c r="O246">
        <v>27</v>
      </c>
      <c r="P246">
        <v>409</v>
      </c>
      <c r="Q246">
        <v>79</v>
      </c>
      <c r="R246">
        <v>39.5</v>
      </c>
      <c r="S246">
        <v>126.1</v>
      </c>
      <c r="T246">
        <v>23.939393939999999</v>
      </c>
      <c r="U246">
        <v>14.56582633</v>
      </c>
      <c r="V246">
        <v>34</v>
      </c>
      <c r="W246">
        <v>50</v>
      </c>
      <c r="X246">
        <v>50</v>
      </c>
      <c r="Y246">
        <v>16</v>
      </c>
      <c r="Z246">
        <v>47.058823529999998</v>
      </c>
      <c r="AA246">
        <v>21</v>
      </c>
      <c r="AB246">
        <v>24</v>
      </c>
      <c r="AC246">
        <v>27</v>
      </c>
      <c r="AD246" t="s">
        <v>66</v>
      </c>
      <c r="AE246">
        <v>257</v>
      </c>
      <c r="AF246">
        <v>310</v>
      </c>
      <c r="AG246" t="s">
        <v>66</v>
      </c>
      <c r="AH246">
        <v>133</v>
      </c>
      <c r="AI246">
        <v>140</v>
      </c>
      <c r="AJ246" t="s">
        <v>66</v>
      </c>
      <c r="AK246">
        <v>92</v>
      </c>
      <c r="AL246">
        <v>91</v>
      </c>
      <c r="AM246">
        <v>112.5</v>
      </c>
      <c r="AN246">
        <v>115.5</v>
      </c>
      <c r="AO246">
        <v>2.6666666669999999</v>
      </c>
      <c r="AP246">
        <v>20.622568090000001</v>
      </c>
      <c r="AQ246">
        <v>2.284444444</v>
      </c>
      <c r="AR246">
        <v>2.6839826840000001</v>
      </c>
      <c r="AS246">
        <v>0.39953823999999999</v>
      </c>
      <c r="AT246">
        <v>0</v>
      </c>
      <c r="AU246" t="s">
        <v>66</v>
      </c>
      <c r="AV246">
        <v>2</v>
      </c>
      <c r="AW246">
        <v>1</v>
      </c>
      <c r="AX246">
        <v>0</v>
      </c>
      <c r="AY246">
        <v>1</v>
      </c>
      <c r="AZ246">
        <v>1</v>
      </c>
      <c r="BA246">
        <v>1</v>
      </c>
      <c r="BB246" t="s">
        <v>66</v>
      </c>
      <c r="BC246">
        <v>45.6</v>
      </c>
      <c r="BD246">
        <v>59.2</v>
      </c>
      <c r="BE246">
        <v>29.8245614</v>
      </c>
      <c r="BF246">
        <v>0</v>
      </c>
      <c r="BG246">
        <v>59.2</v>
      </c>
      <c r="BH246">
        <v>29.8245614</v>
      </c>
      <c r="BI246">
        <v>527</v>
      </c>
      <c r="BJ246">
        <v>60</v>
      </c>
      <c r="BK246">
        <v>36.6</v>
      </c>
      <c r="BL246">
        <f>527-157</f>
        <v>370</v>
      </c>
      <c r="BM246">
        <v>150</v>
      </c>
      <c r="BN246">
        <v>120</v>
      </c>
      <c r="BO246">
        <f t="shared" si="42"/>
        <v>135</v>
      </c>
      <c r="BP246">
        <v>4</v>
      </c>
      <c r="BQ246">
        <v>1</v>
      </c>
      <c r="BS246">
        <v>0</v>
      </c>
      <c r="BT246">
        <f t="shared" si="43"/>
        <v>37.381404174573056</v>
      </c>
      <c r="BU246">
        <f t="shared" si="44"/>
        <v>43.333333333333336</v>
      </c>
      <c r="BV246">
        <f t="shared" si="45"/>
        <v>30.54054054054054</v>
      </c>
      <c r="BW246">
        <f t="shared" si="46"/>
        <v>16.666666666666664</v>
      </c>
    </row>
    <row r="247" spans="1:75" x14ac:dyDescent="0.2">
      <c r="A247" t="s">
        <v>127</v>
      </c>
      <c r="B247" t="s">
        <v>128</v>
      </c>
      <c r="C247" t="s">
        <v>62</v>
      </c>
      <c r="D247" t="s">
        <v>342</v>
      </c>
      <c r="E247" t="s">
        <v>375</v>
      </c>
      <c r="F247" t="s">
        <v>419</v>
      </c>
      <c r="G247">
        <v>3.85</v>
      </c>
      <c r="H247">
        <v>7.5</v>
      </c>
      <c r="I247">
        <v>4.45</v>
      </c>
      <c r="J247">
        <v>0.95</v>
      </c>
      <c r="K247">
        <v>16.75</v>
      </c>
      <c r="L247">
        <v>3.1038961039999999</v>
      </c>
      <c r="M247">
        <v>106</v>
      </c>
      <c r="N247">
        <v>135</v>
      </c>
      <c r="O247">
        <v>29</v>
      </c>
      <c r="P247">
        <v>143</v>
      </c>
      <c r="Q247">
        <v>37</v>
      </c>
      <c r="R247">
        <v>18.5</v>
      </c>
      <c r="S247">
        <v>84.1</v>
      </c>
      <c r="T247">
        <v>34.90566038</v>
      </c>
      <c r="U247">
        <v>5.9259259259999997</v>
      </c>
      <c r="V247">
        <v>6</v>
      </c>
      <c r="W247">
        <v>12</v>
      </c>
      <c r="X247">
        <v>11</v>
      </c>
      <c r="Y247">
        <v>5</v>
      </c>
      <c r="Z247">
        <v>83.333333330000002</v>
      </c>
      <c r="AA247" t="s">
        <v>66</v>
      </c>
      <c r="AB247" t="s">
        <v>66</v>
      </c>
      <c r="AC247">
        <v>1</v>
      </c>
      <c r="AD247" t="s">
        <v>66</v>
      </c>
      <c r="AE247">
        <v>123</v>
      </c>
      <c r="AF247">
        <v>73</v>
      </c>
      <c r="AG247" t="s">
        <v>66</v>
      </c>
      <c r="AH247">
        <v>48</v>
      </c>
      <c r="AI247">
        <v>40</v>
      </c>
      <c r="AJ247" t="s">
        <v>66</v>
      </c>
      <c r="AK247">
        <v>40</v>
      </c>
      <c r="AL247">
        <v>31</v>
      </c>
      <c r="AM247">
        <v>44</v>
      </c>
      <c r="AN247">
        <v>35.5</v>
      </c>
      <c r="AO247">
        <v>-19.31818182</v>
      </c>
      <c r="AP247">
        <v>-40.650406500000003</v>
      </c>
      <c r="AQ247">
        <v>2.7954545450000001</v>
      </c>
      <c r="AR247">
        <v>2.0563380279999999</v>
      </c>
      <c r="AS247">
        <v>-0.73911651700000003</v>
      </c>
      <c r="AT247">
        <v>0</v>
      </c>
      <c r="AU247" t="s">
        <v>66</v>
      </c>
      <c r="AV247">
        <v>1</v>
      </c>
      <c r="AW247">
        <v>1</v>
      </c>
      <c r="AX247">
        <v>0</v>
      </c>
      <c r="AY247">
        <v>1</v>
      </c>
      <c r="AZ247">
        <v>1</v>
      </c>
      <c r="BA247">
        <v>1</v>
      </c>
      <c r="BB247" t="s">
        <v>66</v>
      </c>
      <c r="BC247">
        <v>55.2</v>
      </c>
      <c r="BD247">
        <v>59.4</v>
      </c>
      <c r="BE247">
        <v>7.6086956519999998</v>
      </c>
      <c r="BF247">
        <v>0</v>
      </c>
      <c r="BG247">
        <v>59.4</v>
      </c>
      <c r="BH247">
        <v>7.6086956519999998</v>
      </c>
      <c r="BI247">
        <v>162</v>
      </c>
      <c r="BJ247">
        <v>12</v>
      </c>
      <c r="BK247">
        <v>3.5</v>
      </c>
      <c r="BL247">
        <v>110</v>
      </c>
      <c r="BM247">
        <v>51</v>
      </c>
      <c r="BN247">
        <v>27</v>
      </c>
      <c r="BO247">
        <f t="shared" si="42"/>
        <v>39</v>
      </c>
      <c r="BP247">
        <v>4</v>
      </c>
      <c r="BQ247">
        <v>1</v>
      </c>
      <c r="BS247">
        <v>0</v>
      </c>
      <c r="BT247">
        <f t="shared" si="43"/>
        <v>34.567901234567898</v>
      </c>
      <c r="BU247">
        <f t="shared" si="44"/>
        <v>50</v>
      </c>
      <c r="BV247">
        <f t="shared" si="45"/>
        <v>-11.818181818181818</v>
      </c>
      <c r="BW247">
        <f t="shared" si="46"/>
        <v>-12.820512820512819</v>
      </c>
    </row>
    <row r="248" spans="1:75" x14ac:dyDescent="0.2">
      <c r="A248" t="s">
        <v>127</v>
      </c>
      <c r="B248" t="s">
        <v>128</v>
      </c>
      <c r="C248" t="s">
        <v>62</v>
      </c>
      <c r="D248" t="s">
        <v>342</v>
      </c>
      <c r="E248" t="s">
        <v>377</v>
      </c>
      <c r="F248" t="s">
        <v>420</v>
      </c>
      <c r="G248">
        <v>3.85</v>
      </c>
      <c r="H248">
        <v>7.5</v>
      </c>
      <c r="I248">
        <v>4.45</v>
      </c>
      <c r="J248">
        <v>0.95</v>
      </c>
      <c r="K248">
        <v>16.75</v>
      </c>
      <c r="L248">
        <v>3.1038961039999999</v>
      </c>
      <c r="M248">
        <v>232</v>
      </c>
      <c r="N248">
        <v>300</v>
      </c>
      <c r="O248">
        <v>68</v>
      </c>
      <c r="P248">
        <v>336</v>
      </c>
      <c r="Q248">
        <v>104</v>
      </c>
      <c r="R248">
        <v>52</v>
      </c>
      <c r="S248">
        <v>151.1</v>
      </c>
      <c r="T248">
        <v>44.82758621</v>
      </c>
      <c r="U248">
        <v>12</v>
      </c>
      <c r="V248">
        <v>19</v>
      </c>
      <c r="W248">
        <v>33</v>
      </c>
      <c r="X248">
        <v>34</v>
      </c>
      <c r="Y248">
        <v>15</v>
      </c>
      <c r="Z248">
        <v>78.947368420000004</v>
      </c>
      <c r="AA248">
        <v>9</v>
      </c>
      <c r="AB248">
        <v>15</v>
      </c>
      <c r="AC248">
        <v>18</v>
      </c>
      <c r="AD248" t="s">
        <v>66</v>
      </c>
      <c r="AE248">
        <v>183</v>
      </c>
      <c r="AF248">
        <v>320</v>
      </c>
      <c r="AG248" t="s">
        <v>66</v>
      </c>
      <c r="AH248">
        <v>144</v>
      </c>
      <c r="AI248">
        <v>157</v>
      </c>
      <c r="AJ248" t="s">
        <v>66</v>
      </c>
      <c r="AK248">
        <v>110</v>
      </c>
      <c r="AL248">
        <v>126</v>
      </c>
      <c r="AM248">
        <v>127</v>
      </c>
      <c r="AN248">
        <v>141.5</v>
      </c>
      <c r="AO248">
        <v>11.41732283</v>
      </c>
      <c r="AP248">
        <v>74.863387979999999</v>
      </c>
      <c r="AQ248">
        <v>1.4409448819999999</v>
      </c>
      <c r="AR248">
        <v>2.261484099</v>
      </c>
      <c r="AS248">
        <v>0.82053921699999999</v>
      </c>
      <c r="AT248">
        <v>0</v>
      </c>
      <c r="AU248" t="s">
        <v>66</v>
      </c>
      <c r="AV248">
        <v>3</v>
      </c>
      <c r="AW248">
        <v>2</v>
      </c>
      <c r="AX248">
        <v>0</v>
      </c>
      <c r="AY248">
        <v>1</v>
      </c>
      <c r="AZ248">
        <v>1</v>
      </c>
      <c r="BA248">
        <v>1</v>
      </c>
      <c r="BB248" t="s">
        <v>66</v>
      </c>
      <c r="BC248">
        <v>52.4</v>
      </c>
      <c r="BD248">
        <v>60</v>
      </c>
      <c r="BE248">
        <v>14.50381679</v>
      </c>
      <c r="BF248">
        <v>0</v>
      </c>
      <c r="BG248">
        <v>60</v>
      </c>
      <c r="BH248">
        <v>14.50381679</v>
      </c>
      <c r="BI248">
        <v>272</v>
      </c>
      <c r="BJ248">
        <v>48.7</v>
      </c>
      <c r="BK248">
        <v>29.6</v>
      </c>
      <c r="BL248">
        <f>272-118</f>
        <v>154</v>
      </c>
      <c r="BM248">
        <v>190</v>
      </c>
      <c r="BN248">
        <v>120</v>
      </c>
      <c r="BO248">
        <f t="shared" si="42"/>
        <v>155</v>
      </c>
      <c r="BP248">
        <v>4</v>
      </c>
      <c r="BQ248">
        <v>1</v>
      </c>
      <c r="BS248">
        <v>0</v>
      </c>
      <c r="BT248">
        <f t="shared" si="43"/>
        <v>14.705882352941178</v>
      </c>
      <c r="BU248">
        <f t="shared" si="44"/>
        <v>60.985626283367559</v>
      </c>
      <c r="BV248">
        <f t="shared" si="45"/>
        <v>-18.831168831168831</v>
      </c>
      <c r="BW248">
        <f t="shared" si="46"/>
        <v>18.064516129032256</v>
      </c>
    </row>
    <row r="249" spans="1:75" x14ac:dyDescent="0.2">
      <c r="A249" t="s">
        <v>127</v>
      </c>
      <c r="B249" t="s">
        <v>128</v>
      </c>
      <c r="C249" t="s">
        <v>62</v>
      </c>
      <c r="D249" t="s">
        <v>342</v>
      </c>
      <c r="E249" t="s">
        <v>381</v>
      </c>
      <c r="F249" t="s">
        <v>422</v>
      </c>
      <c r="G249">
        <v>3.85</v>
      </c>
      <c r="H249">
        <v>7.5</v>
      </c>
      <c r="I249">
        <v>4.45</v>
      </c>
      <c r="J249">
        <v>0.95</v>
      </c>
      <c r="K249">
        <v>16.75</v>
      </c>
      <c r="L249">
        <v>3.1038961039999999</v>
      </c>
      <c r="M249">
        <v>278</v>
      </c>
      <c r="N249">
        <v>400</v>
      </c>
      <c r="O249">
        <v>122</v>
      </c>
      <c r="P249">
        <v>433</v>
      </c>
      <c r="Q249">
        <v>155</v>
      </c>
      <c r="R249">
        <v>77.5</v>
      </c>
      <c r="S249">
        <v>202.1</v>
      </c>
      <c r="T249">
        <v>55.755395679999999</v>
      </c>
      <c r="U249">
        <v>8.25</v>
      </c>
      <c r="V249">
        <v>32</v>
      </c>
      <c r="W249">
        <v>49</v>
      </c>
      <c r="X249">
        <v>50</v>
      </c>
      <c r="Y249">
        <v>18</v>
      </c>
      <c r="Z249">
        <v>56.25</v>
      </c>
      <c r="AA249">
        <v>15</v>
      </c>
      <c r="AB249">
        <v>24</v>
      </c>
      <c r="AC249">
        <v>26</v>
      </c>
      <c r="AD249" t="s">
        <v>66</v>
      </c>
      <c r="AE249">
        <v>333</v>
      </c>
      <c r="AF249">
        <v>361</v>
      </c>
      <c r="AG249" t="s">
        <v>66</v>
      </c>
      <c r="AH249">
        <v>160</v>
      </c>
      <c r="AI249">
        <v>149</v>
      </c>
      <c r="AJ249" t="s">
        <v>66</v>
      </c>
      <c r="AK249">
        <v>155</v>
      </c>
      <c r="AL249">
        <v>150</v>
      </c>
      <c r="AM249">
        <v>157.5</v>
      </c>
      <c r="AN249">
        <v>149.5</v>
      </c>
      <c r="AO249">
        <v>-5.0793650789999996</v>
      </c>
      <c r="AP249">
        <v>8.4084084079999997</v>
      </c>
      <c r="AQ249">
        <v>2.1142857140000002</v>
      </c>
      <c r="AR249">
        <v>2.4147157190000001</v>
      </c>
      <c r="AS249">
        <v>0.300430005</v>
      </c>
      <c r="AT249">
        <v>0</v>
      </c>
      <c r="AU249" t="s">
        <v>66</v>
      </c>
      <c r="AV249">
        <v>3</v>
      </c>
      <c r="AW249">
        <v>2</v>
      </c>
      <c r="AX249">
        <v>0</v>
      </c>
      <c r="AY249">
        <v>1</v>
      </c>
      <c r="AZ249">
        <v>1</v>
      </c>
      <c r="BA249">
        <v>1</v>
      </c>
      <c r="BB249" t="s">
        <v>66</v>
      </c>
      <c r="BC249">
        <v>45.5</v>
      </c>
      <c r="BD249">
        <v>57</v>
      </c>
      <c r="BE249">
        <v>25.274725270000001</v>
      </c>
      <c r="BF249">
        <v>0</v>
      </c>
      <c r="BG249">
        <v>57</v>
      </c>
      <c r="BH249">
        <v>25.274725270000001</v>
      </c>
      <c r="BI249">
        <v>545</v>
      </c>
      <c r="BJ249">
        <v>60.3</v>
      </c>
      <c r="BK249">
        <v>31.6</v>
      </c>
      <c r="BL249">
        <f>545-174</f>
        <v>371</v>
      </c>
      <c r="BM249">
        <v>118</v>
      </c>
      <c r="BN249">
        <v>110</v>
      </c>
      <c r="BO249">
        <f t="shared" si="42"/>
        <v>114</v>
      </c>
      <c r="BP249">
        <v>3</v>
      </c>
      <c r="BQ249">
        <v>1</v>
      </c>
      <c r="BS249">
        <v>0</v>
      </c>
      <c r="BT249">
        <f t="shared" si="43"/>
        <v>48.9908256880734</v>
      </c>
      <c r="BU249">
        <f t="shared" si="44"/>
        <v>46.932006633499171</v>
      </c>
      <c r="BV249">
        <f t="shared" si="45"/>
        <v>10.242587601078167</v>
      </c>
      <c r="BW249">
        <f t="shared" si="46"/>
        <v>-38.15789473684211</v>
      </c>
    </row>
    <row r="250" spans="1:75" x14ac:dyDescent="0.2">
      <c r="A250" t="s">
        <v>127</v>
      </c>
      <c r="B250" t="s">
        <v>128</v>
      </c>
      <c r="C250" t="s">
        <v>62</v>
      </c>
      <c r="D250" t="s">
        <v>342</v>
      </c>
      <c r="E250" t="s">
        <v>349</v>
      </c>
      <c r="F250" t="s">
        <v>406</v>
      </c>
      <c r="G250">
        <v>3.85</v>
      </c>
      <c r="H250">
        <v>7.5</v>
      </c>
      <c r="I250">
        <v>4.45</v>
      </c>
      <c r="J250">
        <v>0.95</v>
      </c>
      <c r="K250">
        <v>16.75</v>
      </c>
      <c r="L250">
        <v>3.1038961039999999</v>
      </c>
      <c r="M250">
        <v>150</v>
      </c>
      <c r="N250">
        <v>203</v>
      </c>
      <c r="O250">
        <v>53</v>
      </c>
      <c r="P250">
        <v>241</v>
      </c>
      <c r="Q250">
        <v>91</v>
      </c>
      <c r="R250">
        <v>45.5</v>
      </c>
      <c r="S250">
        <v>138.1</v>
      </c>
      <c r="T250">
        <v>60.666666669999998</v>
      </c>
      <c r="U250">
        <v>18.719211820000002</v>
      </c>
      <c r="V250">
        <v>22</v>
      </c>
      <c r="W250">
        <v>35</v>
      </c>
      <c r="X250">
        <v>33</v>
      </c>
      <c r="Y250">
        <v>11</v>
      </c>
      <c r="Z250">
        <v>50</v>
      </c>
      <c r="AA250">
        <v>9</v>
      </c>
      <c r="AB250">
        <v>7</v>
      </c>
      <c r="AC250">
        <v>9</v>
      </c>
      <c r="AD250" t="s">
        <v>66</v>
      </c>
      <c r="AE250">
        <v>193</v>
      </c>
      <c r="AF250">
        <v>230</v>
      </c>
      <c r="AG250" t="s">
        <v>66</v>
      </c>
      <c r="AH250">
        <v>87</v>
      </c>
      <c r="AI250">
        <v>78</v>
      </c>
      <c r="AJ250" t="s">
        <v>66</v>
      </c>
      <c r="AK250">
        <v>65</v>
      </c>
      <c r="AL250">
        <v>54</v>
      </c>
      <c r="AM250">
        <v>76</v>
      </c>
      <c r="AN250">
        <v>66</v>
      </c>
      <c r="AO250">
        <v>-13.15789474</v>
      </c>
      <c r="AP250">
        <v>19.17098446</v>
      </c>
      <c r="AQ250">
        <v>2.5394736839999998</v>
      </c>
      <c r="AR250">
        <v>3.4848484850000001</v>
      </c>
      <c r="AS250">
        <v>0.94537480100000004</v>
      </c>
      <c r="AT250">
        <v>0</v>
      </c>
      <c r="AU250" t="s">
        <v>66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 t="s">
        <v>66</v>
      </c>
      <c r="BC250">
        <v>50.5</v>
      </c>
      <c r="BD250">
        <v>63.5</v>
      </c>
      <c r="BE250">
        <v>25.742574260000001</v>
      </c>
      <c r="BF250">
        <v>0</v>
      </c>
      <c r="BG250">
        <v>63.5</v>
      </c>
      <c r="BH250">
        <v>25.742574260000001</v>
      </c>
      <c r="BI250">
        <f>150+261</f>
        <v>411</v>
      </c>
      <c r="BJ250">
        <v>41.1</v>
      </c>
      <c r="BK250">
        <v>19.399999999999999</v>
      </c>
      <c r="BL250">
        <f>411-45</f>
        <v>366</v>
      </c>
      <c r="BM250">
        <v>133</v>
      </c>
      <c r="BN250">
        <v>93</v>
      </c>
      <c r="BO250">
        <f t="shared" si="42"/>
        <v>113</v>
      </c>
      <c r="BP250">
        <v>3</v>
      </c>
      <c r="BQ250">
        <v>1</v>
      </c>
      <c r="BS250">
        <v>0</v>
      </c>
      <c r="BT250">
        <f t="shared" si="43"/>
        <v>63.503649635036496</v>
      </c>
      <c r="BU250">
        <f t="shared" si="44"/>
        <v>46.472019464720198</v>
      </c>
      <c r="BV250">
        <f t="shared" si="45"/>
        <v>47.267759562841533</v>
      </c>
      <c r="BW250">
        <f t="shared" si="46"/>
        <v>32.743362831858406</v>
      </c>
    </row>
    <row r="251" spans="1:75" x14ac:dyDescent="0.2">
      <c r="A251" t="s">
        <v>127</v>
      </c>
      <c r="B251" t="s">
        <v>128</v>
      </c>
      <c r="C251" t="s">
        <v>62</v>
      </c>
      <c r="D251" t="s">
        <v>342</v>
      </c>
      <c r="E251" t="s">
        <v>351</v>
      </c>
      <c r="F251" t="s">
        <v>407</v>
      </c>
      <c r="G251">
        <v>3.85</v>
      </c>
      <c r="H251">
        <v>7.5</v>
      </c>
      <c r="I251">
        <v>4.45</v>
      </c>
      <c r="J251">
        <v>0.95</v>
      </c>
      <c r="K251">
        <v>16.75</v>
      </c>
      <c r="L251">
        <v>3.1038961039999999</v>
      </c>
      <c r="M251">
        <v>158</v>
      </c>
      <c r="N251">
        <v>183</v>
      </c>
      <c r="O251">
        <v>25</v>
      </c>
      <c r="P251">
        <v>204</v>
      </c>
      <c r="Q251">
        <v>46</v>
      </c>
      <c r="R251">
        <v>23</v>
      </c>
      <c r="S251">
        <v>93.1</v>
      </c>
      <c r="T251">
        <v>29.113924050000001</v>
      </c>
      <c r="U251">
        <v>11.475409839999999</v>
      </c>
      <c r="V251">
        <v>18</v>
      </c>
      <c r="W251">
        <v>29</v>
      </c>
      <c r="X251">
        <v>28</v>
      </c>
      <c r="Y251">
        <v>10</v>
      </c>
      <c r="Z251">
        <v>55.555555560000002</v>
      </c>
      <c r="AA251">
        <v>6</v>
      </c>
      <c r="AB251">
        <v>5</v>
      </c>
      <c r="AC251">
        <v>8</v>
      </c>
      <c r="AD251" t="s">
        <v>66</v>
      </c>
      <c r="AE251">
        <v>153</v>
      </c>
      <c r="AF251">
        <v>133</v>
      </c>
      <c r="AG251" t="s">
        <v>66</v>
      </c>
      <c r="AH251">
        <v>90</v>
      </c>
      <c r="AI251">
        <v>90</v>
      </c>
      <c r="AJ251" t="s">
        <v>66</v>
      </c>
      <c r="AK251">
        <v>33</v>
      </c>
      <c r="AL251">
        <v>56</v>
      </c>
      <c r="AM251">
        <v>61.5</v>
      </c>
      <c r="AN251">
        <v>73</v>
      </c>
      <c r="AO251">
        <v>18.699186990000001</v>
      </c>
      <c r="AP251">
        <v>-13.071895420000001</v>
      </c>
      <c r="AQ251">
        <v>2.4878048779999999</v>
      </c>
      <c r="AR251">
        <v>1.821917808</v>
      </c>
      <c r="AS251">
        <v>-0.66588707000000003</v>
      </c>
      <c r="AT251">
        <v>0</v>
      </c>
      <c r="AU251" t="s">
        <v>66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 t="s">
        <v>66</v>
      </c>
      <c r="BC251">
        <v>45.9</v>
      </c>
      <c r="BD251">
        <v>62</v>
      </c>
      <c r="BE251">
        <v>35.076252719999999</v>
      </c>
      <c r="BF251">
        <v>0</v>
      </c>
      <c r="BG251">
        <v>62</v>
      </c>
      <c r="BH251">
        <v>35.076252719999999</v>
      </c>
      <c r="BI251">
        <v>363</v>
      </c>
      <c r="BJ251">
        <v>34.799999999999997</v>
      </c>
      <c r="BK251">
        <v>17.3</v>
      </c>
      <c r="BL251">
        <f>363-42</f>
        <v>321</v>
      </c>
      <c r="BM251">
        <v>117</v>
      </c>
      <c r="BN251">
        <v>71</v>
      </c>
      <c r="BO251">
        <f t="shared" si="42"/>
        <v>94</v>
      </c>
      <c r="BP251">
        <v>4</v>
      </c>
      <c r="BQ251">
        <v>1</v>
      </c>
      <c r="BS251">
        <v>0</v>
      </c>
      <c r="BT251">
        <f t="shared" si="43"/>
        <v>56.473829201101935</v>
      </c>
      <c r="BU251">
        <f t="shared" si="44"/>
        <v>48.275862068965516</v>
      </c>
      <c r="BV251">
        <f t="shared" si="45"/>
        <v>52.336448598130836</v>
      </c>
      <c r="BW251">
        <f t="shared" si="46"/>
        <v>34.574468085106389</v>
      </c>
    </row>
    <row r="252" spans="1:75" x14ac:dyDescent="0.2">
      <c r="A252" t="s">
        <v>127</v>
      </c>
      <c r="B252" t="s">
        <v>128</v>
      </c>
      <c r="C252" t="s">
        <v>62</v>
      </c>
      <c r="D252" t="s">
        <v>342</v>
      </c>
      <c r="E252" t="s">
        <v>359</v>
      </c>
      <c r="F252" t="s">
        <v>411</v>
      </c>
      <c r="G252">
        <v>3.85</v>
      </c>
      <c r="H252">
        <v>7.5</v>
      </c>
      <c r="I252">
        <v>4.45</v>
      </c>
      <c r="J252">
        <v>0.95</v>
      </c>
      <c r="K252">
        <v>16.75</v>
      </c>
      <c r="L252">
        <v>3.1038961039999999</v>
      </c>
      <c r="M252">
        <v>140</v>
      </c>
      <c r="N252">
        <v>187</v>
      </c>
      <c r="O252">
        <v>47</v>
      </c>
      <c r="P252">
        <v>214</v>
      </c>
      <c r="Q252">
        <v>74</v>
      </c>
      <c r="R252">
        <v>37</v>
      </c>
      <c r="S252">
        <v>121.1</v>
      </c>
      <c r="T252">
        <v>52.857142860000003</v>
      </c>
      <c r="U252">
        <v>14.43850267</v>
      </c>
      <c r="V252">
        <v>14</v>
      </c>
      <c r="W252">
        <v>19</v>
      </c>
      <c r="X252">
        <v>22</v>
      </c>
      <c r="Y252">
        <v>8</v>
      </c>
      <c r="Z252">
        <v>57.142857139999997</v>
      </c>
      <c r="AA252">
        <v>3</v>
      </c>
      <c r="AB252">
        <v>6</v>
      </c>
      <c r="AC252">
        <v>6</v>
      </c>
      <c r="AD252" t="s">
        <v>66</v>
      </c>
      <c r="AE252">
        <v>141</v>
      </c>
      <c r="AF252">
        <v>134</v>
      </c>
      <c r="AG252" t="s">
        <v>66</v>
      </c>
      <c r="AH252">
        <v>113</v>
      </c>
      <c r="AI252">
        <v>95</v>
      </c>
      <c r="AJ252" t="s">
        <v>66</v>
      </c>
      <c r="AK252">
        <v>81</v>
      </c>
      <c r="AL252">
        <v>59</v>
      </c>
      <c r="AM252">
        <v>97</v>
      </c>
      <c r="AN252">
        <v>77</v>
      </c>
      <c r="AO252">
        <v>-20.618556699999999</v>
      </c>
      <c r="AP252">
        <v>-4.9645390069999999</v>
      </c>
      <c r="AQ252">
        <v>1.453608247</v>
      </c>
      <c r="AR252">
        <v>1.7402597399999999</v>
      </c>
      <c r="AS252">
        <v>0.28665149299999998</v>
      </c>
      <c r="AT252">
        <v>0</v>
      </c>
      <c r="AU252" t="s">
        <v>66</v>
      </c>
      <c r="AV252">
        <v>0</v>
      </c>
      <c r="AW252">
        <v>1</v>
      </c>
      <c r="AX252">
        <v>1</v>
      </c>
      <c r="AY252">
        <v>1</v>
      </c>
      <c r="AZ252">
        <v>1</v>
      </c>
      <c r="BA252">
        <v>1</v>
      </c>
      <c r="BB252" t="s">
        <v>66</v>
      </c>
      <c r="BC252">
        <v>66.2</v>
      </c>
      <c r="BD252">
        <v>63.9</v>
      </c>
      <c r="BE252">
        <v>-3.4743202420000001</v>
      </c>
      <c r="BF252">
        <v>0</v>
      </c>
      <c r="BG252">
        <v>63.9</v>
      </c>
      <c r="BH252">
        <v>-3.4743202420000001</v>
      </c>
      <c r="BI252">
        <v>282</v>
      </c>
      <c r="BJ252">
        <v>27.7</v>
      </c>
      <c r="BK252">
        <v>10.4</v>
      </c>
      <c r="BL252">
        <f>282-55</f>
        <v>227</v>
      </c>
      <c r="BM252">
        <v>97</v>
      </c>
      <c r="BN252">
        <v>94</v>
      </c>
      <c r="BO252">
        <f t="shared" si="42"/>
        <v>95.5</v>
      </c>
      <c r="BP252">
        <v>4</v>
      </c>
      <c r="BQ252">
        <v>1</v>
      </c>
      <c r="BS252">
        <v>0</v>
      </c>
      <c r="BT252">
        <f t="shared" si="43"/>
        <v>50.354609929078009</v>
      </c>
      <c r="BU252">
        <f t="shared" si="44"/>
        <v>49.458483754512635</v>
      </c>
      <c r="BV252">
        <f t="shared" si="45"/>
        <v>37.885462555066077</v>
      </c>
      <c r="BW252">
        <f t="shared" si="46"/>
        <v>-1.5706806282722512</v>
      </c>
    </row>
    <row r="253" spans="1:75" x14ac:dyDescent="0.2">
      <c r="A253" t="s">
        <v>170</v>
      </c>
      <c r="B253" t="s">
        <v>171</v>
      </c>
      <c r="C253" t="s">
        <v>62</v>
      </c>
      <c r="D253" t="s">
        <v>342</v>
      </c>
      <c r="E253" t="s">
        <v>343</v>
      </c>
      <c r="F253" t="s">
        <v>443</v>
      </c>
      <c r="G253">
        <v>2.65</v>
      </c>
      <c r="H253">
        <v>15.9</v>
      </c>
      <c r="I253">
        <v>15.75</v>
      </c>
      <c r="J253">
        <v>1.4</v>
      </c>
      <c r="K253">
        <v>35.700000000000003</v>
      </c>
      <c r="L253">
        <v>11.943396229999999</v>
      </c>
      <c r="M253">
        <v>93</v>
      </c>
      <c r="N253">
        <v>91</v>
      </c>
      <c r="O253">
        <v>-2</v>
      </c>
      <c r="P253">
        <v>92</v>
      </c>
      <c r="Q253">
        <v>-1</v>
      </c>
      <c r="R253">
        <v>-0.5</v>
      </c>
      <c r="S253">
        <v>46.1</v>
      </c>
      <c r="T253">
        <v>-1.075268817</v>
      </c>
      <c r="U253">
        <v>1.0989010990000001</v>
      </c>
      <c r="V253">
        <v>11</v>
      </c>
      <c r="W253">
        <v>11</v>
      </c>
      <c r="X253">
        <v>11</v>
      </c>
      <c r="Y253">
        <v>0</v>
      </c>
      <c r="Z253">
        <v>0</v>
      </c>
      <c r="AA253" t="s">
        <v>66</v>
      </c>
      <c r="AB253" t="s">
        <v>66</v>
      </c>
      <c r="AC253" t="s">
        <v>66</v>
      </c>
      <c r="AD253" t="s">
        <v>66</v>
      </c>
      <c r="AE253">
        <v>45</v>
      </c>
      <c r="AF253">
        <v>24</v>
      </c>
      <c r="AG253" t="s">
        <v>66</v>
      </c>
      <c r="AH253">
        <v>25</v>
      </c>
      <c r="AI253">
        <v>25</v>
      </c>
      <c r="AJ253" t="s">
        <v>66</v>
      </c>
      <c r="AK253">
        <v>17</v>
      </c>
      <c r="AL253">
        <v>18</v>
      </c>
      <c r="AM253">
        <v>21</v>
      </c>
      <c r="AN253">
        <v>21.5</v>
      </c>
      <c r="AO253">
        <v>2.3809523810000002</v>
      </c>
      <c r="AP253">
        <v>-46.666666669999998</v>
      </c>
      <c r="AQ253">
        <v>2.1428571430000001</v>
      </c>
      <c r="AR253">
        <v>1.11627907</v>
      </c>
      <c r="AS253">
        <v>-1.026578073</v>
      </c>
      <c r="AT253">
        <v>0</v>
      </c>
      <c r="AU253" t="s">
        <v>66</v>
      </c>
      <c r="AV253">
        <v>1</v>
      </c>
      <c r="AW253">
        <v>4</v>
      </c>
      <c r="AX253">
        <v>0</v>
      </c>
      <c r="AY253">
        <v>1</v>
      </c>
      <c r="AZ253">
        <v>1</v>
      </c>
      <c r="BA253">
        <v>1</v>
      </c>
      <c r="BB253" t="s">
        <v>66</v>
      </c>
      <c r="BC253">
        <v>32.799999999999997</v>
      </c>
      <c r="BD253">
        <v>30.8</v>
      </c>
      <c r="BE253">
        <v>-6.0975609759999996</v>
      </c>
      <c r="BF253">
        <v>0</v>
      </c>
      <c r="BG253">
        <v>30.8</v>
      </c>
      <c r="BH253">
        <v>-6.0975609759999996</v>
      </c>
      <c r="BI253">
        <v>101</v>
      </c>
      <c r="BJ253">
        <v>11.9</v>
      </c>
      <c r="BK253" t="s">
        <v>66</v>
      </c>
      <c r="BL253">
        <f>101-66</f>
        <v>35</v>
      </c>
      <c r="BM253">
        <v>27</v>
      </c>
      <c r="BN253">
        <v>15</v>
      </c>
      <c r="BO253">
        <f t="shared" si="42"/>
        <v>21</v>
      </c>
      <c r="BP253">
        <v>4</v>
      </c>
      <c r="BQ253">
        <v>1</v>
      </c>
      <c r="BS253">
        <v>0</v>
      </c>
      <c r="BT253">
        <f t="shared" si="43"/>
        <v>7.9207920792079207</v>
      </c>
      <c r="BU253">
        <f t="shared" si="44"/>
        <v>7.5630252100840361</v>
      </c>
      <c r="BV253">
        <f t="shared" si="45"/>
        <v>-28.571428571428569</v>
      </c>
      <c r="BW253">
        <f t="shared" si="46"/>
        <v>0</v>
      </c>
    </row>
    <row r="254" spans="1:75" x14ac:dyDescent="0.2">
      <c r="A254" t="s">
        <v>170</v>
      </c>
      <c r="B254" t="s">
        <v>171</v>
      </c>
      <c r="C254" t="s">
        <v>62</v>
      </c>
      <c r="D254" t="s">
        <v>342</v>
      </c>
      <c r="E254" t="s">
        <v>365</v>
      </c>
      <c r="F254" t="s">
        <v>454</v>
      </c>
      <c r="G254">
        <v>2.65</v>
      </c>
      <c r="H254">
        <v>15.9</v>
      </c>
      <c r="I254">
        <v>15.75</v>
      </c>
      <c r="J254">
        <v>1.4</v>
      </c>
      <c r="K254">
        <v>35.700000000000003</v>
      </c>
      <c r="L254">
        <v>11.943396229999999</v>
      </c>
      <c r="M254">
        <v>104</v>
      </c>
      <c r="N254">
        <v>62</v>
      </c>
      <c r="O254">
        <v>-42</v>
      </c>
      <c r="P254">
        <v>65</v>
      </c>
      <c r="Q254">
        <v>-39</v>
      </c>
      <c r="R254">
        <v>-19.5</v>
      </c>
      <c r="S254">
        <v>8.1</v>
      </c>
      <c r="T254">
        <v>-37.5</v>
      </c>
      <c r="U254">
        <v>4.8387096769999998</v>
      </c>
      <c r="V254">
        <v>16</v>
      </c>
      <c r="W254">
        <v>16</v>
      </c>
      <c r="X254">
        <v>16</v>
      </c>
      <c r="Y254">
        <v>0</v>
      </c>
      <c r="Z254">
        <v>0</v>
      </c>
      <c r="AA254" t="s">
        <v>66</v>
      </c>
      <c r="AB254" t="s">
        <v>66</v>
      </c>
      <c r="AC254" t="s">
        <v>66</v>
      </c>
      <c r="AD254" t="s">
        <v>66</v>
      </c>
      <c r="AE254">
        <v>29</v>
      </c>
      <c r="AF254">
        <v>27</v>
      </c>
      <c r="AG254" t="s">
        <v>66</v>
      </c>
      <c r="AH254">
        <v>55</v>
      </c>
      <c r="AI254">
        <v>55</v>
      </c>
      <c r="AJ254" t="s">
        <v>66</v>
      </c>
      <c r="AK254">
        <v>16</v>
      </c>
      <c r="AL254">
        <v>13</v>
      </c>
      <c r="AM254">
        <v>35.5</v>
      </c>
      <c r="AN254">
        <v>34</v>
      </c>
      <c r="AO254">
        <v>-4.2253521129999996</v>
      </c>
      <c r="AP254">
        <v>-6.896551724</v>
      </c>
      <c r="AQ254">
        <v>0.816901408</v>
      </c>
      <c r="AR254">
        <v>0.79411764699999998</v>
      </c>
      <c r="AS254">
        <v>-2.2783761E-2</v>
      </c>
      <c r="AT254">
        <v>0</v>
      </c>
      <c r="AU254" t="s">
        <v>66</v>
      </c>
      <c r="AV254">
        <v>1</v>
      </c>
      <c r="AW254">
        <v>4</v>
      </c>
      <c r="AX254">
        <v>0</v>
      </c>
      <c r="AY254">
        <v>1</v>
      </c>
      <c r="AZ254">
        <v>1</v>
      </c>
      <c r="BA254">
        <v>1</v>
      </c>
      <c r="BB254" t="s">
        <v>66</v>
      </c>
      <c r="BC254">
        <v>32.5</v>
      </c>
      <c r="BD254">
        <v>40.700000000000003</v>
      </c>
      <c r="BE254">
        <v>25.23076923</v>
      </c>
      <c r="BF254">
        <v>0</v>
      </c>
      <c r="BG254">
        <v>40.700000000000003</v>
      </c>
      <c r="BH254">
        <v>25.23076923</v>
      </c>
      <c r="BI254">
        <v>74</v>
      </c>
      <c r="BJ254">
        <v>16.8</v>
      </c>
      <c r="BK254" t="s">
        <v>66</v>
      </c>
      <c r="BL254">
        <f>74-19</f>
        <v>55</v>
      </c>
      <c r="BM254">
        <v>50</v>
      </c>
      <c r="BN254">
        <v>26</v>
      </c>
      <c r="BO254">
        <f t="shared" si="42"/>
        <v>38</v>
      </c>
      <c r="BP254">
        <v>4</v>
      </c>
      <c r="BQ254">
        <v>1</v>
      </c>
      <c r="BS254">
        <v>0</v>
      </c>
      <c r="BT254">
        <f t="shared" si="43"/>
        <v>-40.54054054054054</v>
      </c>
      <c r="BU254">
        <f t="shared" si="44"/>
        <v>4.7619047619047654</v>
      </c>
      <c r="BV254">
        <f t="shared" si="45"/>
        <v>47.272727272727273</v>
      </c>
      <c r="BW254">
        <f t="shared" si="46"/>
        <v>6.5789473684210522</v>
      </c>
    </row>
    <row r="255" spans="1:75" x14ac:dyDescent="0.2">
      <c r="A255" t="s">
        <v>170</v>
      </c>
      <c r="B255" t="s">
        <v>171</v>
      </c>
      <c r="C255" t="s">
        <v>62</v>
      </c>
      <c r="D255" t="s">
        <v>342</v>
      </c>
      <c r="E255" t="s">
        <v>377</v>
      </c>
      <c r="F255" t="s">
        <v>460</v>
      </c>
      <c r="G255">
        <v>2.65</v>
      </c>
      <c r="H255">
        <v>15.9</v>
      </c>
      <c r="I255">
        <v>15.75</v>
      </c>
      <c r="J255">
        <v>1.4</v>
      </c>
      <c r="K255">
        <v>35.700000000000003</v>
      </c>
      <c r="L255">
        <v>11.943396229999999</v>
      </c>
      <c r="M255">
        <v>117</v>
      </c>
      <c r="N255">
        <v>135</v>
      </c>
      <c r="O255">
        <v>18</v>
      </c>
      <c r="P255">
        <v>141</v>
      </c>
      <c r="Q255">
        <v>24</v>
      </c>
      <c r="R255">
        <v>12</v>
      </c>
      <c r="S255">
        <v>71.099999999999994</v>
      </c>
      <c r="T255">
        <v>20.512820510000001</v>
      </c>
      <c r="U255">
        <v>4.4444444440000002</v>
      </c>
      <c r="V255">
        <v>8</v>
      </c>
      <c r="W255">
        <v>14</v>
      </c>
      <c r="X255">
        <v>14</v>
      </c>
      <c r="Y255">
        <v>6</v>
      </c>
      <c r="Z255">
        <v>75</v>
      </c>
      <c r="AA255" t="s">
        <v>66</v>
      </c>
      <c r="AB255" t="s">
        <v>66</v>
      </c>
      <c r="AC255">
        <v>2</v>
      </c>
      <c r="AD255" t="s">
        <v>66</v>
      </c>
      <c r="AE255">
        <v>82</v>
      </c>
      <c r="AF255">
        <v>88</v>
      </c>
      <c r="AG255" t="s">
        <v>66</v>
      </c>
      <c r="AH255">
        <v>40</v>
      </c>
      <c r="AI255">
        <v>36</v>
      </c>
      <c r="AJ255" t="s">
        <v>66</v>
      </c>
      <c r="AK255">
        <v>34</v>
      </c>
      <c r="AL255">
        <v>29</v>
      </c>
      <c r="AM255">
        <v>37</v>
      </c>
      <c r="AN255">
        <v>32.5</v>
      </c>
      <c r="AO255">
        <v>-12.162162159999999</v>
      </c>
      <c r="AP255">
        <v>7.3170731709999997</v>
      </c>
      <c r="AQ255">
        <v>2.2162162159999999</v>
      </c>
      <c r="AR255">
        <v>2.7076923079999999</v>
      </c>
      <c r="AS255">
        <v>0.49147609199999998</v>
      </c>
      <c r="AT255">
        <v>0</v>
      </c>
      <c r="AU255" t="s">
        <v>66</v>
      </c>
      <c r="AV255">
        <v>1</v>
      </c>
      <c r="AW255">
        <v>2</v>
      </c>
      <c r="AX255">
        <v>0</v>
      </c>
      <c r="AY255">
        <v>1</v>
      </c>
      <c r="AZ255">
        <v>1</v>
      </c>
      <c r="BA255">
        <v>1</v>
      </c>
      <c r="BB255" t="s">
        <v>66</v>
      </c>
      <c r="BC255">
        <v>34.799999999999997</v>
      </c>
      <c r="BD255">
        <v>39.700000000000003</v>
      </c>
      <c r="BE255">
        <v>14.080459769999999</v>
      </c>
      <c r="BF255">
        <v>0</v>
      </c>
      <c r="BG255">
        <v>39.700000000000003</v>
      </c>
      <c r="BH255">
        <v>14.080459769999999</v>
      </c>
      <c r="BI255">
        <v>186</v>
      </c>
      <c r="BJ255">
        <v>16.7</v>
      </c>
      <c r="BK255">
        <v>5.7</v>
      </c>
      <c r="BL255">
        <f>186-78</f>
        <v>108</v>
      </c>
      <c r="BM255">
        <v>35</v>
      </c>
      <c r="BN255">
        <v>21</v>
      </c>
      <c r="BO255">
        <f t="shared" si="42"/>
        <v>28</v>
      </c>
      <c r="BP255">
        <v>4</v>
      </c>
      <c r="BQ255">
        <v>1</v>
      </c>
      <c r="BS255">
        <v>0</v>
      </c>
      <c r="BT255">
        <f t="shared" si="43"/>
        <v>37.096774193548384</v>
      </c>
      <c r="BU255">
        <f t="shared" si="44"/>
        <v>52.095808383233532</v>
      </c>
      <c r="BV255">
        <f t="shared" si="45"/>
        <v>24.074074074074073</v>
      </c>
      <c r="BW255">
        <f t="shared" si="46"/>
        <v>-32.142857142857146</v>
      </c>
    </row>
    <row r="256" spans="1:75" x14ac:dyDescent="0.2">
      <c r="A256" t="s">
        <v>170</v>
      </c>
      <c r="B256" t="s">
        <v>171</v>
      </c>
      <c r="C256" t="s">
        <v>62</v>
      </c>
      <c r="D256" t="s">
        <v>342</v>
      </c>
      <c r="E256" t="s">
        <v>379</v>
      </c>
      <c r="F256" t="s">
        <v>461</v>
      </c>
      <c r="G256">
        <v>2.65</v>
      </c>
      <c r="H256">
        <v>15.9</v>
      </c>
      <c r="I256">
        <v>15.75</v>
      </c>
      <c r="J256">
        <v>1.4</v>
      </c>
      <c r="K256">
        <v>35.700000000000003</v>
      </c>
      <c r="L256">
        <v>11.943396229999999</v>
      </c>
      <c r="M256">
        <v>130</v>
      </c>
      <c r="N256">
        <v>130</v>
      </c>
      <c r="O256">
        <v>0</v>
      </c>
      <c r="P256">
        <v>136</v>
      </c>
      <c r="Q256">
        <v>6</v>
      </c>
      <c r="R256">
        <v>3</v>
      </c>
      <c r="S256">
        <v>53.1</v>
      </c>
      <c r="T256">
        <v>4.615384615</v>
      </c>
      <c r="U256">
        <v>4.615384615</v>
      </c>
      <c r="V256">
        <v>10</v>
      </c>
      <c r="W256">
        <v>14</v>
      </c>
      <c r="X256">
        <v>15</v>
      </c>
      <c r="Y256">
        <v>5</v>
      </c>
      <c r="Z256">
        <v>50</v>
      </c>
      <c r="AA256" t="s">
        <v>66</v>
      </c>
      <c r="AB256" t="s">
        <v>66</v>
      </c>
      <c r="AC256" t="s">
        <v>66</v>
      </c>
      <c r="AD256" t="s">
        <v>66</v>
      </c>
      <c r="AE256">
        <v>87</v>
      </c>
      <c r="AF256">
        <v>90</v>
      </c>
      <c r="AG256" t="s">
        <v>66</v>
      </c>
      <c r="AH256">
        <v>42</v>
      </c>
      <c r="AI256">
        <v>39</v>
      </c>
      <c r="AJ256" t="s">
        <v>66</v>
      </c>
      <c r="AK256">
        <v>33</v>
      </c>
      <c r="AL256">
        <v>27</v>
      </c>
      <c r="AM256">
        <v>37.5</v>
      </c>
      <c r="AN256">
        <v>33</v>
      </c>
      <c r="AO256">
        <v>-12</v>
      </c>
      <c r="AP256">
        <v>3.448275862</v>
      </c>
      <c r="AQ256">
        <v>2.3199999999999998</v>
      </c>
      <c r="AR256">
        <v>2.7272727269999999</v>
      </c>
      <c r="AS256">
        <v>0.407272727</v>
      </c>
      <c r="AT256">
        <v>0</v>
      </c>
      <c r="AU256" t="s">
        <v>66</v>
      </c>
      <c r="AV256">
        <v>2</v>
      </c>
      <c r="AW256">
        <v>2</v>
      </c>
      <c r="AX256">
        <v>0</v>
      </c>
      <c r="AY256">
        <v>1</v>
      </c>
      <c r="AZ256">
        <v>1</v>
      </c>
      <c r="BA256">
        <v>1</v>
      </c>
      <c r="BB256" t="s">
        <v>66</v>
      </c>
      <c r="BC256">
        <v>34.9</v>
      </c>
      <c r="BD256">
        <v>41.7</v>
      </c>
      <c r="BE256">
        <v>19.48424069</v>
      </c>
      <c r="BF256">
        <v>0</v>
      </c>
      <c r="BG256">
        <v>41.7</v>
      </c>
      <c r="BH256">
        <v>19.48424069</v>
      </c>
      <c r="BI256">
        <v>140</v>
      </c>
      <c r="BJ256">
        <v>13</v>
      </c>
      <c r="BK256" t="s">
        <v>66</v>
      </c>
      <c r="BL256">
        <f>140-65</f>
        <v>75</v>
      </c>
      <c r="BM256">
        <v>57</v>
      </c>
      <c r="BN256">
        <v>24</v>
      </c>
      <c r="BO256">
        <f t="shared" si="42"/>
        <v>40.5</v>
      </c>
      <c r="BP256">
        <v>3</v>
      </c>
      <c r="BQ256">
        <v>1</v>
      </c>
      <c r="BS256">
        <v>0</v>
      </c>
      <c r="BT256">
        <f t="shared" si="43"/>
        <v>7.1428571428571423</v>
      </c>
      <c r="BU256">
        <f t="shared" si="44"/>
        <v>23.076923076923077</v>
      </c>
      <c r="BV256">
        <f t="shared" si="45"/>
        <v>-16</v>
      </c>
      <c r="BW256">
        <f t="shared" si="46"/>
        <v>7.4074074074074066</v>
      </c>
    </row>
    <row r="257" spans="1:75" x14ac:dyDescent="0.2">
      <c r="A257" t="s">
        <v>170</v>
      </c>
      <c r="B257" t="s">
        <v>171</v>
      </c>
      <c r="C257" t="s">
        <v>62</v>
      </c>
      <c r="D257" t="s">
        <v>342</v>
      </c>
      <c r="E257" t="s">
        <v>347</v>
      </c>
      <c r="F257" t="s">
        <v>445</v>
      </c>
      <c r="G257">
        <v>2.65</v>
      </c>
      <c r="H257">
        <v>15.9</v>
      </c>
      <c r="I257">
        <v>15.75</v>
      </c>
      <c r="J257">
        <v>1.4</v>
      </c>
      <c r="K257">
        <v>35.700000000000003</v>
      </c>
      <c r="L257">
        <v>11.943396229999999</v>
      </c>
      <c r="M257">
        <v>109</v>
      </c>
      <c r="N257">
        <v>137</v>
      </c>
      <c r="O257">
        <v>28</v>
      </c>
      <c r="P257">
        <v>138</v>
      </c>
      <c r="Q257">
        <v>29</v>
      </c>
      <c r="R257">
        <v>14.5</v>
      </c>
      <c r="S257">
        <v>76.099999999999994</v>
      </c>
      <c r="T257">
        <v>26.605504589999999</v>
      </c>
      <c r="U257">
        <v>0.72992700700000002</v>
      </c>
      <c r="V257">
        <v>13</v>
      </c>
      <c r="W257">
        <v>16</v>
      </c>
      <c r="X257">
        <v>18</v>
      </c>
      <c r="Y257">
        <v>5</v>
      </c>
      <c r="Z257">
        <v>38.46153846</v>
      </c>
      <c r="AA257" t="s">
        <v>66</v>
      </c>
      <c r="AB257" t="s">
        <v>66</v>
      </c>
      <c r="AC257" t="s">
        <v>66</v>
      </c>
      <c r="AD257" t="s">
        <v>66</v>
      </c>
      <c r="AE257">
        <v>85</v>
      </c>
      <c r="AF257">
        <v>77</v>
      </c>
      <c r="AG257" t="s">
        <v>66</v>
      </c>
      <c r="AH257">
        <v>54</v>
      </c>
      <c r="AI257">
        <v>56</v>
      </c>
      <c r="AJ257" t="s">
        <v>66</v>
      </c>
      <c r="AK257">
        <v>23</v>
      </c>
      <c r="AL257">
        <v>25</v>
      </c>
      <c r="AM257">
        <v>38.5</v>
      </c>
      <c r="AN257">
        <v>40.5</v>
      </c>
      <c r="AO257">
        <v>5.1948051949999998</v>
      </c>
      <c r="AP257">
        <v>-9.4117647059999996</v>
      </c>
      <c r="AQ257">
        <v>2.2077922079999999</v>
      </c>
      <c r="AR257">
        <v>1.901234568</v>
      </c>
      <c r="AS257">
        <v>-0.30655764000000002</v>
      </c>
      <c r="AT257">
        <v>0</v>
      </c>
      <c r="AU257" t="s">
        <v>66</v>
      </c>
      <c r="AV257">
        <v>3</v>
      </c>
      <c r="AW257">
        <v>3</v>
      </c>
      <c r="AX257">
        <v>1</v>
      </c>
      <c r="AY257">
        <v>1</v>
      </c>
      <c r="AZ257">
        <v>1</v>
      </c>
      <c r="BA257">
        <v>1</v>
      </c>
      <c r="BB257" t="s">
        <v>66</v>
      </c>
      <c r="BC257">
        <v>33.9</v>
      </c>
      <c r="BD257">
        <v>34.5</v>
      </c>
      <c r="BE257">
        <v>1.769911504</v>
      </c>
      <c r="BF257">
        <v>0</v>
      </c>
      <c r="BG257">
        <v>34.5</v>
      </c>
      <c r="BH257">
        <v>1.769911504</v>
      </c>
      <c r="BI257">
        <v>155</v>
      </c>
      <c r="BJ257">
        <v>16.100000000000001</v>
      </c>
      <c r="BK257">
        <v>4.5999999999999996</v>
      </c>
      <c r="BL257">
        <f>155-49</f>
        <v>106</v>
      </c>
      <c r="BM257">
        <v>55</v>
      </c>
      <c r="BN257">
        <v>47</v>
      </c>
      <c r="BO257">
        <f t="shared" si="42"/>
        <v>51</v>
      </c>
      <c r="BP257">
        <v>4</v>
      </c>
      <c r="BQ257">
        <v>1</v>
      </c>
      <c r="BS257">
        <v>0</v>
      </c>
      <c r="BT257">
        <f t="shared" si="43"/>
        <v>29.677419354838708</v>
      </c>
      <c r="BU257">
        <f t="shared" si="44"/>
        <v>19.254658385093173</v>
      </c>
      <c r="BV257">
        <f t="shared" si="45"/>
        <v>19.811320754716981</v>
      </c>
      <c r="BW257">
        <f t="shared" si="46"/>
        <v>24.509803921568626</v>
      </c>
    </row>
    <row r="258" spans="1:75" x14ac:dyDescent="0.2">
      <c r="A258" t="s">
        <v>170</v>
      </c>
      <c r="B258" t="s">
        <v>171</v>
      </c>
      <c r="C258" t="s">
        <v>62</v>
      </c>
      <c r="D258" t="s">
        <v>342</v>
      </c>
      <c r="E258" t="s">
        <v>349</v>
      </c>
      <c r="F258" t="s">
        <v>446</v>
      </c>
      <c r="G258">
        <v>2.65</v>
      </c>
      <c r="H258">
        <v>15.9</v>
      </c>
      <c r="I258">
        <v>15.75</v>
      </c>
      <c r="J258">
        <v>1.4</v>
      </c>
      <c r="K258">
        <v>35.700000000000003</v>
      </c>
      <c r="L258">
        <v>11.943396229999999</v>
      </c>
      <c r="M258">
        <v>107</v>
      </c>
      <c r="N258">
        <v>135</v>
      </c>
      <c r="O258">
        <v>28</v>
      </c>
      <c r="P258">
        <v>137</v>
      </c>
      <c r="Q258">
        <v>30</v>
      </c>
      <c r="R258">
        <v>15</v>
      </c>
      <c r="S258">
        <v>77.099999999999994</v>
      </c>
      <c r="T258">
        <v>28.037383179999999</v>
      </c>
      <c r="U258">
        <v>1.4814814810000001</v>
      </c>
      <c r="V258">
        <v>10</v>
      </c>
      <c r="W258">
        <v>13</v>
      </c>
      <c r="X258">
        <v>14</v>
      </c>
      <c r="Y258">
        <v>4</v>
      </c>
      <c r="Z258">
        <v>40</v>
      </c>
      <c r="AA258" t="s">
        <v>66</v>
      </c>
      <c r="AB258" t="s">
        <v>66</v>
      </c>
      <c r="AC258" t="s">
        <v>66</v>
      </c>
      <c r="AD258" t="s">
        <v>66</v>
      </c>
      <c r="AE258">
        <v>81</v>
      </c>
      <c r="AF258">
        <v>73</v>
      </c>
      <c r="AG258" t="s">
        <v>66</v>
      </c>
      <c r="AH258">
        <v>71</v>
      </c>
      <c r="AI258">
        <v>73</v>
      </c>
      <c r="AJ258" t="s">
        <v>66</v>
      </c>
      <c r="AK258">
        <v>39</v>
      </c>
      <c r="AL258">
        <v>44</v>
      </c>
      <c r="AM258">
        <v>55</v>
      </c>
      <c r="AN258">
        <v>58.5</v>
      </c>
      <c r="AO258">
        <v>6.3636363640000004</v>
      </c>
      <c r="AP258">
        <v>-9.8765432099999995</v>
      </c>
      <c r="AQ258">
        <v>1.4727272730000001</v>
      </c>
      <c r="AR258">
        <v>1.247863248</v>
      </c>
      <c r="AS258">
        <v>-0.224864025</v>
      </c>
      <c r="AT258">
        <v>0</v>
      </c>
      <c r="AU258" t="s">
        <v>66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 t="s">
        <v>66</v>
      </c>
      <c r="BC258">
        <v>33.4</v>
      </c>
      <c r="BD258">
        <v>37.200000000000003</v>
      </c>
      <c r="BE258">
        <v>11.37724551</v>
      </c>
      <c r="BF258">
        <v>0</v>
      </c>
      <c r="BG258">
        <v>37.200000000000003</v>
      </c>
      <c r="BH258">
        <v>11.37724551</v>
      </c>
      <c r="BI258">
        <v>199</v>
      </c>
      <c r="BJ258">
        <v>15.4</v>
      </c>
      <c r="BK258">
        <v>5.2</v>
      </c>
      <c r="BL258">
        <f>199-54</f>
        <v>145</v>
      </c>
      <c r="BM258">
        <v>63</v>
      </c>
      <c r="BN258">
        <v>52</v>
      </c>
      <c r="BO258">
        <f t="shared" si="42"/>
        <v>57.5</v>
      </c>
      <c r="BP258">
        <v>4</v>
      </c>
      <c r="BQ258">
        <v>1</v>
      </c>
      <c r="BS258">
        <v>0</v>
      </c>
      <c r="BT258">
        <f t="shared" si="43"/>
        <v>46.231155778894475</v>
      </c>
      <c r="BU258">
        <f t="shared" si="44"/>
        <v>35.064935064935064</v>
      </c>
      <c r="BV258">
        <f t="shared" si="45"/>
        <v>44.137931034482762</v>
      </c>
      <c r="BW258">
        <f t="shared" si="46"/>
        <v>4.3478260869565215</v>
      </c>
    </row>
    <row r="259" spans="1:75" x14ac:dyDescent="0.2">
      <c r="A259" t="s">
        <v>170</v>
      </c>
      <c r="B259" t="s">
        <v>171</v>
      </c>
      <c r="C259" t="s">
        <v>62</v>
      </c>
      <c r="D259" t="s">
        <v>342</v>
      </c>
      <c r="E259" t="s">
        <v>355</v>
      </c>
      <c r="F259" t="s">
        <v>449</v>
      </c>
      <c r="G259">
        <v>2.65</v>
      </c>
      <c r="H259">
        <v>15.9</v>
      </c>
      <c r="I259">
        <v>15.75</v>
      </c>
      <c r="J259">
        <v>1.4</v>
      </c>
      <c r="K259">
        <v>35.700000000000003</v>
      </c>
      <c r="L259">
        <v>11.943396229999999</v>
      </c>
      <c r="M259">
        <v>143</v>
      </c>
      <c r="N259">
        <v>159</v>
      </c>
      <c r="O259">
        <v>16</v>
      </c>
      <c r="P259">
        <v>157</v>
      </c>
      <c r="Q259">
        <v>14</v>
      </c>
      <c r="R259">
        <v>7</v>
      </c>
      <c r="S259">
        <v>61.1</v>
      </c>
      <c r="T259">
        <v>9.7902097900000005</v>
      </c>
      <c r="U259">
        <v>-1.257861635</v>
      </c>
      <c r="V259">
        <v>14</v>
      </c>
      <c r="W259">
        <v>19</v>
      </c>
      <c r="X259">
        <v>18</v>
      </c>
      <c r="Y259">
        <v>4</v>
      </c>
      <c r="Z259">
        <v>28.571428569999998</v>
      </c>
      <c r="AA259" t="s">
        <v>66</v>
      </c>
      <c r="AB259">
        <v>4</v>
      </c>
      <c r="AC259">
        <v>2</v>
      </c>
      <c r="AD259" t="s">
        <v>66</v>
      </c>
      <c r="AE259">
        <v>116</v>
      </c>
      <c r="AF259">
        <v>93</v>
      </c>
      <c r="AG259" t="s">
        <v>66</v>
      </c>
      <c r="AH259">
        <v>60</v>
      </c>
      <c r="AI259">
        <v>47</v>
      </c>
      <c r="AJ259" t="s">
        <v>66</v>
      </c>
      <c r="AK259">
        <v>23</v>
      </c>
      <c r="AL259">
        <v>21</v>
      </c>
      <c r="AM259">
        <v>41.5</v>
      </c>
      <c r="AN259">
        <v>34</v>
      </c>
      <c r="AO259">
        <v>-18.07228916</v>
      </c>
      <c r="AP259">
        <v>-19.82758621</v>
      </c>
      <c r="AQ259">
        <v>2.7951807230000001</v>
      </c>
      <c r="AR259">
        <v>2.7352941180000001</v>
      </c>
      <c r="AS259">
        <v>-5.9886605000000002E-2</v>
      </c>
      <c r="AT259">
        <v>0</v>
      </c>
      <c r="AU259" t="s">
        <v>66</v>
      </c>
      <c r="AV259">
        <v>3</v>
      </c>
      <c r="AW259">
        <v>4</v>
      </c>
      <c r="AX259">
        <v>1</v>
      </c>
      <c r="AY259">
        <v>1</v>
      </c>
      <c r="AZ259">
        <v>1</v>
      </c>
      <c r="BA259">
        <v>1</v>
      </c>
      <c r="BB259" t="s">
        <v>66</v>
      </c>
      <c r="BC259">
        <v>39.9</v>
      </c>
      <c r="BD259">
        <v>28</v>
      </c>
      <c r="BE259">
        <v>-29.8245614</v>
      </c>
      <c r="BF259">
        <v>0</v>
      </c>
      <c r="BG259">
        <v>28</v>
      </c>
      <c r="BH259">
        <v>-29.8245614</v>
      </c>
      <c r="BI259">
        <v>157</v>
      </c>
      <c r="BJ259">
        <v>15</v>
      </c>
      <c r="BK259">
        <v>4.8</v>
      </c>
      <c r="BL259">
        <f>157-49</f>
        <v>108</v>
      </c>
      <c r="BM259">
        <v>40</v>
      </c>
      <c r="BN259">
        <v>32</v>
      </c>
      <c r="BO259">
        <f t="shared" si="42"/>
        <v>36</v>
      </c>
      <c r="BP259">
        <v>4</v>
      </c>
      <c r="BQ259">
        <v>1</v>
      </c>
      <c r="BS259">
        <v>0</v>
      </c>
      <c r="BT259">
        <f t="shared" si="43"/>
        <v>8.9171974522292992</v>
      </c>
      <c r="BU259">
        <f t="shared" si="44"/>
        <v>6.666666666666667</v>
      </c>
      <c r="BV259">
        <f t="shared" si="45"/>
        <v>-7.4074074074074066</v>
      </c>
      <c r="BW259">
        <f t="shared" si="46"/>
        <v>-15.277777777777779</v>
      </c>
    </row>
    <row r="260" spans="1:75" x14ac:dyDescent="0.2">
      <c r="A260" t="s">
        <v>170</v>
      </c>
      <c r="B260" t="s">
        <v>171</v>
      </c>
      <c r="C260" t="s">
        <v>62</v>
      </c>
      <c r="D260" t="s">
        <v>342</v>
      </c>
      <c r="E260" t="s">
        <v>371</v>
      </c>
      <c r="F260" t="s">
        <v>457</v>
      </c>
      <c r="G260">
        <v>2.65</v>
      </c>
      <c r="H260">
        <v>15.9</v>
      </c>
      <c r="I260">
        <v>15.75</v>
      </c>
      <c r="J260">
        <v>1.4</v>
      </c>
      <c r="K260">
        <v>35.700000000000003</v>
      </c>
      <c r="L260">
        <v>11.943396229999999</v>
      </c>
      <c r="M260">
        <v>161</v>
      </c>
      <c r="N260">
        <v>185</v>
      </c>
      <c r="O260">
        <v>24</v>
      </c>
      <c r="P260">
        <v>198</v>
      </c>
      <c r="Q260">
        <v>37</v>
      </c>
      <c r="R260">
        <v>18.5</v>
      </c>
      <c r="S260">
        <v>84.1</v>
      </c>
      <c r="T260">
        <v>22.98136646</v>
      </c>
      <c r="U260">
        <v>7.0270270269999999</v>
      </c>
      <c r="V260">
        <v>21</v>
      </c>
      <c r="W260">
        <v>21</v>
      </c>
      <c r="X260">
        <v>23</v>
      </c>
      <c r="Y260">
        <v>2</v>
      </c>
      <c r="Z260">
        <v>9.5238095240000007</v>
      </c>
      <c r="AA260">
        <v>3</v>
      </c>
      <c r="AB260">
        <v>5</v>
      </c>
      <c r="AC260">
        <v>7</v>
      </c>
      <c r="AD260" t="s">
        <v>66</v>
      </c>
      <c r="AE260">
        <v>141</v>
      </c>
      <c r="AF260">
        <v>147</v>
      </c>
      <c r="AG260" t="s">
        <v>66</v>
      </c>
      <c r="AH260">
        <v>57</v>
      </c>
      <c r="AI260">
        <v>62</v>
      </c>
      <c r="AJ260" t="s">
        <v>66</v>
      </c>
      <c r="AK260">
        <v>30</v>
      </c>
      <c r="AL260">
        <v>30</v>
      </c>
      <c r="AM260">
        <v>43.5</v>
      </c>
      <c r="AN260">
        <v>46</v>
      </c>
      <c r="AO260">
        <v>5.7471264370000004</v>
      </c>
      <c r="AP260">
        <v>4.255319149</v>
      </c>
      <c r="AQ260">
        <v>3.2413793100000001</v>
      </c>
      <c r="AR260">
        <v>3.1956521740000001</v>
      </c>
      <c r="AS260">
        <v>-4.5727136000000002E-2</v>
      </c>
      <c r="AT260">
        <v>0</v>
      </c>
      <c r="AU260" t="s">
        <v>66</v>
      </c>
      <c r="AV260">
        <v>2</v>
      </c>
      <c r="AW260">
        <v>3</v>
      </c>
      <c r="AX260">
        <v>1</v>
      </c>
      <c r="AY260">
        <v>1</v>
      </c>
      <c r="AZ260">
        <v>1</v>
      </c>
      <c r="BA260">
        <v>1</v>
      </c>
      <c r="BB260" t="s">
        <v>66</v>
      </c>
      <c r="BC260">
        <v>46.6</v>
      </c>
      <c r="BD260">
        <v>51.3</v>
      </c>
      <c r="BE260">
        <v>10.085836909999999</v>
      </c>
      <c r="BF260">
        <v>0</v>
      </c>
      <c r="BG260">
        <v>51.3</v>
      </c>
      <c r="BH260">
        <v>10.085836909999999</v>
      </c>
      <c r="BI260">
        <v>285</v>
      </c>
      <c r="BJ260">
        <v>30</v>
      </c>
      <c r="BK260">
        <v>11.7</v>
      </c>
      <c r="BL260">
        <v>201</v>
      </c>
      <c r="BM260">
        <v>78</v>
      </c>
      <c r="BN260">
        <v>44</v>
      </c>
      <c r="BO260">
        <f t="shared" si="42"/>
        <v>61</v>
      </c>
      <c r="BP260">
        <v>4</v>
      </c>
      <c r="BQ260">
        <v>1</v>
      </c>
      <c r="BS260">
        <v>0</v>
      </c>
      <c r="BT260">
        <f t="shared" si="43"/>
        <v>43.508771929824562</v>
      </c>
      <c r="BU260">
        <f t="shared" si="44"/>
        <v>30</v>
      </c>
      <c r="BV260">
        <f t="shared" si="45"/>
        <v>29.850746268656714</v>
      </c>
      <c r="BW260">
        <f t="shared" si="46"/>
        <v>28.688524590163933</v>
      </c>
    </row>
    <row r="261" spans="1:75" x14ac:dyDescent="0.2">
      <c r="A261" t="s">
        <v>170</v>
      </c>
      <c r="B261" t="s">
        <v>171</v>
      </c>
      <c r="C261" t="s">
        <v>62</v>
      </c>
      <c r="D261" t="s">
        <v>342</v>
      </c>
      <c r="E261" t="s">
        <v>375</v>
      </c>
      <c r="F261" t="s">
        <v>459</v>
      </c>
      <c r="G261">
        <v>2.65</v>
      </c>
      <c r="H261">
        <v>15.9</v>
      </c>
      <c r="I261">
        <v>15.75</v>
      </c>
      <c r="J261">
        <v>1.4</v>
      </c>
      <c r="K261">
        <v>35.700000000000003</v>
      </c>
      <c r="L261">
        <v>11.943396229999999</v>
      </c>
      <c r="M261">
        <v>174</v>
      </c>
      <c r="N261">
        <v>162</v>
      </c>
      <c r="O261">
        <v>-12</v>
      </c>
      <c r="P261">
        <v>168</v>
      </c>
      <c r="Q261">
        <v>-6</v>
      </c>
      <c r="R261">
        <v>-3</v>
      </c>
      <c r="S261">
        <v>41.1</v>
      </c>
      <c r="T261">
        <v>-3.448275862</v>
      </c>
      <c r="U261">
        <v>3.703703704</v>
      </c>
      <c r="V261">
        <v>18</v>
      </c>
      <c r="W261">
        <v>23</v>
      </c>
      <c r="X261">
        <v>28</v>
      </c>
      <c r="Y261">
        <v>10</v>
      </c>
      <c r="Z261">
        <v>55.555555560000002</v>
      </c>
      <c r="AA261">
        <v>6</v>
      </c>
      <c r="AB261">
        <v>5</v>
      </c>
      <c r="AC261">
        <v>6</v>
      </c>
      <c r="AD261" t="s">
        <v>66</v>
      </c>
      <c r="AE261">
        <v>125</v>
      </c>
      <c r="AF261">
        <v>119</v>
      </c>
      <c r="AG261" t="s">
        <v>66</v>
      </c>
      <c r="AH261">
        <v>81</v>
      </c>
      <c r="AI261">
        <v>69</v>
      </c>
      <c r="AJ261" t="s">
        <v>66</v>
      </c>
      <c r="AK261">
        <v>41</v>
      </c>
      <c r="AL261">
        <v>42</v>
      </c>
      <c r="AM261">
        <v>61</v>
      </c>
      <c r="AN261">
        <v>55.5</v>
      </c>
      <c r="AO261">
        <v>-9.0163934430000001</v>
      </c>
      <c r="AP261">
        <v>-4.8</v>
      </c>
      <c r="AQ261">
        <v>2.0491803279999998</v>
      </c>
      <c r="AR261">
        <v>2.1441441440000002</v>
      </c>
      <c r="AS261">
        <v>9.4963816000000006E-2</v>
      </c>
      <c r="AT261">
        <v>0</v>
      </c>
      <c r="AU261" t="s">
        <v>66</v>
      </c>
      <c r="AV261">
        <v>2</v>
      </c>
      <c r="AW261">
        <v>3</v>
      </c>
      <c r="AX261">
        <v>1</v>
      </c>
      <c r="AY261">
        <v>1</v>
      </c>
      <c r="AZ261">
        <v>1</v>
      </c>
      <c r="BA261">
        <v>1</v>
      </c>
      <c r="BB261" t="s">
        <v>66</v>
      </c>
      <c r="BC261">
        <v>38.799999999999997</v>
      </c>
      <c r="BD261">
        <v>41.4</v>
      </c>
      <c r="BE261">
        <v>6.7010309279999998</v>
      </c>
      <c r="BF261">
        <v>0</v>
      </c>
      <c r="BG261">
        <v>41.4</v>
      </c>
      <c r="BH261">
        <v>6.7010309279999998</v>
      </c>
      <c r="BI261">
        <v>249</v>
      </c>
      <c r="BJ261">
        <v>30.5</v>
      </c>
      <c r="BK261">
        <v>10.4</v>
      </c>
      <c r="BL261">
        <f>249-63</f>
        <v>186</v>
      </c>
      <c r="BM261">
        <v>84</v>
      </c>
      <c r="BN261">
        <v>47</v>
      </c>
      <c r="BO261">
        <f t="shared" si="42"/>
        <v>65.5</v>
      </c>
      <c r="BP261">
        <v>4</v>
      </c>
      <c r="BQ261">
        <v>1</v>
      </c>
      <c r="BS261">
        <v>0</v>
      </c>
      <c r="BT261">
        <f t="shared" si="43"/>
        <v>30.120481927710845</v>
      </c>
      <c r="BU261">
        <f t="shared" si="44"/>
        <v>40.983606557377051</v>
      </c>
      <c r="BV261">
        <f t="shared" si="45"/>
        <v>32.795698924731184</v>
      </c>
      <c r="BW261">
        <f t="shared" si="46"/>
        <v>6.8702290076335881</v>
      </c>
    </row>
    <row r="262" spans="1:75" x14ac:dyDescent="0.2">
      <c r="A262" t="s">
        <v>170</v>
      </c>
      <c r="B262" t="s">
        <v>171</v>
      </c>
      <c r="C262" t="s">
        <v>62</v>
      </c>
      <c r="D262" t="s">
        <v>342</v>
      </c>
      <c r="E262" t="s">
        <v>381</v>
      </c>
      <c r="F262" t="s">
        <v>462</v>
      </c>
      <c r="G262">
        <v>2.65</v>
      </c>
      <c r="H262">
        <v>15.9</v>
      </c>
      <c r="I262">
        <v>15.75</v>
      </c>
      <c r="J262">
        <v>1.4</v>
      </c>
      <c r="K262">
        <v>35.700000000000003</v>
      </c>
      <c r="L262">
        <v>11.943396229999999</v>
      </c>
      <c r="M262">
        <v>116</v>
      </c>
      <c r="N262">
        <v>136</v>
      </c>
      <c r="O262">
        <v>20</v>
      </c>
      <c r="P262">
        <v>127</v>
      </c>
      <c r="Q262">
        <v>11</v>
      </c>
      <c r="R262">
        <v>5.5</v>
      </c>
      <c r="S262">
        <v>58.1</v>
      </c>
      <c r="T262">
        <v>9.4827586210000003</v>
      </c>
      <c r="U262">
        <v>-6.6176470590000003</v>
      </c>
      <c r="V262">
        <v>13</v>
      </c>
      <c r="W262">
        <v>18</v>
      </c>
      <c r="X262">
        <v>15</v>
      </c>
      <c r="Y262">
        <v>2</v>
      </c>
      <c r="Z262">
        <v>15.38461538</v>
      </c>
      <c r="AA262" t="s">
        <v>66</v>
      </c>
      <c r="AB262" t="s">
        <v>66</v>
      </c>
      <c r="AC262" t="s">
        <v>66</v>
      </c>
      <c r="AD262" t="s">
        <v>66</v>
      </c>
      <c r="AE262">
        <v>124</v>
      </c>
      <c r="AF262">
        <v>107</v>
      </c>
      <c r="AG262" t="s">
        <v>66</v>
      </c>
      <c r="AH262">
        <v>44</v>
      </c>
      <c r="AI262">
        <v>40</v>
      </c>
      <c r="AJ262" t="s">
        <v>66</v>
      </c>
      <c r="AK262">
        <v>21</v>
      </c>
      <c r="AL262">
        <v>22</v>
      </c>
      <c r="AM262">
        <v>32.5</v>
      </c>
      <c r="AN262">
        <v>31</v>
      </c>
      <c r="AO262">
        <v>-4.615384615</v>
      </c>
      <c r="AP262">
        <v>-13.70967742</v>
      </c>
      <c r="AQ262">
        <v>3.8153846150000001</v>
      </c>
      <c r="AR262">
        <v>3.451612903</v>
      </c>
      <c r="AS262">
        <v>-0.36377171200000002</v>
      </c>
      <c r="AT262">
        <v>0</v>
      </c>
      <c r="AU262" t="s">
        <v>66</v>
      </c>
      <c r="AV262">
        <v>2</v>
      </c>
      <c r="AW262">
        <v>3</v>
      </c>
      <c r="AX262">
        <v>1</v>
      </c>
      <c r="AY262">
        <v>1</v>
      </c>
      <c r="AZ262">
        <v>1</v>
      </c>
      <c r="BA262">
        <v>1</v>
      </c>
      <c r="BB262" t="s">
        <v>66</v>
      </c>
      <c r="BC262">
        <v>40.700000000000003</v>
      </c>
      <c r="BD262">
        <v>45.2</v>
      </c>
      <c r="BE262">
        <v>11.05651106</v>
      </c>
      <c r="BF262">
        <v>0</v>
      </c>
      <c r="BG262">
        <v>45.2</v>
      </c>
      <c r="BH262">
        <v>11.05651106</v>
      </c>
      <c r="BI262">
        <v>152</v>
      </c>
      <c r="BJ262">
        <v>14.9</v>
      </c>
      <c r="BK262">
        <v>2.4</v>
      </c>
      <c r="BL262">
        <f>152-17</f>
        <v>135</v>
      </c>
      <c r="BM262">
        <v>34</v>
      </c>
      <c r="BN262">
        <v>27</v>
      </c>
      <c r="BO262">
        <f t="shared" si="42"/>
        <v>30.5</v>
      </c>
      <c r="BP262">
        <v>3</v>
      </c>
      <c r="BQ262">
        <v>1</v>
      </c>
      <c r="BS262">
        <v>0</v>
      </c>
      <c r="BT262">
        <f t="shared" si="43"/>
        <v>23.684210526315788</v>
      </c>
      <c r="BU262">
        <f t="shared" si="44"/>
        <v>12.751677852348994</v>
      </c>
      <c r="BV262">
        <f t="shared" si="45"/>
        <v>8.1481481481481488</v>
      </c>
      <c r="BW262">
        <f t="shared" si="46"/>
        <v>-6.557377049180328</v>
      </c>
    </row>
    <row r="263" spans="1:75" x14ac:dyDescent="0.2">
      <c r="A263" t="s">
        <v>213</v>
      </c>
      <c r="B263" t="s">
        <v>214</v>
      </c>
      <c r="C263" t="s">
        <v>62</v>
      </c>
      <c r="D263" t="s">
        <v>342</v>
      </c>
      <c r="E263" t="s">
        <v>343</v>
      </c>
      <c r="F263" t="s">
        <v>483</v>
      </c>
      <c r="G263">
        <v>5</v>
      </c>
      <c r="H263">
        <v>6.75</v>
      </c>
      <c r="I263">
        <v>12.5</v>
      </c>
      <c r="J263">
        <v>15.2</v>
      </c>
      <c r="K263">
        <v>39.450000000000003</v>
      </c>
      <c r="L263">
        <v>3.85</v>
      </c>
      <c r="M263">
        <v>199</v>
      </c>
      <c r="N263">
        <v>225</v>
      </c>
      <c r="O263">
        <v>26</v>
      </c>
      <c r="P263">
        <v>218</v>
      </c>
      <c r="Q263">
        <v>19</v>
      </c>
      <c r="R263">
        <v>9.5</v>
      </c>
      <c r="S263">
        <v>66.099999999999994</v>
      </c>
      <c r="T263">
        <v>9.5477386929999994</v>
      </c>
      <c r="U263">
        <v>-3.111111111</v>
      </c>
      <c r="V263">
        <v>23</v>
      </c>
      <c r="W263">
        <v>32</v>
      </c>
      <c r="X263">
        <v>31</v>
      </c>
      <c r="Y263">
        <v>8</v>
      </c>
      <c r="Z263">
        <v>34.782608699999997</v>
      </c>
      <c r="AA263">
        <v>10</v>
      </c>
      <c r="AB263">
        <v>12</v>
      </c>
      <c r="AC263">
        <v>13</v>
      </c>
      <c r="AD263" t="s">
        <v>66</v>
      </c>
      <c r="AE263">
        <v>175</v>
      </c>
      <c r="AF263">
        <v>158</v>
      </c>
      <c r="AG263" t="s">
        <v>66</v>
      </c>
      <c r="AH263">
        <v>75</v>
      </c>
      <c r="AI263">
        <v>67</v>
      </c>
      <c r="AJ263" t="s">
        <v>66</v>
      </c>
      <c r="AK263">
        <v>69</v>
      </c>
      <c r="AL263">
        <v>51</v>
      </c>
      <c r="AM263">
        <v>72</v>
      </c>
      <c r="AN263">
        <v>59</v>
      </c>
      <c r="AO263">
        <v>-18.055555559999998</v>
      </c>
      <c r="AP263">
        <v>-9.7142857140000007</v>
      </c>
      <c r="AQ263">
        <v>2.4305555559999998</v>
      </c>
      <c r="AR263">
        <v>2.6779661020000001</v>
      </c>
      <c r="AS263">
        <v>0.24741054600000001</v>
      </c>
      <c r="AT263">
        <v>0</v>
      </c>
      <c r="AU263" t="s">
        <v>66</v>
      </c>
      <c r="AV263">
        <v>1</v>
      </c>
      <c r="AW263">
        <v>1</v>
      </c>
      <c r="AX263">
        <v>0</v>
      </c>
      <c r="AY263">
        <v>1</v>
      </c>
      <c r="AZ263">
        <v>1</v>
      </c>
      <c r="BA263">
        <v>1</v>
      </c>
      <c r="BB263" t="s">
        <v>66</v>
      </c>
      <c r="BC263">
        <v>50.7</v>
      </c>
      <c r="BD263">
        <v>45.5</v>
      </c>
      <c r="BE263">
        <v>-10.256410259999999</v>
      </c>
      <c r="BF263">
        <v>0</v>
      </c>
      <c r="BG263">
        <v>45.5</v>
      </c>
      <c r="BH263">
        <v>-10.256410259999999</v>
      </c>
      <c r="BI263">
        <v>284</v>
      </c>
      <c r="BJ263">
        <v>38.9</v>
      </c>
      <c r="BK263">
        <v>17.5</v>
      </c>
      <c r="BL263">
        <v>244</v>
      </c>
      <c r="BM263">
        <v>116</v>
      </c>
      <c r="BN263">
        <v>68</v>
      </c>
      <c r="BO263">
        <f t="shared" si="42"/>
        <v>92</v>
      </c>
      <c r="BP263">
        <v>4</v>
      </c>
      <c r="BQ263">
        <v>1</v>
      </c>
      <c r="BS263">
        <v>0</v>
      </c>
      <c r="BT263">
        <f t="shared" si="43"/>
        <v>29.929577464788732</v>
      </c>
      <c r="BU263">
        <f t="shared" si="44"/>
        <v>40.874035989717221</v>
      </c>
      <c r="BV263">
        <f t="shared" si="45"/>
        <v>28.278688524590162</v>
      </c>
      <c r="BW263">
        <f t="shared" si="46"/>
        <v>21.739130434782609</v>
      </c>
    </row>
    <row r="264" spans="1:75" x14ac:dyDescent="0.2">
      <c r="A264" t="s">
        <v>213</v>
      </c>
      <c r="B264" t="s">
        <v>214</v>
      </c>
      <c r="C264" t="s">
        <v>62</v>
      </c>
      <c r="D264" t="s">
        <v>342</v>
      </c>
      <c r="E264" t="s">
        <v>347</v>
      </c>
      <c r="F264" t="s">
        <v>485</v>
      </c>
      <c r="G264">
        <v>5</v>
      </c>
      <c r="H264">
        <v>6.75</v>
      </c>
      <c r="I264">
        <v>12.5</v>
      </c>
      <c r="J264">
        <v>15.2</v>
      </c>
      <c r="K264">
        <v>39.450000000000003</v>
      </c>
      <c r="L264">
        <v>3.85</v>
      </c>
      <c r="M264">
        <v>148</v>
      </c>
      <c r="N264">
        <v>165</v>
      </c>
      <c r="O264">
        <v>17</v>
      </c>
      <c r="P264">
        <v>174</v>
      </c>
      <c r="Q264">
        <v>26</v>
      </c>
      <c r="R264">
        <v>13</v>
      </c>
      <c r="S264">
        <v>73.099999999999994</v>
      </c>
      <c r="T264">
        <v>17.567567570000001</v>
      </c>
      <c r="U264">
        <v>5.4545454549999999</v>
      </c>
      <c r="V264">
        <v>21</v>
      </c>
      <c r="W264">
        <v>24</v>
      </c>
      <c r="X264">
        <v>30</v>
      </c>
      <c r="Y264">
        <v>9</v>
      </c>
      <c r="Z264">
        <v>42.857142860000003</v>
      </c>
      <c r="AA264">
        <v>4</v>
      </c>
      <c r="AB264">
        <v>3</v>
      </c>
      <c r="AC264">
        <v>6</v>
      </c>
      <c r="AD264" t="s">
        <v>66</v>
      </c>
      <c r="AE264">
        <v>127</v>
      </c>
      <c r="AF264">
        <v>140</v>
      </c>
      <c r="AG264" t="s">
        <v>66</v>
      </c>
      <c r="AH264">
        <v>79</v>
      </c>
      <c r="AI264">
        <v>86</v>
      </c>
      <c r="AJ264" t="s">
        <v>66</v>
      </c>
      <c r="AK264">
        <v>66</v>
      </c>
      <c r="AL264">
        <v>83</v>
      </c>
      <c r="AM264">
        <v>72.5</v>
      </c>
      <c r="AN264">
        <v>84.5</v>
      </c>
      <c r="AO264">
        <v>16.551724140000001</v>
      </c>
      <c r="AP264">
        <v>10.236220469999999</v>
      </c>
      <c r="AQ264">
        <v>1.7517241379999999</v>
      </c>
      <c r="AR264">
        <v>1.6568047340000001</v>
      </c>
      <c r="AS264">
        <v>-9.4919403999999999E-2</v>
      </c>
      <c r="AT264">
        <v>0</v>
      </c>
      <c r="AU264" t="s">
        <v>66</v>
      </c>
      <c r="AV264">
        <v>1</v>
      </c>
      <c r="AW264">
        <v>1</v>
      </c>
      <c r="AX264">
        <v>0</v>
      </c>
      <c r="AY264">
        <v>1</v>
      </c>
      <c r="AZ264">
        <v>1</v>
      </c>
      <c r="BA264">
        <v>1</v>
      </c>
      <c r="BB264" t="s">
        <v>66</v>
      </c>
      <c r="BC264">
        <v>47.8</v>
      </c>
      <c r="BD264">
        <v>50.8</v>
      </c>
      <c r="BE264">
        <v>6.2761506279999999</v>
      </c>
      <c r="BF264">
        <v>0</v>
      </c>
      <c r="BG264">
        <v>50.8</v>
      </c>
      <c r="BH264">
        <v>6.2761506279999999</v>
      </c>
      <c r="BI264">
        <v>258</v>
      </c>
      <c r="BJ264">
        <v>38</v>
      </c>
      <c r="BK264">
        <v>14.7</v>
      </c>
      <c r="BL264">
        <f>258-46</f>
        <v>212</v>
      </c>
      <c r="BM264">
        <v>85</v>
      </c>
      <c r="BN264">
        <v>58</v>
      </c>
      <c r="BO264">
        <f t="shared" si="42"/>
        <v>71.5</v>
      </c>
      <c r="BP264">
        <v>4</v>
      </c>
      <c r="BQ264">
        <v>1</v>
      </c>
      <c r="BS264">
        <v>0</v>
      </c>
      <c r="BT264">
        <f t="shared" si="43"/>
        <v>42.63565891472868</v>
      </c>
      <c r="BU264">
        <f t="shared" si="44"/>
        <v>44.736842105263158</v>
      </c>
      <c r="BV264">
        <f t="shared" si="45"/>
        <v>40.094339622641513</v>
      </c>
      <c r="BW264">
        <f t="shared" si="46"/>
        <v>-1.3986013986013985</v>
      </c>
    </row>
    <row r="265" spans="1:75" x14ac:dyDescent="0.2">
      <c r="A265" t="s">
        <v>213</v>
      </c>
      <c r="B265" t="s">
        <v>214</v>
      </c>
      <c r="C265" t="s">
        <v>62</v>
      </c>
      <c r="D265" t="s">
        <v>342</v>
      </c>
      <c r="E265" t="s">
        <v>349</v>
      </c>
      <c r="F265" t="s">
        <v>486</v>
      </c>
      <c r="G265">
        <v>5</v>
      </c>
      <c r="H265">
        <v>6.75</v>
      </c>
      <c r="I265">
        <v>12.5</v>
      </c>
      <c r="J265">
        <v>15.2</v>
      </c>
      <c r="K265">
        <v>39.450000000000003</v>
      </c>
      <c r="L265">
        <v>3.85</v>
      </c>
      <c r="M265">
        <v>130</v>
      </c>
      <c r="N265">
        <v>154</v>
      </c>
      <c r="O265">
        <v>24</v>
      </c>
      <c r="P265">
        <v>158</v>
      </c>
      <c r="Q265">
        <v>28</v>
      </c>
      <c r="R265">
        <v>14</v>
      </c>
      <c r="S265">
        <v>75.099999999999994</v>
      </c>
      <c r="T265">
        <v>21.53846154</v>
      </c>
      <c r="U265">
        <v>2.5974025969999999</v>
      </c>
      <c r="V265">
        <v>13</v>
      </c>
      <c r="W265">
        <v>18</v>
      </c>
      <c r="X265">
        <v>27</v>
      </c>
      <c r="Y265">
        <v>14</v>
      </c>
      <c r="Z265">
        <v>107.6923077</v>
      </c>
      <c r="AA265" t="s">
        <v>66</v>
      </c>
      <c r="AB265">
        <v>4</v>
      </c>
      <c r="AC265">
        <v>6</v>
      </c>
      <c r="AD265" t="s">
        <v>66</v>
      </c>
      <c r="AE265">
        <v>126</v>
      </c>
      <c r="AF265">
        <v>123</v>
      </c>
      <c r="AG265" t="s">
        <v>66</v>
      </c>
      <c r="AH265">
        <v>76</v>
      </c>
      <c r="AI265">
        <v>78</v>
      </c>
      <c r="AJ265" t="s">
        <v>66</v>
      </c>
      <c r="AK265">
        <v>73</v>
      </c>
      <c r="AL265">
        <v>74</v>
      </c>
      <c r="AM265">
        <v>74.5</v>
      </c>
      <c r="AN265">
        <v>76</v>
      </c>
      <c r="AO265">
        <v>2.0134228190000001</v>
      </c>
      <c r="AP265">
        <v>-2.3809523810000002</v>
      </c>
      <c r="AQ265">
        <v>1.691275168</v>
      </c>
      <c r="AR265">
        <v>1.6184210530000001</v>
      </c>
      <c r="AS265">
        <v>-7.2854114999999997E-2</v>
      </c>
      <c r="AT265">
        <v>0</v>
      </c>
      <c r="AU265" t="s">
        <v>66</v>
      </c>
      <c r="AV265">
        <v>1</v>
      </c>
      <c r="AW265">
        <v>2</v>
      </c>
      <c r="AX265">
        <v>0</v>
      </c>
      <c r="AY265">
        <v>1</v>
      </c>
      <c r="AZ265">
        <v>1</v>
      </c>
      <c r="BA265">
        <v>1</v>
      </c>
      <c r="BB265" t="s">
        <v>66</v>
      </c>
      <c r="BC265">
        <v>45.1</v>
      </c>
      <c r="BD265">
        <v>38.700000000000003</v>
      </c>
      <c r="BE265">
        <v>-14.19068736</v>
      </c>
      <c r="BF265">
        <v>0</v>
      </c>
      <c r="BG265">
        <v>38.700000000000003</v>
      </c>
      <c r="BH265">
        <v>-14.19068736</v>
      </c>
      <c r="BI265">
        <v>265</v>
      </c>
      <c r="BJ265">
        <v>30.2</v>
      </c>
      <c r="BK265">
        <v>10.9</v>
      </c>
      <c r="BL265">
        <f>265-34</f>
        <v>231</v>
      </c>
      <c r="BM265">
        <v>77</v>
      </c>
      <c r="BN265">
        <v>65</v>
      </c>
      <c r="BO265">
        <f t="shared" si="42"/>
        <v>71</v>
      </c>
      <c r="BP265">
        <v>4</v>
      </c>
      <c r="BQ265">
        <v>1</v>
      </c>
      <c r="BS265">
        <v>0</v>
      </c>
      <c r="BT265">
        <f t="shared" si="43"/>
        <v>50.943396226415096</v>
      </c>
      <c r="BU265">
        <f t="shared" si="44"/>
        <v>56.953642384105962</v>
      </c>
      <c r="BV265">
        <f t="shared" si="45"/>
        <v>45.454545454545453</v>
      </c>
      <c r="BW265">
        <f t="shared" si="46"/>
        <v>-4.929577464788732</v>
      </c>
    </row>
    <row r="266" spans="1:75" x14ac:dyDescent="0.2">
      <c r="A266" t="s">
        <v>213</v>
      </c>
      <c r="B266" t="s">
        <v>214</v>
      </c>
      <c r="C266" t="s">
        <v>62</v>
      </c>
      <c r="D266" t="s">
        <v>342</v>
      </c>
      <c r="E266" t="s">
        <v>351</v>
      </c>
      <c r="F266" t="s">
        <v>487</v>
      </c>
      <c r="G266">
        <v>5</v>
      </c>
      <c r="H266">
        <v>6.75</v>
      </c>
      <c r="I266">
        <v>12.5</v>
      </c>
      <c r="J266">
        <v>15.2</v>
      </c>
      <c r="K266">
        <v>39.450000000000003</v>
      </c>
      <c r="L266">
        <v>3.85</v>
      </c>
      <c r="M266">
        <v>65</v>
      </c>
      <c r="N266">
        <v>76</v>
      </c>
      <c r="O266">
        <v>11</v>
      </c>
      <c r="P266">
        <v>78</v>
      </c>
      <c r="Q266">
        <v>13</v>
      </c>
      <c r="R266">
        <v>6.5</v>
      </c>
      <c r="S266">
        <v>60.1</v>
      </c>
      <c r="T266">
        <v>20</v>
      </c>
      <c r="U266">
        <v>2.6315789469999999</v>
      </c>
      <c r="V266">
        <v>8</v>
      </c>
      <c r="W266">
        <v>9</v>
      </c>
      <c r="X266">
        <v>13</v>
      </c>
      <c r="Y266">
        <v>5</v>
      </c>
      <c r="Z266">
        <v>62.5</v>
      </c>
      <c r="AA266" t="s">
        <v>66</v>
      </c>
      <c r="AB266" t="s">
        <v>66</v>
      </c>
      <c r="AC266" t="s">
        <v>66</v>
      </c>
      <c r="AD266" t="s">
        <v>66</v>
      </c>
      <c r="AE266">
        <v>69</v>
      </c>
      <c r="AF266">
        <v>37</v>
      </c>
      <c r="AG266" t="s">
        <v>66</v>
      </c>
      <c r="AH266">
        <v>38</v>
      </c>
      <c r="AI266">
        <v>42</v>
      </c>
      <c r="AJ266" t="s">
        <v>66</v>
      </c>
      <c r="AK266">
        <v>16</v>
      </c>
      <c r="AL266">
        <v>20</v>
      </c>
      <c r="AM266">
        <v>27</v>
      </c>
      <c r="AN266">
        <v>31</v>
      </c>
      <c r="AO266">
        <v>14.81481481</v>
      </c>
      <c r="AP266">
        <v>-46.376811590000003</v>
      </c>
      <c r="AQ266">
        <v>2.5555555559999998</v>
      </c>
      <c r="AR266">
        <v>1.1935483870000001</v>
      </c>
      <c r="AS266">
        <v>-1.362007169</v>
      </c>
      <c r="AT266">
        <v>0</v>
      </c>
      <c r="AU266" t="s">
        <v>66</v>
      </c>
      <c r="AV266">
        <v>0</v>
      </c>
      <c r="AW266">
        <v>1</v>
      </c>
      <c r="AX266">
        <v>0</v>
      </c>
      <c r="AY266">
        <v>1</v>
      </c>
      <c r="AZ266">
        <v>1</v>
      </c>
      <c r="BA266">
        <v>1</v>
      </c>
      <c r="BB266" t="s">
        <v>66</v>
      </c>
      <c r="BC266">
        <v>40.5</v>
      </c>
      <c r="BD266">
        <v>41.3</v>
      </c>
      <c r="BE266">
        <v>1.9753086419999999</v>
      </c>
      <c r="BF266">
        <v>0</v>
      </c>
      <c r="BG266">
        <v>41.3</v>
      </c>
      <c r="BH266">
        <v>1.9753086419999999</v>
      </c>
      <c r="BI266">
        <v>98</v>
      </c>
      <c r="BJ266">
        <v>16.899999999999999</v>
      </c>
      <c r="BK266" t="s">
        <v>66</v>
      </c>
      <c r="BL266">
        <f>98-40</f>
        <v>58</v>
      </c>
      <c r="BM266">
        <v>25</v>
      </c>
      <c r="BN266">
        <v>35</v>
      </c>
      <c r="BO266">
        <f t="shared" si="42"/>
        <v>30</v>
      </c>
      <c r="BP266">
        <v>4</v>
      </c>
      <c r="BQ266">
        <v>1</v>
      </c>
      <c r="BS266">
        <v>0</v>
      </c>
      <c r="BT266">
        <f t="shared" si="43"/>
        <v>33.673469387755098</v>
      </c>
      <c r="BU266">
        <f t="shared" si="44"/>
        <v>52.662721893491117</v>
      </c>
      <c r="BV266">
        <f t="shared" si="45"/>
        <v>-18.96551724137931</v>
      </c>
      <c r="BW266">
        <f t="shared" si="46"/>
        <v>10</v>
      </c>
    </row>
    <row r="267" spans="1:75" x14ac:dyDescent="0.2">
      <c r="A267" t="s">
        <v>213</v>
      </c>
      <c r="B267" t="s">
        <v>214</v>
      </c>
      <c r="C267" t="s">
        <v>62</v>
      </c>
      <c r="D267" t="s">
        <v>342</v>
      </c>
      <c r="E267" t="s">
        <v>359</v>
      </c>
      <c r="F267" t="s">
        <v>491</v>
      </c>
      <c r="G267">
        <v>5</v>
      </c>
      <c r="H267">
        <v>6.75</v>
      </c>
      <c r="I267">
        <v>12.5</v>
      </c>
      <c r="J267">
        <v>15.2</v>
      </c>
      <c r="K267">
        <v>39.450000000000003</v>
      </c>
      <c r="L267">
        <v>3.85</v>
      </c>
      <c r="M267">
        <v>133</v>
      </c>
      <c r="N267">
        <v>170</v>
      </c>
      <c r="O267">
        <v>37</v>
      </c>
      <c r="P267">
        <v>180</v>
      </c>
      <c r="Q267">
        <v>47</v>
      </c>
      <c r="R267">
        <v>23.5</v>
      </c>
      <c r="S267">
        <v>94.1</v>
      </c>
      <c r="T267">
        <v>35.338345859999997</v>
      </c>
      <c r="U267">
        <v>5.8823529409999997</v>
      </c>
      <c r="V267">
        <v>14</v>
      </c>
      <c r="W267">
        <v>17</v>
      </c>
      <c r="X267">
        <v>22</v>
      </c>
      <c r="Y267">
        <v>8</v>
      </c>
      <c r="Z267">
        <v>57.142857139999997</v>
      </c>
      <c r="AA267" t="s">
        <v>66</v>
      </c>
      <c r="AB267">
        <v>4</v>
      </c>
      <c r="AC267">
        <v>6</v>
      </c>
      <c r="AD267" t="s">
        <v>66</v>
      </c>
      <c r="AE267">
        <v>112</v>
      </c>
      <c r="AF267">
        <v>118</v>
      </c>
      <c r="AG267" t="s">
        <v>66</v>
      </c>
      <c r="AH267">
        <v>90</v>
      </c>
      <c r="AI267">
        <v>81</v>
      </c>
      <c r="AJ267" t="s">
        <v>66</v>
      </c>
      <c r="AK267">
        <v>59</v>
      </c>
      <c r="AL267">
        <v>66</v>
      </c>
      <c r="AM267">
        <v>74.5</v>
      </c>
      <c r="AN267">
        <v>73.5</v>
      </c>
      <c r="AO267">
        <v>-1.342281879</v>
      </c>
      <c r="AP267">
        <v>5.3571428570000004</v>
      </c>
      <c r="AQ267">
        <v>1.5033557049999999</v>
      </c>
      <c r="AR267">
        <v>1.605442177</v>
      </c>
      <c r="AS267">
        <v>0.102086472</v>
      </c>
      <c r="AT267">
        <v>0</v>
      </c>
      <c r="AU267" t="s">
        <v>66</v>
      </c>
      <c r="AV267">
        <v>2</v>
      </c>
      <c r="AW267">
        <v>0</v>
      </c>
      <c r="AX267">
        <v>0</v>
      </c>
      <c r="AY267">
        <v>1</v>
      </c>
      <c r="AZ267">
        <v>1</v>
      </c>
      <c r="BA267">
        <v>1</v>
      </c>
      <c r="BB267" t="s">
        <v>66</v>
      </c>
      <c r="BC267">
        <v>50.2</v>
      </c>
      <c r="BD267">
        <v>50.6</v>
      </c>
      <c r="BE267">
        <v>0.79681274899999999</v>
      </c>
      <c r="BF267">
        <v>0</v>
      </c>
      <c r="BG267">
        <v>50.6</v>
      </c>
      <c r="BH267">
        <v>0.79681274899999999</v>
      </c>
      <c r="BI267">
        <v>243</v>
      </c>
      <c r="BJ267">
        <v>24.3</v>
      </c>
      <c r="BK267">
        <v>11.3</v>
      </c>
      <c r="BL267">
        <f>243-97</f>
        <v>146</v>
      </c>
      <c r="BM267" t="s">
        <v>66</v>
      </c>
      <c r="BN267" t="s">
        <v>66</v>
      </c>
      <c r="BO267" t="s">
        <v>66</v>
      </c>
      <c r="BP267">
        <v>3</v>
      </c>
      <c r="BQ267">
        <v>1</v>
      </c>
      <c r="BS267">
        <v>0</v>
      </c>
      <c r="BT267">
        <f t="shared" si="43"/>
        <v>45.267489711934154</v>
      </c>
      <c r="BU267">
        <f t="shared" si="44"/>
        <v>42.386831275720169</v>
      </c>
      <c r="BV267">
        <f t="shared" si="45"/>
        <v>23.287671232876711</v>
      </c>
      <c r="BW267" t="s">
        <v>66</v>
      </c>
    </row>
    <row r="268" spans="1:75" x14ac:dyDescent="0.2">
      <c r="A268" t="s">
        <v>213</v>
      </c>
      <c r="B268" t="s">
        <v>214</v>
      </c>
      <c r="C268" t="s">
        <v>62</v>
      </c>
      <c r="D268" t="s">
        <v>342</v>
      </c>
      <c r="E268" t="s">
        <v>369</v>
      </c>
      <c r="F268" t="s">
        <v>496</v>
      </c>
      <c r="G268">
        <v>5</v>
      </c>
      <c r="H268">
        <v>6.75</v>
      </c>
      <c r="I268">
        <v>12.5</v>
      </c>
      <c r="J268">
        <v>15.2</v>
      </c>
      <c r="K268">
        <v>39.450000000000003</v>
      </c>
      <c r="L268">
        <v>3.85</v>
      </c>
      <c r="M268">
        <v>104</v>
      </c>
      <c r="N268">
        <v>155</v>
      </c>
      <c r="O268">
        <v>51</v>
      </c>
      <c r="P268">
        <v>156</v>
      </c>
      <c r="Q268">
        <v>52</v>
      </c>
      <c r="R268">
        <v>26</v>
      </c>
      <c r="S268">
        <v>99.1</v>
      </c>
      <c r="T268">
        <v>50</v>
      </c>
      <c r="U268">
        <v>0.64516129</v>
      </c>
      <c r="V268">
        <v>12</v>
      </c>
      <c r="W268">
        <v>19</v>
      </c>
      <c r="X268">
        <v>20</v>
      </c>
      <c r="Y268">
        <v>8</v>
      </c>
      <c r="Z268">
        <v>66.666666669999998</v>
      </c>
      <c r="AA268" t="s">
        <v>66</v>
      </c>
      <c r="AB268">
        <v>2</v>
      </c>
      <c r="AC268">
        <v>6</v>
      </c>
      <c r="AD268" t="s">
        <v>66</v>
      </c>
      <c r="AE268">
        <v>165</v>
      </c>
      <c r="AF268">
        <v>132</v>
      </c>
      <c r="AG268" t="s">
        <v>66</v>
      </c>
      <c r="AH268">
        <v>78</v>
      </c>
      <c r="AI268">
        <v>69</v>
      </c>
      <c r="AJ268" t="s">
        <v>66</v>
      </c>
      <c r="AK268">
        <v>36</v>
      </c>
      <c r="AL268">
        <v>33</v>
      </c>
      <c r="AM268">
        <v>57</v>
      </c>
      <c r="AN268">
        <v>51</v>
      </c>
      <c r="AO268">
        <v>-10.52631579</v>
      </c>
      <c r="AP268">
        <v>-20</v>
      </c>
      <c r="AQ268">
        <v>2.8947368419999999</v>
      </c>
      <c r="AR268">
        <v>2.588235294</v>
      </c>
      <c r="AS268">
        <v>-0.30650154800000001</v>
      </c>
      <c r="AT268">
        <v>0</v>
      </c>
      <c r="AU268" t="s">
        <v>66</v>
      </c>
      <c r="AV268">
        <v>1</v>
      </c>
      <c r="AW268">
        <v>1</v>
      </c>
      <c r="AX268">
        <v>0</v>
      </c>
      <c r="AY268">
        <v>1</v>
      </c>
      <c r="AZ268">
        <v>1</v>
      </c>
      <c r="BA268">
        <v>1</v>
      </c>
      <c r="BB268" t="s">
        <v>66</v>
      </c>
      <c r="BC268">
        <v>47.5</v>
      </c>
      <c r="BD268">
        <v>44.1</v>
      </c>
      <c r="BE268">
        <v>-7.1578947370000003</v>
      </c>
      <c r="BF268">
        <v>0</v>
      </c>
      <c r="BG268">
        <v>44.1</v>
      </c>
      <c r="BH268">
        <v>-7.1578947370000003</v>
      </c>
      <c r="BI268">
        <v>211</v>
      </c>
      <c r="BJ268">
        <v>23</v>
      </c>
      <c r="BK268">
        <v>5.0999999999999996</v>
      </c>
      <c r="BL268">
        <f>211-45</f>
        <v>166</v>
      </c>
      <c r="BM268">
        <v>83</v>
      </c>
      <c r="BN268">
        <v>52</v>
      </c>
      <c r="BO268">
        <f>AVERAGE(BM268,BN268)</f>
        <v>67.5</v>
      </c>
      <c r="BP268">
        <v>4</v>
      </c>
      <c r="BQ268">
        <v>1</v>
      </c>
      <c r="BS268">
        <v>0</v>
      </c>
      <c r="BT268">
        <f t="shared" si="43"/>
        <v>50.710900473933648</v>
      </c>
      <c r="BU268">
        <f t="shared" si="44"/>
        <v>47.826086956521742</v>
      </c>
      <c r="BV268">
        <f t="shared" si="45"/>
        <v>0.60240963855421692</v>
      </c>
      <c r="BW268">
        <f>(BO268-AM268)/BO268*100</f>
        <v>15.555555555555555</v>
      </c>
    </row>
    <row r="269" spans="1:75" x14ac:dyDescent="0.2">
      <c r="A269" t="s">
        <v>213</v>
      </c>
      <c r="B269" t="s">
        <v>214</v>
      </c>
      <c r="C269" t="s">
        <v>62</v>
      </c>
      <c r="D269" t="s">
        <v>342</v>
      </c>
      <c r="E269" t="s">
        <v>377</v>
      </c>
      <c r="F269" t="s">
        <v>500</v>
      </c>
      <c r="G269">
        <v>5</v>
      </c>
      <c r="H269">
        <v>6.75</v>
      </c>
      <c r="I269">
        <v>12.5</v>
      </c>
      <c r="J269">
        <v>15.2</v>
      </c>
      <c r="K269">
        <v>39.450000000000003</v>
      </c>
      <c r="L269">
        <v>3.85</v>
      </c>
      <c r="M269">
        <v>190</v>
      </c>
      <c r="N269">
        <v>165</v>
      </c>
      <c r="O269">
        <v>-25</v>
      </c>
      <c r="P269">
        <v>164</v>
      </c>
      <c r="Q269">
        <v>-26</v>
      </c>
      <c r="R269">
        <v>-13</v>
      </c>
      <c r="S269">
        <v>21.1</v>
      </c>
      <c r="T269">
        <v>-13.68421053</v>
      </c>
      <c r="U269">
        <v>-0.606060606</v>
      </c>
      <c r="V269">
        <v>24</v>
      </c>
      <c r="W269">
        <v>29</v>
      </c>
      <c r="X269">
        <v>31</v>
      </c>
      <c r="Y269">
        <v>7</v>
      </c>
      <c r="Z269">
        <v>29.166666670000001</v>
      </c>
      <c r="AA269">
        <v>7</v>
      </c>
      <c r="AB269">
        <v>5</v>
      </c>
      <c r="AC269">
        <v>7</v>
      </c>
      <c r="AD269" t="s">
        <v>66</v>
      </c>
      <c r="AE269">
        <v>125</v>
      </c>
      <c r="AF269">
        <v>130</v>
      </c>
      <c r="AG269" t="s">
        <v>66</v>
      </c>
      <c r="AH269">
        <v>62</v>
      </c>
      <c r="AI269">
        <v>41</v>
      </c>
      <c r="AJ269" t="s">
        <v>66</v>
      </c>
      <c r="AK269">
        <v>41</v>
      </c>
      <c r="AL269">
        <v>35</v>
      </c>
      <c r="AM269">
        <v>51.5</v>
      </c>
      <c r="AN269">
        <v>38</v>
      </c>
      <c r="AO269">
        <v>-26.21359223</v>
      </c>
      <c r="AP269">
        <v>4</v>
      </c>
      <c r="AQ269">
        <v>2.4271844659999999</v>
      </c>
      <c r="AR269">
        <v>3.4210526319999999</v>
      </c>
      <c r="AS269">
        <v>0.99386816600000005</v>
      </c>
      <c r="AT269">
        <v>0</v>
      </c>
      <c r="AU269" t="s">
        <v>66</v>
      </c>
      <c r="AV269">
        <v>1</v>
      </c>
      <c r="AW269">
        <v>1</v>
      </c>
      <c r="AX269">
        <v>0</v>
      </c>
      <c r="AY269">
        <v>1</v>
      </c>
      <c r="AZ269">
        <v>1</v>
      </c>
      <c r="BA269">
        <v>1</v>
      </c>
      <c r="BB269" t="s">
        <v>66</v>
      </c>
      <c r="BC269">
        <v>35.9</v>
      </c>
      <c r="BD269">
        <v>16.5</v>
      </c>
      <c r="BE269">
        <v>-54.038997209999998</v>
      </c>
      <c r="BF269">
        <v>0</v>
      </c>
      <c r="BG269">
        <v>16.5</v>
      </c>
      <c r="BH269">
        <v>-54.038997209999998</v>
      </c>
      <c r="BI269">
        <v>285</v>
      </c>
      <c r="BJ269">
        <v>38.200000000000003</v>
      </c>
      <c r="BK269">
        <v>9.8000000000000007</v>
      </c>
      <c r="BL269">
        <v>277</v>
      </c>
      <c r="BM269">
        <v>46</v>
      </c>
      <c r="BN269">
        <v>32</v>
      </c>
      <c r="BO269">
        <f>AVERAGE(BM269,BN269)</f>
        <v>39</v>
      </c>
      <c r="BP269">
        <v>4</v>
      </c>
      <c r="BQ269">
        <v>1</v>
      </c>
      <c r="BS269">
        <v>0</v>
      </c>
      <c r="BT269">
        <f t="shared" si="43"/>
        <v>33.333333333333329</v>
      </c>
      <c r="BU269">
        <f t="shared" si="44"/>
        <v>37.172774869109951</v>
      </c>
      <c r="BV269">
        <f t="shared" si="45"/>
        <v>54.873646209386287</v>
      </c>
      <c r="BW269">
        <f>(BO269-AM269)/BO269*100</f>
        <v>-32.051282051282051</v>
      </c>
    </row>
    <row r="270" spans="1:75" x14ac:dyDescent="0.2">
      <c r="A270" t="s">
        <v>213</v>
      </c>
      <c r="B270" t="s">
        <v>214</v>
      </c>
      <c r="C270" t="s">
        <v>62</v>
      </c>
      <c r="D270" t="s">
        <v>342</v>
      </c>
      <c r="E270" t="s">
        <v>381</v>
      </c>
      <c r="F270" t="s">
        <v>502</v>
      </c>
      <c r="G270">
        <v>5</v>
      </c>
      <c r="H270">
        <v>6.75</v>
      </c>
      <c r="I270">
        <v>12.5</v>
      </c>
      <c r="J270">
        <v>15.2</v>
      </c>
      <c r="K270">
        <v>39.450000000000003</v>
      </c>
      <c r="L270">
        <v>3.85</v>
      </c>
      <c r="M270">
        <v>67</v>
      </c>
      <c r="N270">
        <v>71</v>
      </c>
      <c r="O270">
        <v>4</v>
      </c>
      <c r="P270">
        <v>71</v>
      </c>
      <c r="Q270">
        <v>4</v>
      </c>
      <c r="R270">
        <v>2</v>
      </c>
      <c r="S270">
        <v>51.1</v>
      </c>
      <c r="T270">
        <v>5.9701492539999998</v>
      </c>
      <c r="U270">
        <v>0</v>
      </c>
      <c r="V270">
        <v>9</v>
      </c>
      <c r="W270">
        <v>11</v>
      </c>
      <c r="X270">
        <v>11</v>
      </c>
      <c r="Y270">
        <v>2</v>
      </c>
      <c r="Z270">
        <v>22.222222219999999</v>
      </c>
      <c r="AA270" t="s">
        <v>66</v>
      </c>
      <c r="AB270" t="s">
        <v>66</v>
      </c>
      <c r="AC270" t="s">
        <v>66</v>
      </c>
      <c r="AD270" t="s">
        <v>66</v>
      </c>
      <c r="AE270">
        <v>43</v>
      </c>
      <c r="AF270">
        <v>47</v>
      </c>
      <c r="AG270" t="s">
        <v>66</v>
      </c>
      <c r="AH270">
        <v>25</v>
      </c>
      <c r="AI270">
        <v>21</v>
      </c>
      <c r="AJ270" t="s">
        <v>66</v>
      </c>
      <c r="AK270">
        <v>21</v>
      </c>
      <c r="AL270">
        <v>27</v>
      </c>
      <c r="AM270">
        <v>23</v>
      </c>
      <c r="AN270">
        <v>24</v>
      </c>
      <c r="AO270">
        <v>4.3478260869999996</v>
      </c>
      <c r="AP270">
        <v>9.3023255809999998</v>
      </c>
      <c r="AQ270">
        <v>1.8695652169999999</v>
      </c>
      <c r="AR270">
        <v>1.9583333329999999</v>
      </c>
      <c r="AS270">
        <v>8.8768115999999994E-2</v>
      </c>
      <c r="AT270">
        <v>0</v>
      </c>
      <c r="AU270" t="s">
        <v>66</v>
      </c>
      <c r="AV270">
        <v>1</v>
      </c>
      <c r="AW270">
        <v>1</v>
      </c>
      <c r="AX270">
        <v>0</v>
      </c>
      <c r="AY270">
        <v>1</v>
      </c>
      <c r="AZ270">
        <v>1</v>
      </c>
      <c r="BA270">
        <v>1</v>
      </c>
      <c r="BB270" t="s">
        <v>66</v>
      </c>
      <c r="BC270">
        <v>32</v>
      </c>
      <c r="BD270">
        <v>40.6</v>
      </c>
      <c r="BE270">
        <v>26.875</v>
      </c>
      <c r="BF270">
        <v>0</v>
      </c>
      <c r="BG270">
        <v>40.6</v>
      </c>
      <c r="BH270">
        <v>26.875</v>
      </c>
      <c r="BI270">
        <v>33</v>
      </c>
      <c r="BJ270">
        <v>12</v>
      </c>
      <c r="BK270" t="s">
        <v>66</v>
      </c>
      <c r="BL270">
        <v>26</v>
      </c>
      <c r="BM270">
        <v>23</v>
      </c>
      <c r="BN270">
        <v>16</v>
      </c>
      <c r="BO270">
        <f>AVERAGE(BM270,BN270)</f>
        <v>19.5</v>
      </c>
      <c r="BP270">
        <v>4</v>
      </c>
      <c r="BQ270">
        <v>1</v>
      </c>
      <c r="BS270">
        <v>0</v>
      </c>
      <c r="BT270">
        <f t="shared" si="43"/>
        <v>-103.03030303030303</v>
      </c>
      <c r="BU270">
        <f t="shared" si="44"/>
        <v>25</v>
      </c>
      <c r="BV270">
        <f t="shared" si="45"/>
        <v>-65.384615384615387</v>
      </c>
      <c r="BW270">
        <f>(BO270-AM270)/BO270*100</f>
        <v>-17.948717948717949</v>
      </c>
    </row>
    <row r="271" spans="1:75" x14ac:dyDescent="0.2">
      <c r="A271" t="s">
        <v>213</v>
      </c>
      <c r="B271" t="s">
        <v>214</v>
      </c>
      <c r="C271" t="s">
        <v>62</v>
      </c>
      <c r="D271" t="s">
        <v>342</v>
      </c>
      <c r="E271" t="s">
        <v>353</v>
      </c>
      <c r="F271" t="s">
        <v>488</v>
      </c>
      <c r="G271">
        <v>5</v>
      </c>
      <c r="H271">
        <v>6.75</v>
      </c>
      <c r="I271">
        <v>12.5</v>
      </c>
      <c r="J271">
        <v>15.2</v>
      </c>
      <c r="K271">
        <v>39.450000000000003</v>
      </c>
      <c r="L271">
        <v>3.85</v>
      </c>
      <c r="M271">
        <v>120</v>
      </c>
      <c r="N271">
        <v>139</v>
      </c>
      <c r="O271">
        <v>19</v>
      </c>
      <c r="P271">
        <v>146</v>
      </c>
      <c r="Q271">
        <v>26</v>
      </c>
      <c r="R271">
        <v>13</v>
      </c>
      <c r="S271">
        <v>73.099999999999994</v>
      </c>
      <c r="T271">
        <v>21.666666670000001</v>
      </c>
      <c r="U271">
        <v>5.0359712229999998</v>
      </c>
      <c r="V271">
        <v>14</v>
      </c>
      <c r="W271">
        <v>15</v>
      </c>
      <c r="X271">
        <v>21</v>
      </c>
      <c r="Y271">
        <v>7</v>
      </c>
      <c r="Z271">
        <v>50</v>
      </c>
      <c r="AA271" t="s">
        <v>66</v>
      </c>
      <c r="AB271" t="s">
        <v>66</v>
      </c>
      <c r="AC271">
        <v>3</v>
      </c>
      <c r="AD271" t="s">
        <v>66</v>
      </c>
      <c r="AE271">
        <v>91</v>
      </c>
      <c r="AF271">
        <v>94</v>
      </c>
      <c r="AG271" t="s">
        <v>66</v>
      </c>
      <c r="AH271">
        <v>53</v>
      </c>
      <c r="AI271">
        <v>49</v>
      </c>
      <c r="AJ271" t="s">
        <v>66</v>
      </c>
      <c r="AK271">
        <v>40</v>
      </c>
      <c r="AL271">
        <v>48</v>
      </c>
      <c r="AM271">
        <v>46.5</v>
      </c>
      <c r="AN271">
        <v>48.5</v>
      </c>
      <c r="AO271">
        <v>4.301075269</v>
      </c>
      <c r="AP271">
        <v>3.2967032970000001</v>
      </c>
      <c r="AQ271">
        <v>1.9569892470000001</v>
      </c>
      <c r="AR271">
        <v>1.9381443300000001</v>
      </c>
      <c r="AS271">
        <v>-1.8844916999999999E-2</v>
      </c>
      <c r="AT271">
        <v>0</v>
      </c>
      <c r="AU271" t="s">
        <v>66</v>
      </c>
      <c r="AV271">
        <v>1</v>
      </c>
      <c r="AW271">
        <v>2</v>
      </c>
      <c r="AX271">
        <v>1</v>
      </c>
      <c r="AY271">
        <v>1</v>
      </c>
      <c r="AZ271">
        <v>1</v>
      </c>
      <c r="BA271">
        <v>1</v>
      </c>
      <c r="BB271" t="s">
        <v>66</v>
      </c>
      <c r="BC271">
        <v>44.7</v>
      </c>
      <c r="BD271">
        <v>42.8</v>
      </c>
      <c r="BE271">
        <v>-4.2505592840000004</v>
      </c>
      <c r="BF271">
        <v>0</v>
      </c>
      <c r="BG271">
        <v>42.8</v>
      </c>
      <c r="BH271">
        <v>-4.2505592840000004</v>
      </c>
      <c r="BI271">
        <v>250</v>
      </c>
      <c r="BJ271">
        <v>22.6</v>
      </c>
      <c r="BK271">
        <v>9.9</v>
      </c>
      <c r="BL271">
        <f>250-68</f>
        <v>182</v>
      </c>
      <c r="BM271">
        <v>88</v>
      </c>
      <c r="BN271">
        <v>64</v>
      </c>
      <c r="BO271">
        <f>AVERAGE(BM271,BN271)</f>
        <v>76</v>
      </c>
      <c r="BP271">
        <v>4</v>
      </c>
      <c r="BQ271">
        <v>1</v>
      </c>
      <c r="BS271">
        <v>0</v>
      </c>
      <c r="BT271">
        <f t="shared" si="43"/>
        <v>52</v>
      </c>
      <c r="BU271">
        <f t="shared" si="44"/>
        <v>38.053097345132748</v>
      </c>
      <c r="BV271">
        <f t="shared" si="45"/>
        <v>50</v>
      </c>
      <c r="BW271">
        <f>(BO271-AM271)/BO271*100</f>
        <v>38.815789473684212</v>
      </c>
    </row>
    <row r="272" spans="1:75" x14ac:dyDescent="0.2">
      <c r="A272" t="s">
        <v>213</v>
      </c>
      <c r="B272" t="s">
        <v>214</v>
      </c>
      <c r="C272" t="s">
        <v>62</v>
      </c>
      <c r="D272" t="s">
        <v>342</v>
      </c>
      <c r="E272" t="s">
        <v>357</v>
      </c>
      <c r="F272" t="s">
        <v>490</v>
      </c>
      <c r="G272">
        <v>5</v>
      </c>
      <c r="H272">
        <v>6.75</v>
      </c>
      <c r="I272">
        <v>12.5</v>
      </c>
      <c r="J272">
        <v>15.2</v>
      </c>
      <c r="K272">
        <v>39.450000000000003</v>
      </c>
      <c r="L272">
        <v>3.85</v>
      </c>
      <c r="M272">
        <v>182</v>
      </c>
      <c r="N272">
        <v>220</v>
      </c>
      <c r="O272">
        <v>38</v>
      </c>
      <c r="P272">
        <v>229</v>
      </c>
      <c r="Q272">
        <v>47</v>
      </c>
      <c r="R272">
        <v>23.5</v>
      </c>
      <c r="S272">
        <v>94.1</v>
      </c>
      <c r="T272">
        <v>25.824175820000001</v>
      </c>
      <c r="U272">
        <v>4.0909090910000003</v>
      </c>
      <c r="V272">
        <v>13</v>
      </c>
      <c r="W272">
        <v>17</v>
      </c>
      <c r="X272">
        <v>21</v>
      </c>
      <c r="Y272">
        <v>8</v>
      </c>
      <c r="Z272">
        <v>61.53846154</v>
      </c>
      <c r="AA272">
        <v>6</v>
      </c>
      <c r="AB272">
        <v>7</v>
      </c>
      <c r="AC272">
        <v>8</v>
      </c>
      <c r="AD272" t="s">
        <v>66</v>
      </c>
      <c r="AE272">
        <v>134</v>
      </c>
      <c r="AF272">
        <v>168</v>
      </c>
      <c r="AG272" t="s">
        <v>66</v>
      </c>
      <c r="AH272">
        <v>73</v>
      </c>
      <c r="AI272">
        <v>68</v>
      </c>
      <c r="AJ272" t="s">
        <v>66</v>
      </c>
      <c r="AK272">
        <v>50</v>
      </c>
      <c r="AL272">
        <v>52</v>
      </c>
      <c r="AM272">
        <v>61.5</v>
      </c>
      <c r="AN272">
        <v>60</v>
      </c>
      <c r="AO272">
        <v>-2.4390243900000002</v>
      </c>
      <c r="AP272">
        <v>25.373134329999999</v>
      </c>
      <c r="AQ272">
        <v>2.1788617889999999</v>
      </c>
      <c r="AR272">
        <v>2.8</v>
      </c>
      <c r="AS272">
        <v>0.621138211</v>
      </c>
      <c r="AT272">
        <v>0</v>
      </c>
      <c r="AU272" t="s">
        <v>66</v>
      </c>
      <c r="AV272">
        <v>1</v>
      </c>
      <c r="AW272">
        <v>2</v>
      </c>
      <c r="AX272">
        <v>1</v>
      </c>
      <c r="AY272">
        <v>1</v>
      </c>
      <c r="AZ272">
        <v>1</v>
      </c>
      <c r="BA272">
        <v>1</v>
      </c>
      <c r="BB272" t="s">
        <v>66</v>
      </c>
      <c r="BC272">
        <v>44.3</v>
      </c>
      <c r="BD272">
        <v>48.7</v>
      </c>
      <c r="BE272">
        <v>9.9322799100000001</v>
      </c>
      <c r="BF272">
        <v>0</v>
      </c>
      <c r="BG272">
        <v>48.7</v>
      </c>
      <c r="BH272">
        <v>9.9322799100000001</v>
      </c>
      <c r="BI272">
        <v>314</v>
      </c>
      <c r="BJ272">
        <v>20.3</v>
      </c>
      <c r="BK272">
        <v>11.5</v>
      </c>
      <c r="BL272">
        <f>314-79</f>
        <v>235</v>
      </c>
      <c r="BM272">
        <v>50</v>
      </c>
      <c r="BN272">
        <v>46</v>
      </c>
      <c r="BO272">
        <f>AVERAGE(BM272,BN272)</f>
        <v>48</v>
      </c>
      <c r="BP272">
        <v>3</v>
      </c>
      <c r="BQ272">
        <v>1</v>
      </c>
      <c r="BS272">
        <v>0</v>
      </c>
      <c r="BT272">
        <f t="shared" si="43"/>
        <v>42.038216560509554</v>
      </c>
      <c r="BU272">
        <f t="shared" si="44"/>
        <v>35.960591133004925</v>
      </c>
      <c r="BV272">
        <f t="shared" si="45"/>
        <v>42.978723404255319</v>
      </c>
      <c r="BW272">
        <f>(BO272-AM272)/BO272*100</f>
        <v>-28.125</v>
      </c>
    </row>
    <row r="273" spans="1:75" x14ac:dyDescent="0.2">
      <c r="A273" t="s">
        <v>256</v>
      </c>
      <c r="B273" t="s">
        <v>257</v>
      </c>
      <c r="C273" t="s">
        <v>62</v>
      </c>
      <c r="D273" t="s">
        <v>342</v>
      </c>
      <c r="E273" t="s">
        <v>373</v>
      </c>
      <c r="F273" t="s">
        <v>538</v>
      </c>
      <c r="G273">
        <v>5.0999999999999996</v>
      </c>
      <c r="H273">
        <v>1.55</v>
      </c>
      <c r="I273">
        <v>1.85</v>
      </c>
      <c r="J273">
        <v>0.3</v>
      </c>
      <c r="K273">
        <v>8.8000000000000007</v>
      </c>
      <c r="L273">
        <v>0.66666666699999999</v>
      </c>
      <c r="M273">
        <v>23</v>
      </c>
      <c r="N273">
        <v>29</v>
      </c>
      <c r="O273">
        <v>6</v>
      </c>
      <c r="P273">
        <v>15</v>
      </c>
      <c r="Q273">
        <v>-8</v>
      </c>
      <c r="R273">
        <v>-4</v>
      </c>
      <c r="S273">
        <v>39.1</v>
      </c>
      <c r="T273">
        <v>-34.782608699999997</v>
      </c>
      <c r="U273">
        <v>-48.275862070000002</v>
      </c>
      <c r="V273">
        <v>3</v>
      </c>
      <c r="W273">
        <v>4</v>
      </c>
      <c r="X273">
        <v>3</v>
      </c>
      <c r="Y273">
        <v>0</v>
      </c>
      <c r="Z273">
        <v>0</v>
      </c>
      <c r="AA273" t="s">
        <v>66</v>
      </c>
      <c r="AB273" t="s">
        <v>66</v>
      </c>
      <c r="AC273" t="s">
        <v>66</v>
      </c>
      <c r="AD273" t="s">
        <v>66</v>
      </c>
      <c r="AE273">
        <v>23</v>
      </c>
      <c r="AF273">
        <v>1</v>
      </c>
      <c r="AG273" t="s">
        <v>66</v>
      </c>
      <c r="AH273">
        <v>11</v>
      </c>
      <c r="AI273">
        <v>1</v>
      </c>
      <c r="AJ273" t="s">
        <v>66</v>
      </c>
      <c r="AK273">
        <v>7</v>
      </c>
      <c r="AL273">
        <v>1</v>
      </c>
      <c r="AM273">
        <v>9</v>
      </c>
      <c r="AN273">
        <v>1</v>
      </c>
      <c r="AO273">
        <v>-88.888888890000004</v>
      </c>
      <c r="AP273">
        <v>-95.652173910000002</v>
      </c>
      <c r="AQ273">
        <v>2.5555555559999998</v>
      </c>
      <c r="AR273">
        <v>1</v>
      </c>
      <c r="AS273">
        <v>-1.5555555560000001</v>
      </c>
      <c r="AT273">
        <v>0</v>
      </c>
      <c r="AU273" t="s">
        <v>66</v>
      </c>
      <c r="AV273">
        <v>0</v>
      </c>
      <c r="AW273">
        <v>4</v>
      </c>
      <c r="AX273">
        <v>0</v>
      </c>
      <c r="AY273">
        <v>1</v>
      </c>
      <c r="AZ273">
        <v>1</v>
      </c>
      <c r="BA273">
        <v>1</v>
      </c>
      <c r="BB273" t="s">
        <v>66</v>
      </c>
      <c r="BC273">
        <v>23.9</v>
      </c>
      <c r="BD273">
        <v>10</v>
      </c>
      <c r="BE273">
        <v>-58.158995820000001</v>
      </c>
      <c r="BF273">
        <v>0</v>
      </c>
      <c r="BG273">
        <v>10</v>
      </c>
      <c r="BH273">
        <v>-58.158995820000001</v>
      </c>
      <c r="BI273" t="s">
        <v>66</v>
      </c>
      <c r="BJ273" t="s">
        <v>66</v>
      </c>
      <c r="BK273" t="s">
        <v>66</v>
      </c>
      <c r="BL273" t="s">
        <v>66</v>
      </c>
      <c r="BM273" t="s">
        <v>66</v>
      </c>
      <c r="BN273" t="s">
        <v>66</v>
      </c>
      <c r="BO273" t="s">
        <v>66</v>
      </c>
      <c r="BP273" t="s">
        <v>66</v>
      </c>
      <c r="BQ273">
        <v>0</v>
      </c>
      <c r="BS273">
        <v>0</v>
      </c>
      <c r="BT273" t="s">
        <v>66</v>
      </c>
      <c r="BU273" t="s">
        <v>66</v>
      </c>
      <c r="BV273" t="s">
        <v>66</v>
      </c>
      <c r="BW273" t="s">
        <v>66</v>
      </c>
    </row>
    <row r="274" spans="1:75" x14ac:dyDescent="0.2">
      <c r="A274" t="s">
        <v>256</v>
      </c>
      <c r="B274" t="s">
        <v>257</v>
      </c>
      <c r="C274" t="s">
        <v>62</v>
      </c>
      <c r="D274" t="s">
        <v>342</v>
      </c>
      <c r="E274" t="s">
        <v>343</v>
      </c>
      <c r="F274" t="s">
        <v>523</v>
      </c>
      <c r="G274">
        <v>5.0999999999999996</v>
      </c>
      <c r="H274">
        <v>1.55</v>
      </c>
      <c r="I274">
        <v>1.85</v>
      </c>
      <c r="J274">
        <v>0.3</v>
      </c>
      <c r="K274">
        <v>8.8000000000000007</v>
      </c>
      <c r="L274">
        <v>0.66666666699999999</v>
      </c>
      <c r="M274">
        <v>69</v>
      </c>
      <c r="N274">
        <v>73</v>
      </c>
      <c r="O274">
        <v>4</v>
      </c>
      <c r="P274">
        <v>74</v>
      </c>
      <c r="Q274">
        <v>5</v>
      </c>
      <c r="R274">
        <v>2.5</v>
      </c>
      <c r="S274">
        <v>52.1</v>
      </c>
      <c r="T274">
        <v>7.2463768120000003</v>
      </c>
      <c r="U274">
        <v>1.3698630140000001</v>
      </c>
      <c r="V274">
        <v>11</v>
      </c>
      <c r="W274">
        <v>10</v>
      </c>
      <c r="X274">
        <v>11</v>
      </c>
      <c r="Y274">
        <v>0</v>
      </c>
      <c r="Z274">
        <v>0</v>
      </c>
      <c r="AA274" t="s">
        <v>66</v>
      </c>
      <c r="AB274" t="s">
        <v>66</v>
      </c>
      <c r="AC274" t="s">
        <v>66</v>
      </c>
      <c r="AD274" t="s">
        <v>66</v>
      </c>
      <c r="AE274">
        <v>35</v>
      </c>
      <c r="AF274">
        <v>27</v>
      </c>
      <c r="AG274" t="s">
        <v>66</v>
      </c>
      <c r="AH274">
        <v>25</v>
      </c>
      <c r="AI274">
        <v>29</v>
      </c>
      <c r="AJ274" t="s">
        <v>66</v>
      </c>
      <c r="AK274">
        <v>15</v>
      </c>
      <c r="AL274">
        <v>19</v>
      </c>
      <c r="AM274">
        <v>20</v>
      </c>
      <c r="AN274">
        <v>24</v>
      </c>
      <c r="AO274">
        <v>20</v>
      </c>
      <c r="AP274">
        <v>-22.85714286</v>
      </c>
      <c r="AQ274">
        <v>1.75</v>
      </c>
      <c r="AR274">
        <v>1.125</v>
      </c>
      <c r="AS274">
        <v>-0.625</v>
      </c>
      <c r="AT274">
        <v>0</v>
      </c>
      <c r="AU274" t="s">
        <v>66</v>
      </c>
      <c r="AV274">
        <v>2</v>
      </c>
      <c r="AW274">
        <v>1</v>
      </c>
      <c r="AX274">
        <v>0</v>
      </c>
      <c r="AY274">
        <v>1</v>
      </c>
      <c r="AZ274">
        <v>1</v>
      </c>
      <c r="BA274">
        <v>1</v>
      </c>
      <c r="BB274" t="s">
        <v>66</v>
      </c>
      <c r="BC274">
        <v>31.4</v>
      </c>
      <c r="BD274">
        <v>39.9</v>
      </c>
      <c r="BE274">
        <v>27.070063690000001</v>
      </c>
      <c r="BF274">
        <v>0</v>
      </c>
      <c r="BG274">
        <v>39.9</v>
      </c>
      <c r="BH274">
        <v>27.070063690000001</v>
      </c>
      <c r="BI274">
        <v>17</v>
      </c>
      <c r="BJ274">
        <v>0.4</v>
      </c>
      <c r="BK274" t="s">
        <v>66</v>
      </c>
      <c r="BL274">
        <v>9</v>
      </c>
      <c r="BM274">
        <v>6</v>
      </c>
      <c r="BN274">
        <v>3</v>
      </c>
      <c r="BO274">
        <f t="shared" ref="BO274:BO310" si="47">AVERAGE(BM274,BN274)</f>
        <v>4.5</v>
      </c>
      <c r="BP274">
        <v>3</v>
      </c>
      <c r="BQ274">
        <v>1</v>
      </c>
      <c r="BS274">
        <v>0</v>
      </c>
      <c r="BT274">
        <f t="shared" ref="BT274:BT310" si="48">(BI274-M274)/BI274*100</f>
        <v>-305.88235294117646</v>
      </c>
      <c r="BU274">
        <f t="shared" ref="BU274:BU310" si="49">(BJ274-V274)/BJ274*100</f>
        <v>-2649.9999999999995</v>
      </c>
      <c r="BV274">
        <f t="shared" ref="BV274:BV310" si="50">(BL274-AE274)/BL274*100</f>
        <v>-288.88888888888886</v>
      </c>
      <c r="BW274">
        <f t="shared" ref="BW274:BW310" si="51">(BO274-AM274)/BO274*100</f>
        <v>-344.44444444444446</v>
      </c>
    </row>
    <row r="275" spans="1:75" x14ac:dyDescent="0.2">
      <c r="A275" t="s">
        <v>256</v>
      </c>
      <c r="B275" t="s">
        <v>257</v>
      </c>
      <c r="C275" t="s">
        <v>62</v>
      </c>
      <c r="D275" t="s">
        <v>342</v>
      </c>
      <c r="E275" t="s">
        <v>345</v>
      </c>
      <c r="F275" t="s">
        <v>524</v>
      </c>
      <c r="G275">
        <v>5.0999999999999996</v>
      </c>
      <c r="H275">
        <v>1.55</v>
      </c>
      <c r="I275">
        <v>1.85</v>
      </c>
      <c r="J275">
        <v>0.3</v>
      </c>
      <c r="K275">
        <v>8.8000000000000007</v>
      </c>
      <c r="L275">
        <v>0.66666666699999999</v>
      </c>
      <c r="M275">
        <v>48</v>
      </c>
      <c r="N275">
        <v>59</v>
      </c>
      <c r="O275">
        <v>11</v>
      </c>
      <c r="P275">
        <v>60</v>
      </c>
      <c r="Q275">
        <v>12</v>
      </c>
      <c r="R275">
        <v>6</v>
      </c>
      <c r="S275">
        <v>59.1</v>
      </c>
      <c r="T275">
        <v>25</v>
      </c>
      <c r="U275">
        <v>1.6949152540000001</v>
      </c>
      <c r="V275">
        <v>7</v>
      </c>
      <c r="W275">
        <v>8</v>
      </c>
      <c r="X275">
        <v>9</v>
      </c>
      <c r="Y275">
        <v>2</v>
      </c>
      <c r="Z275">
        <v>28.571428569999998</v>
      </c>
      <c r="AA275" t="s">
        <v>66</v>
      </c>
      <c r="AB275" t="s">
        <v>66</v>
      </c>
      <c r="AC275" t="s">
        <v>66</v>
      </c>
      <c r="AD275" t="s">
        <v>66</v>
      </c>
      <c r="AE275">
        <v>40</v>
      </c>
      <c r="AF275">
        <v>21</v>
      </c>
      <c r="AG275" t="s">
        <v>66</v>
      </c>
      <c r="AH275">
        <v>31</v>
      </c>
      <c r="AI275">
        <v>33</v>
      </c>
      <c r="AJ275" t="s">
        <v>66</v>
      </c>
      <c r="AK275">
        <v>27</v>
      </c>
      <c r="AL275">
        <v>28</v>
      </c>
      <c r="AM275">
        <v>29</v>
      </c>
      <c r="AN275">
        <v>30.5</v>
      </c>
      <c r="AO275">
        <v>5.1724137929999996</v>
      </c>
      <c r="AP275">
        <v>-47.5</v>
      </c>
      <c r="AQ275">
        <v>1.3793103449999999</v>
      </c>
      <c r="AR275">
        <v>0.68852458999999999</v>
      </c>
      <c r="AS275">
        <v>-0.69078575499999995</v>
      </c>
      <c r="AT275">
        <v>0</v>
      </c>
      <c r="AU275" t="s">
        <v>66</v>
      </c>
      <c r="AV275">
        <v>0</v>
      </c>
      <c r="AW275">
        <v>1</v>
      </c>
      <c r="AX275">
        <v>0</v>
      </c>
      <c r="AY275">
        <v>1</v>
      </c>
      <c r="AZ275">
        <v>1</v>
      </c>
      <c r="BA275">
        <v>1</v>
      </c>
      <c r="BB275" t="s">
        <v>66</v>
      </c>
      <c r="BC275">
        <v>30.6</v>
      </c>
      <c r="BD275">
        <v>35.299999999999997</v>
      </c>
      <c r="BE275">
        <v>15.359477119999999</v>
      </c>
      <c r="BF275">
        <v>0</v>
      </c>
      <c r="BG275">
        <v>35.299999999999997</v>
      </c>
      <c r="BH275">
        <v>15.359477119999999</v>
      </c>
      <c r="BI275">
        <v>57</v>
      </c>
      <c r="BJ275">
        <v>8.3000000000000007</v>
      </c>
      <c r="BK275" t="s">
        <v>66</v>
      </c>
      <c r="BL275">
        <f>57-30</f>
        <v>27</v>
      </c>
      <c r="BM275">
        <v>40</v>
      </c>
      <c r="BN275">
        <v>28</v>
      </c>
      <c r="BO275">
        <f t="shared" si="47"/>
        <v>34</v>
      </c>
      <c r="BP275">
        <v>4</v>
      </c>
      <c r="BQ275">
        <v>1</v>
      </c>
      <c r="BS275">
        <v>0</v>
      </c>
      <c r="BT275">
        <f t="shared" si="48"/>
        <v>15.789473684210526</v>
      </c>
      <c r="BU275">
        <f t="shared" si="49"/>
        <v>15.662650602409645</v>
      </c>
      <c r="BV275">
        <f t="shared" si="50"/>
        <v>-48.148148148148145</v>
      </c>
      <c r="BW275">
        <f t="shared" si="51"/>
        <v>14.705882352941178</v>
      </c>
    </row>
    <row r="276" spans="1:75" x14ac:dyDescent="0.2">
      <c r="A276" t="s">
        <v>256</v>
      </c>
      <c r="B276" t="s">
        <v>257</v>
      </c>
      <c r="C276" t="s">
        <v>62</v>
      </c>
      <c r="D276" t="s">
        <v>342</v>
      </c>
      <c r="E276" t="s">
        <v>349</v>
      </c>
      <c r="F276" t="s">
        <v>526</v>
      </c>
      <c r="G276">
        <v>5.0999999999999996</v>
      </c>
      <c r="H276">
        <v>1.55</v>
      </c>
      <c r="I276">
        <v>1.85</v>
      </c>
      <c r="J276">
        <v>0.3</v>
      </c>
      <c r="K276">
        <v>8.8000000000000007</v>
      </c>
      <c r="L276">
        <v>0.66666666699999999</v>
      </c>
      <c r="M276">
        <v>99</v>
      </c>
      <c r="N276">
        <v>111</v>
      </c>
      <c r="O276">
        <v>12</v>
      </c>
      <c r="P276">
        <v>117</v>
      </c>
      <c r="Q276">
        <v>18</v>
      </c>
      <c r="R276">
        <v>9</v>
      </c>
      <c r="S276">
        <v>65.099999999999994</v>
      </c>
      <c r="T276">
        <v>18.18181818</v>
      </c>
      <c r="U276">
        <v>5.4054054049999998</v>
      </c>
      <c r="V276">
        <v>12</v>
      </c>
      <c r="W276">
        <v>16</v>
      </c>
      <c r="X276">
        <v>17</v>
      </c>
      <c r="Y276">
        <v>5</v>
      </c>
      <c r="Z276">
        <v>41.666666669999998</v>
      </c>
      <c r="AA276" t="s">
        <v>66</v>
      </c>
      <c r="AB276" t="s">
        <v>66</v>
      </c>
      <c r="AC276" t="s">
        <v>66</v>
      </c>
      <c r="AD276" t="s">
        <v>66</v>
      </c>
      <c r="AE276">
        <v>80</v>
      </c>
      <c r="AF276">
        <v>84</v>
      </c>
      <c r="AG276" t="s">
        <v>66</v>
      </c>
      <c r="AH276">
        <v>59</v>
      </c>
      <c r="AI276">
        <v>52</v>
      </c>
      <c r="AJ276" t="s">
        <v>66</v>
      </c>
      <c r="AK276">
        <v>40</v>
      </c>
      <c r="AL276">
        <v>45</v>
      </c>
      <c r="AM276">
        <v>49.5</v>
      </c>
      <c r="AN276">
        <v>48.5</v>
      </c>
      <c r="AO276">
        <v>-2.0202020200000002</v>
      </c>
      <c r="AP276">
        <v>5</v>
      </c>
      <c r="AQ276">
        <v>1.6161616160000001</v>
      </c>
      <c r="AR276">
        <v>1.731958763</v>
      </c>
      <c r="AS276">
        <v>0.115797147</v>
      </c>
      <c r="AT276">
        <v>0</v>
      </c>
      <c r="AU276" t="s">
        <v>66</v>
      </c>
      <c r="AV276">
        <v>1</v>
      </c>
      <c r="AW276">
        <v>1</v>
      </c>
      <c r="AX276">
        <v>0</v>
      </c>
      <c r="AY276">
        <v>1</v>
      </c>
      <c r="AZ276">
        <v>1</v>
      </c>
      <c r="BA276">
        <v>1</v>
      </c>
      <c r="BB276" t="s">
        <v>66</v>
      </c>
      <c r="BC276">
        <v>36.5</v>
      </c>
      <c r="BD276">
        <v>36.6</v>
      </c>
      <c r="BE276">
        <v>0.27397260299999998</v>
      </c>
      <c r="BF276">
        <v>0</v>
      </c>
      <c r="BG276">
        <v>36.6</v>
      </c>
      <c r="BH276">
        <v>0.27397260299999998</v>
      </c>
      <c r="BI276">
        <v>154</v>
      </c>
      <c r="BJ276">
        <v>22.7</v>
      </c>
      <c r="BK276">
        <v>6</v>
      </c>
      <c r="BL276">
        <f>154-39</f>
        <v>115</v>
      </c>
      <c r="BM276">
        <v>60</v>
      </c>
      <c r="BN276">
        <v>60</v>
      </c>
      <c r="BO276">
        <f t="shared" si="47"/>
        <v>60</v>
      </c>
      <c r="BP276">
        <v>4</v>
      </c>
      <c r="BQ276">
        <v>1</v>
      </c>
      <c r="BS276">
        <v>0</v>
      </c>
      <c r="BT276">
        <f t="shared" si="48"/>
        <v>35.714285714285715</v>
      </c>
      <c r="BU276">
        <f t="shared" si="49"/>
        <v>47.136563876651984</v>
      </c>
      <c r="BV276">
        <f t="shared" si="50"/>
        <v>30.434782608695656</v>
      </c>
      <c r="BW276">
        <f t="shared" si="51"/>
        <v>17.5</v>
      </c>
    </row>
    <row r="277" spans="1:75" x14ac:dyDescent="0.2">
      <c r="A277" t="s">
        <v>256</v>
      </c>
      <c r="B277" t="s">
        <v>257</v>
      </c>
      <c r="C277" t="s">
        <v>62</v>
      </c>
      <c r="D277" t="s">
        <v>342</v>
      </c>
      <c r="E277" t="s">
        <v>351</v>
      </c>
      <c r="F277" t="s">
        <v>527</v>
      </c>
      <c r="G277">
        <v>5.0999999999999996</v>
      </c>
      <c r="H277">
        <v>1.55</v>
      </c>
      <c r="I277">
        <v>1.85</v>
      </c>
      <c r="J277">
        <v>0.3</v>
      </c>
      <c r="K277">
        <v>8.8000000000000007</v>
      </c>
      <c r="L277">
        <v>0.66666666699999999</v>
      </c>
      <c r="M277">
        <v>94</v>
      </c>
      <c r="N277">
        <v>102</v>
      </c>
      <c r="O277">
        <v>8</v>
      </c>
      <c r="P277">
        <v>101</v>
      </c>
      <c r="Q277">
        <v>7</v>
      </c>
      <c r="R277">
        <v>3.5</v>
      </c>
      <c r="S277">
        <v>54.1</v>
      </c>
      <c r="T277">
        <v>7.4468085110000004</v>
      </c>
      <c r="U277">
        <v>-0.98039215700000004</v>
      </c>
      <c r="V277">
        <v>13</v>
      </c>
      <c r="W277">
        <v>6</v>
      </c>
      <c r="X277">
        <v>14</v>
      </c>
      <c r="Y277">
        <v>1</v>
      </c>
      <c r="Z277">
        <v>7.692307692</v>
      </c>
      <c r="AA277" t="s">
        <v>66</v>
      </c>
      <c r="AB277" t="s">
        <v>66</v>
      </c>
      <c r="AC277" t="s">
        <v>66</v>
      </c>
      <c r="AD277" t="s">
        <v>66</v>
      </c>
      <c r="AE277">
        <v>80</v>
      </c>
      <c r="AF277">
        <v>63</v>
      </c>
      <c r="AG277" t="s">
        <v>66</v>
      </c>
      <c r="AH277">
        <v>40</v>
      </c>
      <c r="AI277">
        <v>31</v>
      </c>
      <c r="AJ277" t="s">
        <v>66</v>
      </c>
      <c r="AK277">
        <v>29</v>
      </c>
      <c r="AL277">
        <v>26</v>
      </c>
      <c r="AM277">
        <v>34.5</v>
      </c>
      <c r="AN277">
        <v>28.5</v>
      </c>
      <c r="AO277">
        <v>-17.391304349999999</v>
      </c>
      <c r="AP277">
        <v>-21.25</v>
      </c>
      <c r="AQ277">
        <v>2.3188405799999998</v>
      </c>
      <c r="AR277">
        <v>2.2105263160000002</v>
      </c>
      <c r="AS277">
        <v>-0.10831426399999999</v>
      </c>
      <c r="AT277">
        <v>0</v>
      </c>
      <c r="AU277" t="s">
        <v>66</v>
      </c>
      <c r="AV277">
        <v>1</v>
      </c>
      <c r="AW277">
        <v>1</v>
      </c>
      <c r="AX277">
        <v>0</v>
      </c>
      <c r="AY277">
        <v>1</v>
      </c>
      <c r="AZ277">
        <v>1</v>
      </c>
      <c r="BA277">
        <v>1</v>
      </c>
      <c r="BB277" t="s">
        <v>66</v>
      </c>
      <c r="BC277">
        <v>31.2</v>
      </c>
      <c r="BD277">
        <v>41.7</v>
      </c>
      <c r="BE277">
        <v>33.65384615</v>
      </c>
      <c r="BF277">
        <v>0</v>
      </c>
      <c r="BG277">
        <v>41.7</v>
      </c>
      <c r="BH277">
        <v>33.65384615</v>
      </c>
      <c r="BI277">
        <v>110</v>
      </c>
      <c r="BJ277">
        <v>12.9</v>
      </c>
      <c r="BK277" t="s">
        <v>66</v>
      </c>
      <c r="BL277">
        <f>110-77</f>
        <v>33</v>
      </c>
      <c r="BM277">
        <v>28</v>
      </c>
      <c r="BN277">
        <v>21</v>
      </c>
      <c r="BO277">
        <f t="shared" si="47"/>
        <v>24.5</v>
      </c>
      <c r="BP277">
        <v>4</v>
      </c>
      <c r="BQ277">
        <v>1</v>
      </c>
      <c r="BS277">
        <v>0</v>
      </c>
      <c r="BT277">
        <f t="shared" si="48"/>
        <v>14.545454545454545</v>
      </c>
      <c r="BU277">
        <f t="shared" si="49"/>
        <v>-0.77519379844960956</v>
      </c>
      <c r="BV277">
        <f t="shared" si="50"/>
        <v>-142.42424242424244</v>
      </c>
      <c r="BW277">
        <f t="shared" si="51"/>
        <v>-40.816326530612244</v>
      </c>
    </row>
    <row r="278" spans="1:75" x14ac:dyDescent="0.2">
      <c r="A278" t="s">
        <v>256</v>
      </c>
      <c r="B278" t="s">
        <v>257</v>
      </c>
      <c r="C278" t="s">
        <v>62</v>
      </c>
      <c r="D278" t="s">
        <v>342</v>
      </c>
      <c r="E278" t="s">
        <v>353</v>
      </c>
      <c r="F278" t="s">
        <v>528</v>
      </c>
      <c r="G278">
        <v>5.0999999999999996</v>
      </c>
      <c r="H278">
        <v>1.55</v>
      </c>
      <c r="I278">
        <v>1.85</v>
      </c>
      <c r="J278">
        <v>0.3</v>
      </c>
      <c r="K278">
        <v>8.8000000000000007</v>
      </c>
      <c r="L278">
        <v>0.66666666699999999</v>
      </c>
      <c r="M278">
        <v>62</v>
      </c>
      <c r="N278">
        <v>67</v>
      </c>
      <c r="O278">
        <v>5</v>
      </c>
      <c r="P278">
        <v>71</v>
      </c>
      <c r="Q278">
        <v>9</v>
      </c>
      <c r="R278">
        <v>4.5</v>
      </c>
      <c r="S278">
        <v>56.1</v>
      </c>
      <c r="T278">
        <v>14.51612903</v>
      </c>
      <c r="U278">
        <v>5.9701492539999998</v>
      </c>
      <c r="V278">
        <v>9</v>
      </c>
      <c r="W278">
        <v>8</v>
      </c>
      <c r="X278">
        <v>10</v>
      </c>
      <c r="Y278">
        <v>1</v>
      </c>
      <c r="Z278">
        <v>11.11111111</v>
      </c>
      <c r="AA278" t="s">
        <v>66</v>
      </c>
      <c r="AB278" t="s">
        <v>66</v>
      </c>
      <c r="AC278" t="s">
        <v>66</v>
      </c>
      <c r="AD278" t="s">
        <v>66</v>
      </c>
      <c r="AE278">
        <v>39</v>
      </c>
      <c r="AF278">
        <v>24</v>
      </c>
      <c r="AG278" t="s">
        <v>66</v>
      </c>
      <c r="AH278">
        <v>28</v>
      </c>
      <c r="AI278">
        <v>26</v>
      </c>
      <c r="AJ278" t="s">
        <v>66</v>
      </c>
      <c r="AK278">
        <v>15</v>
      </c>
      <c r="AL278">
        <v>13</v>
      </c>
      <c r="AM278">
        <v>21.5</v>
      </c>
      <c r="AN278">
        <v>19.5</v>
      </c>
      <c r="AO278">
        <v>-9.3023255809999998</v>
      </c>
      <c r="AP278">
        <v>-38.46153846</v>
      </c>
      <c r="AQ278">
        <v>1.8139534879999999</v>
      </c>
      <c r="AR278">
        <v>1.230769231</v>
      </c>
      <c r="AS278">
        <v>-0.58318425699999998</v>
      </c>
      <c r="AT278">
        <v>0</v>
      </c>
      <c r="AU278" t="s">
        <v>66</v>
      </c>
      <c r="AV278">
        <v>0</v>
      </c>
      <c r="AW278">
        <v>1</v>
      </c>
      <c r="AX278">
        <v>0</v>
      </c>
      <c r="AY278">
        <v>1</v>
      </c>
      <c r="AZ278">
        <v>1</v>
      </c>
      <c r="BA278">
        <v>1</v>
      </c>
      <c r="BB278" t="s">
        <v>66</v>
      </c>
      <c r="BC278">
        <v>34.200000000000003</v>
      </c>
      <c r="BD278">
        <v>42.8</v>
      </c>
      <c r="BE278">
        <v>25.146198829999999</v>
      </c>
      <c r="BF278">
        <v>0</v>
      </c>
      <c r="BG278">
        <v>42.8</v>
      </c>
      <c r="BH278">
        <v>25.146198829999999</v>
      </c>
      <c r="BI278">
        <v>77</v>
      </c>
      <c r="BJ278">
        <v>12</v>
      </c>
      <c r="BK278" t="s">
        <v>66</v>
      </c>
      <c r="BL278">
        <f>77-42</f>
        <v>35</v>
      </c>
      <c r="BM278">
        <v>36</v>
      </c>
      <c r="BN278">
        <v>21</v>
      </c>
      <c r="BO278">
        <f t="shared" si="47"/>
        <v>28.5</v>
      </c>
      <c r="BP278">
        <v>4</v>
      </c>
      <c r="BQ278">
        <v>1</v>
      </c>
      <c r="BS278">
        <v>0</v>
      </c>
      <c r="BT278">
        <f t="shared" si="48"/>
        <v>19.480519480519483</v>
      </c>
      <c r="BU278">
        <f t="shared" si="49"/>
        <v>25</v>
      </c>
      <c r="BV278">
        <f t="shared" si="50"/>
        <v>-11.428571428571429</v>
      </c>
      <c r="BW278">
        <f t="shared" si="51"/>
        <v>24.561403508771928</v>
      </c>
    </row>
    <row r="279" spans="1:75" x14ac:dyDescent="0.2">
      <c r="A279" t="s">
        <v>256</v>
      </c>
      <c r="B279" t="s">
        <v>257</v>
      </c>
      <c r="C279" t="s">
        <v>62</v>
      </c>
      <c r="D279" t="s">
        <v>342</v>
      </c>
      <c r="E279" t="s">
        <v>355</v>
      </c>
      <c r="F279" t="s">
        <v>529</v>
      </c>
      <c r="G279">
        <v>5.0999999999999996</v>
      </c>
      <c r="H279">
        <v>1.55</v>
      </c>
      <c r="I279">
        <v>1.85</v>
      </c>
      <c r="J279">
        <v>0.3</v>
      </c>
      <c r="K279">
        <v>8.8000000000000007</v>
      </c>
      <c r="L279">
        <v>0.66666666699999999</v>
      </c>
      <c r="M279">
        <v>44</v>
      </c>
      <c r="N279">
        <v>46</v>
      </c>
      <c r="O279">
        <v>2</v>
      </c>
      <c r="P279">
        <v>42</v>
      </c>
      <c r="Q279">
        <v>-2</v>
      </c>
      <c r="R279">
        <v>-1</v>
      </c>
      <c r="S279">
        <v>45.1</v>
      </c>
      <c r="T279">
        <v>-4.5454545450000001</v>
      </c>
      <c r="U279">
        <v>-8.6956521739999992</v>
      </c>
      <c r="V279">
        <v>5</v>
      </c>
      <c r="W279">
        <v>7</v>
      </c>
      <c r="X279">
        <v>7</v>
      </c>
      <c r="Y279">
        <v>2</v>
      </c>
      <c r="Z279">
        <v>40</v>
      </c>
      <c r="AA279" t="s">
        <v>66</v>
      </c>
      <c r="AB279" t="s">
        <v>66</v>
      </c>
      <c r="AC279" t="s">
        <v>66</v>
      </c>
      <c r="AD279" t="s">
        <v>66</v>
      </c>
      <c r="AE279">
        <v>25</v>
      </c>
      <c r="AF279">
        <v>16</v>
      </c>
      <c r="AG279" t="s">
        <v>66</v>
      </c>
      <c r="AH279">
        <v>16</v>
      </c>
      <c r="AI279">
        <v>17</v>
      </c>
      <c r="AJ279" t="s">
        <v>66</v>
      </c>
      <c r="AK279">
        <v>8</v>
      </c>
      <c r="AL279">
        <v>4</v>
      </c>
      <c r="AM279">
        <v>12</v>
      </c>
      <c r="AN279">
        <v>10.5</v>
      </c>
      <c r="AO279">
        <v>-12.5</v>
      </c>
      <c r="AP279">
        <v>-36</v>
      </c>
      <c r="AQ279">
        <v>2.0833333330000001</v>
      </c>
      <c r="AR279">
        <v>1.523809524</v>
      </c>
      <c r="AS279">
        <v>-0.55952380899999998</v>
      </c>
      <c r="AT279">
        <v>0</v>
      </c>
      <c r="AU279" t="s">
        <v>66</v>
      </c>
      <c r="AV279">
        <v>1</v>
      </c>
      <c r="AW279">
        <v>0</v>
      </c>
      <c r="AX279">
        <v>0</v>
      </c>
      <c r="AY279">
        <v>1</v>
      </c>
      <c r="AZ279">
        <v>1</v>
      </c>
      <c r="BA279">
        <v>1</v>
      </c>
      <c r="BB279" t="s">
        <v>66</v>
      </c>
      <c r="BC279">
        <v>30.8</v>
      </c>
      <c r="BD279">
        <v>32.200000000000003</v>
      </c>
      <c r="BE279">
        <v>4.5454545450000001</v>
      </c>
      <c r="BF279">
        <v>0</v>
      </c>
      <c r="BG279">
        <v>32.200000000000003</v>
      </c>
      <c r="BH279">
        <v>4.5454545450000001</v>
      </c>
      <c r="BI279">
        <v>47</v>
      </c>
      <c r="BJ279">
        <v>8.1</v>
      </c>
      <c r="BK279" t="s">
        <v>66</v>
      </c>
      <c r="BL279">
        <f>47-31</f>
        <v>16</v>
      </c>
      <c r="BM279">
        <v>14</v>
      </c>
      <c r="BN279">
        <v>2</v>
      </c>
      <c r="BO279">
        <f t="shared" si="47"/>
        <v>8</v>
      </c>
      <c r="BP279">
        <v>3</v>
      </c>
      <c r="BQ279">
        <v>1</v>
      </c>
      <c r="BS279">
        <v>0</v>
      </c>
      <c r="BT279">
        <f t="shared" si="48"/>
        <v>6.3829787234042552</v>
      </c>
      <c r="BU279">
        <f t="shared" si="49"/>
        <v>38.271604938271601</v>
      </c>
      <c r="BV279">
        <f t="shared" si="50"/>
        <v>-56.25</v>
      </c>
      <c r="BW279">
        <f t="shared" si="51"/>
        <v>-50</v>
      </c>
    </row>
    <row r="280" spans="1:75" x14ac:dyDescent="0.2">
      <c r="A280" t="s">
        <v>256</v>
      </c>
      <c r="B280" t="s">
        <v>257</v>
      </c>
      <c r="C280" t="s">
        <v>62</v>
      </c>
      <c r="D280" t="s">
        <v>342</v>
      </c>
      <c r="E280" t="s">
        <v>357</v>
      </c>
      <c r="F280" t="s">
        <v>530</v>
      </c>
      <c r="G280">
        <v>5.0999999999999996</v>
      </c>
      <c r="H280">
        <v>1.55</v>
      </c>
      <c r="I280">
        <v>1.85</v>
      </c>
      <c r="J280">
        <v>0.3</v>
      </c>
      <c r="K280">
        <v>8.8000000000000007</v>
      </c>
      <c r="L280">
        <v>0.66666666699999999</v>
      </c>
      <c r="M280">
        <v>90</v>
      </c>
      <c r="N280">
        <v>114</v>
      </c>
      <c r="O280">
        <v>24</v>
      </c>
      <c r="P280">
        <v>135</v>
      </c>
      <c r="Q280">
        <v>45</v>
      </c>
      <c r="R280">
        <v>22.5</v>
      </c>
      <c r="S280">
        <v>92.1</v>
      </c>
      <c r="T280">
        <v>50</v>
      </c>
      <c r="U280">
        <v>18.421052629999998</v>
      </c>
      <c r="V280">
        <v>10</v>
      </c>
      <c r="W280">
        <v>12</v>
      </c>
      <c r="X280">
        <v>11</v>
      </c>
      <c r="Y280">
        <v>1</v>
      </c>
      <c r="Z280">
        <v>10</v>
      </c>
      <c r="AA280" t="s">
        <v>66</v>
      </c>
      <c r="AB280" t="s">
        <v>66</v>
      </c>
      <c r="AC280" t="s">
        <v>66</v>
      </c>
      <c r="AD280" t="s">
        <v>66</v>
      </c>
      <c r="AE280">
        <v>90</v>
      </c>
      <c r="AF280">
        <v>111</v>
      </c>
      <c r="AG280" t="s">
        <v>66</v>
      </c>
      <c r="AH280">
        <v>54</v>
      </c>
      <c r="AI280">
        <v>62</v>
      </c>
      <c r="AJ280" t="s">
        <v>66</v>
      </c>
      <c r="AK280">
        <v>31</v>
      </c>
      <c r="AL280">
        <v>27</v>
      </c>
      <c r="AM280">
        <v>42.5</v>
      </c>
      <c r="AN280">
        <v>44.5</v>
      </c>
      <c r="AO280">
        <v>4.7058823529999998</v>
      </c>
      <c r="AP280">
        <v>23.333333329999999</v>
      </c>
      <c r="AQ280">
        <v>2.1176470589999998</v>
      </c>
      <c r="AR280">
        <v>2.4943820219999999</v>
      </c>
      <c r="AS280">
        <v>0.37673496299999998</v>
      </c>
      <c r="AT280">
        <v>0</v>
      </c>
      <c r="AU280" t="s">
        <v>66</v>
      </c>
      <c r="AV280">
        <v>1</v>
      </c>
      <c r="AW280">
        <v>1</v>
      </c>
      <c r="AX280">
        <v>0</v>
      </c>
      <c r="AY280">
        <v>1</v>
      </c>
      <c r="AZ280">
        <v>1</v>
      </c>
      <c r="BA280">
        <v>1</v>
      </c>
      <c r="BB280" t="s">
        <v>66</v>
      </c>
      <c r="BC280">
        <v>45.4</v>
      </c>
      <c r="BD280">
        <v>63.7</v>
      </c>
      <c r="BE280">
        <v>40.30837004</v>
      </c>
      <c r="BF280">
        <v>0</v>
      </c>
      <c r="BG280">
        <v>63.7</v>
      </c>
      <c r="BH280">
        <v>40.30837004</v>
      </c>
      <c r="BI280">
        <v>142</v>
      </c>
      <c r="BJ280">
        <v>18.8</v>
      </c>
      <c r="BK280">
        <v>4.7</v>
      </c>
      <c r="BL280">
        <f>149-24</f>
        <v>125</v>
      </c>
      <c r="BM280">
        <v>65</v>
      </c>
      <c r="BN280">
        <v>44</v>
      </c>
      <c r="BO280">
        <f t="shared" si="47"/>
        <v>54.5</v>
      </c>
      <c r="BP280">
        <v>4</v>
      </c>
      <c r="BQ280">
        <v>1</v>
      </c>
      <c r="BS280">
        <v>0</v>
      </c>
      <c r="BT280">
        <f t="shared" si="48"/>
        <v>36.619718309859159</v>
      </c>
      <c r="BU280">
        <f t="shared" si="49"/>
        <v>46.808510638297875</v>
      </c>
      <c r="BV280">
        <f t="shared" si="50"/>
        <v>28.000000000000004</v>
      </c>
      <c r="BW280">
        <f t="shared" si="51"/>
        <v>22.018348623853214</v>
      </c>
    </row>
    <row r="281" spans="1:75" x14ac:dyDescent="0.2">
      <c r="A281" t="s">
        <v>256</v>
      </c>
      <c r="B281" t="s">
        <v>257</v>
      </c>
      <c r="C281" t="s">
        <v>62</v>
      </c>
      <c r="D281" t="s">
        <v>342</v>
      </c>
      <c r="E281" t="s">
        <v>361</v>
      </c>
      <c r="F281" t="s">
        <v>532</v>
      </c>
      <c r="G281">
        <v>5.0999999999999996</v>
      </c>
      <c r="H281">
        <v>1.55</v>
      </c>
      <c r="I281">
        <v>1.85</v>
      </c>
      <c r="J281">
        <v>0.3</v>
      </c>
      <c r="K281">
        <v>8.8000000000000007</v>
      </c>
      <c r="L281">
        <v>0.66666666699999999</v>
      </c>
      <c r="M281">
        <v>65</v>
      </c>
      <c r="N281">
        <v>77</v>
      </c>
      <c r="O281">
        <v>12</v>
      </c>
      <c r="P281">
        <v>79</v>
      </c>
      <c r="Q281">
        <v>14</v>
      </c>
      <c r="R281">
        <v>7</v>
      </c>
      <c r="S281">
        <v>61.1</v>
      </c>
      <c r="T281">
        <v>21.53846154</v>
      </c>
      <c r="U281">
        <v>2.5974025969999999</v>
      </c>
      <c r="V281">
        <v>6</v>
      </c>
      <c r="W281">
        <v>10</v>
      </c>
      <c r="X281">
        <v>8</v>
      </c>
      <c r="Y281">
        <v>2</v>
      </c>
      <c r="Z281">
        <v>33.333333330000002</v>
      </c>
      <c r="AA281" t="s">
        <v>66</v>
      </c>
      <c r="AB281" t="s">
        <v>66</v>
      </c>
      <c r="AC281" t="s">
        <v>66</v>
      </c>
      <c r="AD281" t="s">
        <v>66</v>
      </c>
      <c r="AE281">
        <v>47</v>
      </c>
      <c r="AF281">
        <v>38</v>
      </c>
      <c r="AG281" t="s">
        <v>66</v>
      </c>
      <c r="AH281">
        <v>38</v>
      </c>
      <c r="AI281">
        <v>24</v>
      </c>
      <c r="AJ281" t="s">
        <v>66</v>
      </c>
      <c r="AK281">
        <v>21</v>
      </c>
      <c r="AL281">
        <v>16</v>
      </c>
      <c r="AM281">
        <v>29.5</v>
      </c>
      <c r="AN281">
        <v>20</v>
      </c>
      <c r="AO281">
        <v>-32.203389829999999</v>
      </c>
      <c r="AP281">
        <v>-19.148936169999999</v>
      </c>
      <c r="AQ281">
        <v>1.5932203389999999</v>
      </c>
      <c r="AR281">
        <v>1.9</v>
      </c>
      <c r="AS281">
        <v>0.30677966099999998</v>
      </c>
      <c r="AT281">
        <v>0</v>
      </c>
      <c r="AU281" t="s">
        <v>66</v>
      </c>
      <c r="AV281">
        <v>1</v>
      </c>
      <c r="AW281">
        <v>1</v>
      </c>
      <c r="AX281">
        <v>0</v>
      </c>
      <c r="AY281">
        <v>1</v>
      </c>
      <c r="AZ281">
        <v>1</v>
      </c>
      <c r="BA281">
        <v>1</v>
      </c>
      <c r="BB281" t="s">
        <v>66</v>
      </c>
      <c r="BC281">
        <v>31.2</v>
      </c>
      <c r="BD281">
        <v>41.2</v>
      </c>
      <c r="BE281">
        <v>32.051282049999998</v>
      </c>
      <c r="BF281">
        <v>0</v>
      </c>
      <c r="BG281">
        <v>41.2</v>
      </c>
      <c r="BH281">
        <v>32.051282049999998</v>
      </c>
      <c r="BI281">
        <v>89</v>
      </c>
      <c r="BJ281">
        <v>9.6999999999999993</v>
      </c>
      <c r="BK281" t="s">
        <v>66</v>
      </c>
      <c r="BL281">
        <f>89-54</f>
        <v>35</v>
      </c>
      <c r="BM281">
        <v>23</v>
      </c>
      <c r="BN281">
        <v>15</v>
      </c>
      <c r="BO281">
        <f t="shared" si="47"/>
        <v>19</v>
      </c>
      <c r="BP281">
        <v>3</v>
      </c>
      <c r="BQ281">
        <v>1</v>
      </c>
      <c r="BS281">
        <v>0</v>
      </c>
      <c r="BT281">
        <f t="shared" si="48"/>
        <v>26.966292134831459</v>
      </c>
      <c r="BU281">
        <f t="shared" si="49"/>
        <v>38.144329896907216</v>
      </c>
      <c r="BV281">
        <f t="shared" si="50"/>
        <v>-34.285714285714285</v>
      </c>
      <c r="BW281">
        <f t="shared" si="51"/>
        <v>-55.26315789473685</v>
      </c>
    </row>
    <row r="282" spans="1:75" x14ac:dyDescent="0.2">
      <c r="A282" t="s">
        <v>256</v>
      </c>
      <c r="B282" t="s">
        <v>257</v>
      </c>
      <c r="C282" t="s">
        <v>62</v>
      </c>
      <c r="D282" t="s">
        <v>342</v>
      </c>
      <c r="E282" t="s">
        <v>363</v>
      </c>
      <c r="F282" t="s">
        <v>533</v>
      </c>
      <c r="G282">
        <v>5.0999999999999996</v>
      </c>
      <c r="H282">
        <v>1.55</v>
      </c>
      <c r="I282">
        <v>1.85</v>
      </c>
      <c r="J282">
        <v>0.3</v>
      </c>
      <c r="K282">
        <v>8.8000000000000007</v>
      </c>
      <c r="L282">
        <v>0.66666666699999999</v>
      </c>
      <c r="M282">
        <v>72</v>
      </c>
      <c r="N282">
        <v>96</v>
      </c>
      <c r="O282">
        <v>24</v>
      </c>
      <c r="P282">
        <v>101</v>
      </c>
      <c r="Q282">
        <v>29</v>
      </c>
      <c r="R282">
        <v>14.5</v>
      </c>
      <c r="S282">
        <v>76.099999999999994</v>
      </c>
      <c r="T282">
        <v>40.277777780000001</v>
      </c>
      <c r="U282">
        <v>5.2083333329999997</v>
      </c>
      <c r="V282">
        <v>9</v>
      </c>
      <c r="W282">
        <v>12</v>
      </c>
      <c r="X282">
        <v>16</v>
      </c>
      <c r="Y282">
        <v>7</v>
      </c>
      <c r="Z282">
        <v>77.777777779999994</v>
      </c>
      <c r="AA282" t="s">
        <v>66</v>
      </c>
      <c r="AB282" t="s">
        <v>66</v>
      </c>
      <c r="AC282" t="s">
        <v>66</v>
      </c>
      <c r="AD282" t="s">
        <v>66</v>
      </c>
      <c r="AE282">
        <v>68</v>
      </c>
      <c r="AF282">
        <v>72</v>
      </c>
      <c r="AG282" t="s">
        <v>66</v>
      </c>
      <c r="AH282">
        <v>49</v>
      </c>
      <c r="AI282">
        <v>38</v>
      </c>
      <c r="AJ282" t="s">
        <v>66</v>
      </c>
      <c r="AK282">
        <v>34</v>
      </c>
      <c r="AL282">
        <v>28</v>
      </c>
      <c r="AM282">
        <v>41.5</v>
      </c>
      <c r="AN282">
        <v>33</v>
      </c>
      <c r="AO282">
        <v>-20.481927710000001</v>
      </c>
      <c r="AP282">
        <v>5.8823529409999997</v>
      </c>
      <c r="AQ282">
        <v>1.638554217</v>
      </c>
      <c r="AR282">
        <v>2.1818181820000002</v>
      </c>
      <c r="AS282">
        <v>0.54326396499999996</v>
      </c>
      <c r="AT282">
        <v>0</v>
      </c>
      <c r="AU282" t="s">
        <v>66</v>
      </c>
      <c r="AV282">
        <v>0</v>
      </c>
      <c r="AW282">
        <v>1</v>
      </c>
      <c r="AX282">
        <v>0</v>
      </c>
      <c r="AY282">
        <v>1</v>
      </c>
      <c r="AZ282">
        <v>1</v>
      </c>
      <c r="BA282">
        <v>1</v>
      </c>
      <c r="BB282" t="s">
        <v>66</v>
      </c>
      <c r="BC282">
        <v>35.4</v>
      </c>
      <c r="BD282">
        <v>45</v>
      </c>
      <c r="BE282">
        <v>27.118644069999998</v>
      </c>
      <c r="BF282">
        <v>0</v>
      </c>
      <c r="BG282">
        <v>45</v>
      </c>
      <c r="BH282">
        <v>27.118644069999998</v>
      </c>
      <c r="BI282">
        <v>121</v>
      </c>
      <c r="BJ282">
        <v>20.7</v>
      </c>
      <c r="BK282" t="s">
        <v>66</v>
      </c>
      <c r="BL282">
        <f>121-34</f>
        <v>87</v>
      </c>
      <c r="BM282">
        <v>58</v>
      </c>
      <c r="BN282">
        <v>37</v>
      </c>
      <c r="BO282">
        <f t="shared" si="47"/>
        <v>47.5</v>
      </c>
      <c r="BP282">
        <v>4</v>
      </c>
      <c r="BQ282">
        <v>1</v>
      </c>
      <c r="BS282">
        <v>0</v>
      </c>
      <c r="BT282">
        <f t="shared" si="48"/>
        <v>40.495867768595041</v>
      </c>
      <c r="BU282">
        <f t="shared" si="49"/>
        <v>56.521739130434781</v>
      </c>
      <c r="BV282">
        <f t="shared" si="50"/>
        <v>21.839080459770116</v>
      </c>
      <c r="BW282">
        <f t="shared" si="51"/>
        <v>12.631578947368421</v>
      </c>
    </row>
    <row r="283" spans="1:75" x14ac:dyDescent="0.2">
      <c r="A283" t="s">
        <v>256</v>
      </c>
      <c r="B283" t="s">
        <v>257</v>
      </c>
      <c r="C283" t="s">
        <v>62</v>
      </c>
      <c r="D283" t="s">
        <v>342</v>
      </c>
      <c r="E283" t="s">
        <v>367</v>
      </c>
      <c r="F283" t="s">
        <v>535</v>
      </c>
      <c r="G283">
        <v>5.0999999999999996</v>
      </c>
      <c r="H283">
        <v>1.55</v>
      </c>
      <c r="I283">
        <v>1.85</v>
      </c>
      <c r="J283">
        <v>0.3</v>
      </c>
      <c r="K283">
        <v>8.8000000000000007</v>
      </c>
      <c r="L283">
        <v>0.66666666699999999</v>
      </c>
      <c r="M283">
        <v>127</v>
      </c>
      <c r="N283">
        <v>129</v>
      </c>
      <c r="O283">
        <v>2</v>
      </c>
      <c r="P283">
        <v>129</v>
      </c>
      <c r="Q283">
        <v>2</v>
      </c>
      <c r="R283">
        <v>1</v>
      </c>
      <c r="S283">
        <v>49.1</v>
      </c>
      <c r="T283">
        <v>1.5748031499999999</v>
      </c>
      <c r="U283">
        <v>0</v>
      </c>
      <c r="V283">
        <v>12</v>
      </c>
      <c r="W283">
        <v>20</v>
      </c>
      <c r="X283">
        <v>18</v>
      </c>
      <c r="Y283">
        <v>6</v>
      </c>
      <c r="Z283">
        <v>50</v>
      </c>
      <c r="AA283" t="s">
        <v>66</v>
      </c>
      <c r="AB283" t="s">
        <v>66</v>
      </c>
      <c r="AC283" t="s">
        <v>66</v>
      </c>
      <c r="AD283" t="s">
        <v>66</v>
      </c>
      <c r="AE283">
        <v>99</v>
      </c>
      <c r="AF283">
        <v>85</v>
      </c>
      <c r="AG283" t="s">
        <v>66</v>
      </c>
      <c r="AH283">
        <v>41</v>
      </c>
      <c r="AI283">
        <v>50</v>
      </c>
      <c r="AJ283" t="s">
        <v>66</v>
      </c>
      <c r="AK283">
        <v>32</v>
      </c>
      <c r="AL283">
        <v>42</v>
      </c>
      <c r="AM283">
        <v>36.5</v>
      </c>
      <c r="AN283">
        <v>46</v>
      </c>
      <c r="AO283">
        <v>26.027397260000001</v>
      </c>
      <c r="AP283">
        <v>-14.14141414</v>
      </c>
      <c r="AQ283">
        <v>2.7123287669999998</v>
      </c>
      <c r="AR283">
        <v>1.8478260870000001</v>
      </c>
      <c r="AS283">
        <v>-0.86450267999999997</v>
      </c>
      <c r="AT283">
        <v>0</v>
      </c>
      <c r="AU283" t="s">
        <v>66</v>
      </c>
      <c r="AV283">
        <v>1</v>
      </c>
      <c r="AW283">
        <v>1</v>
      </c>
      <c r="AX283">
        <v>0</v>
      </c>
      <c r="AY283">
        <v>1</v>
      </c>
      <c r="AZ283">
        <v>1</v>
      </c>
      <c r="BA283">
        <v>1</v>
      </c>
      <c r="BB283" t="s">
        <v>66</v>
      </c>
      <c r="BC283">
        <v>26.9</v>
      </c>
      <c r="BD283">
        <v>33.9</v>
      </c>
      <c r="BE283">
        <v>26.022304829999999</v>
      </c>
      <c r="BF283">
        <v>0</v>
      </c>
      <c r="BG283">
        <v>33.9</v>
      </c>
      <c r="BH283">
        <v>26.022304829999999</v>
      </c>
      <c r="BI283">
        <v>135</v>
      </c>
      <c r="BJ283">
        <v>18.5</v>
      </c>
      <c r="BK283" t="s">
        <v>66</v>
      </c>
      <c r="BL283">
        <f>135-24</f>
        <v>111</v>
      </c>
      <c r="BM283">
        <v>50</v>
      </c>
      <c r="BN283">
        <v>42</v>
      </c>
      <c r="BO283">
        <f t="shared" si="47"/>
        <v>46</v>
      </c>
      <c r="BP283">
        <v>3</v>
      </c>
      <c r="BQ283">
        <v>1</v>
      </c>
      <c r="BS283">
        <v>0</v>
      </c>
      <c r="BT283">
        <f t="shared" si="48"/>
        <v>5.9259259259259265</v>
      </c>
      <c r="BU283">
        <f t="shared" si="49"/>
        <v>35.135135135135137</v>
      </c>
      <c r="BV283">
        <f t="shared" si="50"/>
        <v>10.810810810810811</v>
      </c>
      <c r="BW283">
        <f t="shared" si="51"/>
        <v>20.652173913043477</v>
      </c>
    </row>
    <row r="284" spans="1:75" x14ac:dyDescent="0.2">
      <c r="A284" t="s">
        <v>256</v>
      </c>
      <c r="B284" t="s">
        <v>257</v>
      </c>
      <c r="C284" t="s">
        <v>62</v>
      </c>
      <c r="D284" t="s">
        <v>342</v>
      </c>
      <c r="E284" t="s">
        <v>369</v>
      </c>
      <c r="F284" t="s">
        <v>536</v>
      </c>
      <c r="G284">
        <v>5.0999999999999996</v>
      </c>
      <c r="H284">
        <v>1.55</v>
      </c>
      <c r="I284">
        <v>1.85</v>
      </c>
      <c r="J284">
        <v>0.3</v>
      </c>
      <c r="K284">
        <v>8.8000000000000007</v>
      </c>
      <c r="L284">
        <v>0.66666666699999999</v>
      </c>
      <c r="M284">
        <v>36</v>
      </c>
      <c r="N284">
        <v>40</v>
      </c>
      <c r="O284">
        <v>4</v>
      </c>
      <c r="P284">
        <v>50</v>
      </c>
      <c r="Q284">
        <v>14</v>
      </c>
      <c r="R284">
        <v>7</v>
      </c>
      <c r="S284">
        <v>61.1</v>
      </c>
      <c r="T284">
        <v>38.888888889999997</v>
      </c>
      <c r="U284">
        <v>25</v>
      </c>
      <c r="V284">
        <v>6</v>
      </c>
      <c r="W284">
        <v>7</v>
      </c>
      <c r="X284">
        <v>9</v>
      </c>
      <c r="Y284">
        <v>3</v>
      </c>
      <c r="Z284">
        <v>50</v>
      </c>
      <c r="AA284" t="s">
        <v>66</v>
      </c>
      <c r="AB284" t="s">
        <v>66</v>
      </c>
      <c r="AC284" t="s">
        <v>66</v>
      </c>
      <c r="AD284" t="s">
        <v>66</v>
      </c>
      <c r="AE284">
        <v>27</v>
      </c>
      <c r="AF284">
        <v>25</v>
      </c>
      <c r="AG284" t="s">
        <v>66</v>
      </c>
      <c r="AH284">
        <v>22</v>
      </c>
      <c r="AI284">
        <v>23</v>
      </c>
      <c r="AJ284" t="s">
        <v>66</v>
      </c>
      <c r="AK284">
        <v>10</v>
      </c>
      <c r="AL284">
        <v>11</v>
      </c>
      <c r="AM284">
        <v>16</v>
      </c>
      <c r="AN284">
        <v>17</v>
      </c>
      <c r="AO284">
        <v>6.25</v>
      </c>
      <c r="AP284">
        <v>-7.407407407</v>
      </c>
      <c r="AQ284">
        <v>1.6875</v>
      </c>
      <c r="AR284">
        <v>1.4705882349999999</v>
      </c>
      <c r="AS284">
        <v>-0.21691176500000001</v>
      </c>
      <c r="AT284">
        <v>0</v>
      </c>
      <c r="AU284" t="s">
        <v>66</v>
      </c>
      <c r="AV284">
        <v>2</v>
      </c>
      <c r="AW284">
        <v>1</v>
      </c>
      <c r="AX284">
        <v>0</v>
      </c>
      <c r="AY284">
        <v>1</v>
      </c>
      <c r="AZ284">
        <v>1</v>
      </c>
      <c r="BA284">
        <v>1</v>
      </c>
      <c r="BB284" t="s">
        <v>66</v>
      </c>
      <c r="BC284">
        <v>26.2</v>
      </c>
      <c r="BD284">
        <v>31.3</v>
      </c>
      <c r="BE284">
        <v>19.465648850000001</v>
      </c>
      <c r="BF284">
        <v>0</v>
      </c>
      <c r="BG284">
        <v>31.3</v>
      </c>
      <c r="BH284">
        <v>19.465648850000001</v>
      </c>
      <c r="BI284">
        <v>46</v>
      </c>
      <c r="BJ284">
        <v>11</v>
      </c>
      <c r="BK284" t="s">
        <v>66</v>
      </c>
      <c r="BL284">
        <f>46-12</f>
        <v>34</v>
      </c>
      <c r="BM284">
        <v>22</v>
      </c>
      <c r="BN284">
        <v>13</v>
      </c>
      <c r="BO284">
        <f t="shared" si="47"/>
        <v>17.5</v>
      </c>
      <c r="BP284">
        <v>3</v>
      </c>
      <c r="BQ284">
        <v>1</v>
      </c>
      <c r="BS284">
        <v>0</v>
      </c>
      <c r="BT284">
        <f t="shared" si="48"/>
        <v>21.739130434782609</v>
      </c>
      <c r="BU284">
        <f t="shared" si="49"/>
        <v>45.454545454545453</v>
      </c>
      <c r="BV284">
        <f t="shared" si="50"/>
        <v>20.588235294117645</v>
      </c>
      <c r="BW284">
        <f t="shared" si="51"/>
        <v>8.5714285714285712</v>
      </c>
    </row>
    <row r="285" spans="1:75" x14ac:dyDescent="0.2">
      <c r="A285" t="s">
        <v>256</v>
      </c>
      <c r="B285" t="s">
        <v>257</v>
      </c>
      <c r="C285" t="s">
        <v>62</v>
      </c>
      <c r="D285" t="s">
        <v>342</v>
      </c>
      <c r="E285" t="s">
        <v>371</v>
      </c>
      <c r="F285" t="s">
        <v>537</v>
      </c>
      <c r="G285">
        <v>5.0999999999999996</v>
      </c>
      <c r="H285">
        <v>1.55</v>
      </c>
      <c r="I285">
        <v>1.85</v>
      </c>
      <c r="J285">
        <v>0.3</v>
      </c>
      <c r="K285">
        <v>8.8000000000000007</v>
      </c>
      <c r="L285">
        <v>0.66666666699999999</v>
      </c>
      <c r="M285">
        <v>44</v>
      </c>
      <c r="N285">
        <v>47</v>
      </c>
      <c r="O285">
        <v>3</v>
      </c>
      <c r="P285">
        <v>54</v>
      </c>
      <c r="Q285">
        <v>10</v>
      </c>
      <c r="R285">
        <v>5</v>
      </c>
      <c r="S285">
        <v>57.1</v>
      </c>
      <c r="T285">
        <v>22.727272729999999</v>
      </c>
      <c r="U285">
        <v>14.893617020000001</v>
      </c>
      <c r="V285">
        <v>6</v>
      </c>
      <c r="W285">
        <v>5</v>
      </c>
      <c r="X285">
        <v>7</v>
      </c>
      <c r="Y285">
        <v>1</v>
      </c>
      <c r="Z285">
        <v>16.666666670000001</v>
      </c>
      <c r="AA285" t="s">
        <v>66</v>
      </c>
      <c r="AB285" t="s">
        <v>66</v>
      </c>
      <c r="AC285" t="s">
        <v>66</v>
      </c>
      <c r="AD285" t="s">
        <v>66</v>
      </c>
      <c r="AE285">
        <v>28</v>
      </c>
      <c r="AF285">
        <v>33</v>
      </c>
      <c r="AG285" t="s">
        <v>66</v>
      </c>
      <c r="AH285">
        <v>27</v>
      </c>
      <c r="AI285">
        <v>30</v>
      </c>
      <c r="AJ285" t="s">
        <v>66</v>
      </c>
      <c r="AK285">
        <v>23</v>
      </c>
      <c r="AL285">
        <v>26</v>
      </c>
      <c r="AM285">
        <v>25</v>
      </c>
      <c r="AN285">
        <v>28</v>
      </c>
      <c r="AO285">
        <v>12</v>
      </c>
      <c r="AP285">
        <v>17.85714286</v>
      </c>
      <c r="AQ285">
        <v>1.1200000000000001</v>
      </c>
      <c r="AR285">
        <v>1.178571429</v>
      </c>
      <c r="AS285">
        <v>5.8571429000000001E-2</v>
      </c>
      <c r="AT285">
        <v>0</v>
      </c>
      <c r="AU285" t="s">
        <v>66</v>
      </c>
      <c r="AV285">
        <v>1</v>
      </c>
      <c r="AW285">
        <v>0</v>
      </c>
      <c r="AX285">
        <v>0</v>
      </c>
      <c r="AY285">
        <v>1</v>
      </c>
      <c r="AZ285">
        <v>1</v>
      </c>
      <c r="BA285">
        <v>1</v>
      </c>
      <c r="BB285" t="s">
        <v>66</v>
      </c>
      <c r="BC285">
        <v>30.6</v>
      </c>
      <c r="BD285">
        <v>45.6</v>
      </c>
      <c r="BE285">
        <v>49.019607839999999</v>
      </c>
      <c r="BF285">
        <v>0</v>
      </c>
      <c r="BG285">
        <v>45.6</v>
      </c>
      <c r="BH285">
        <v>49.019607839999999</v>
      </c>
      <c r="BI285">
        <v>66</v>
      </c>
      <c r="BJ285">
        <v>8.4</v>
      </c>
      <c r="BK285" t="s">
        <v>66</v>
      </c>
      <c r="BL285">
        <v>33</v>
      </c>
      <c r="BM285">
        <v>31</v>
      </c>
      <c r="BN285">
        <v>11</v>
      </c>
      <c r="BO285">
        <f t="shared" si="47"/>
        <v>21</v>
      </c>
      <c r="BP285">
        <v>4</v>
      </c>
      <c r="BQ285">
        <v>1</v>
      </c>
      <c r="BS285">
        <v>0</v>
      </c>
      <c r="BT285">
        <f t="shared" si="48"/>
        <v>33.333333333333329</v>
      </c>
      <c r="BU285">
        <f t="shared" si="49"/>
        <v>28.571428571428577</v>
      </c>
      <c r="BV285">
        <f t="shared" si="50"/>
        <v>15.151515151515152</v>
      </c>
      <c r="BW285">
        <f t="shared" si="51"/>
        <v>-19.047619047619047</v>
      </c>
    </row>
    <row r="286" spans="1:75" x14ac:dyDescent="0.2">
      <c r="A286" t="s">
        <v>256</v>
      </c>
      <c r="B286" t="s">
        <v>257</v>
      </c>
      <c r="C286" t="s">
        <v>62</v>
      </c>
      <c r="D286" t="s">
        <v>342</v>
      </c>
      <c r="E286" t="s">
        <v>375</v>
      </c>
      <c r="F286" t="s">
        <v>539</v>
      </c>
      <c r="G286">
        <v>5.0999999999999996</v>
      </c>
      <c r="H286">
        <v>1.55</v>
      </c>
      <c r="I286">
        <v>1.85</v>
      </c>
      <c r="J286">
        <v>0.3</v>
      </c>
      <c r="K286">
        <v>8.8000000000000007</v>
      </c>
      <c r="L286">
        <v>0.66666666699999999</v>
      </c>
      <c r="M286">
        <v>15</v>
      </c>
      <c r="N286">
        <v>20</v>
      </c>
      <c r="O286">
        <v>5</v>
      </c>
      <c r="P286">
        <v>20</v>
      </c>
      <c r="Q286">
        <v>5</v>
      </c>
      <c r="R286">
        <v>2.5</v>
      </c>
      <c r="S286">
        <v>52.1</v>
      </c>
      <c r="T286">
        <v>33.333333330000002</v>
      </c>
      <c r="U286">
        <v>0</v>
      </c>
      <c r="V286">
        <v>2</v>
      </c>
      <c r="W286">
        <v>3</v>
      </c>
      <c r="X286">
        <v>3</v>
      </c>
      <c r="Y286">
        <v>1</v>
      </c>
      <c r="Z286">
        <v>50</v>
      </c>
      <c r="AA286" t="s">
        <v>66</v>
      </c>
      <c r="AB286" t="s">
        <v>66</v>
      </c>
      <c r="AC286" t="s">
        <v>66</v>
      </c>
      <c r="AD286" t="s">
        <v>66</v>
      </c>
      <c r="AE286">
        <v>14</v>
      </c>
      <c r="AF286">
        <v>12</v>
      </c>
      <c r="AG286" t="s">
        <v>66</v>
      </c>
      <c r="AH286">
        <v>6</v>
      </c>
      <c r="AI286">
        <v>7</v>
      </c>
      <c r="AJ286" t="s">
        <v>66</v>
      </c>
      <c r="AK286">
        <v>5</v>
      </c>
      <c r="AL286">
        <v>4</v>
      </c>
      <c r="AM286">
        <v>5.5</v>
      </c>
      <c r="AN286">
        <v>5.5</v>
      </c>
      <c r="AO286">
        <v>0</v>
      </c>
      <c r="AP286">
        <v>-14.28571429</v>
      </c>
      <c r="AQ286">
        <v>2.5454545450000001</v>
      </c>
      <c r="AR286">
        <v>2.1818181820000002</v>
      </c>
      <c r="AS286">
        <v>-0.36363636300000002</v>
      </c>
      <c r="AT286">
        <v>0</v>
      </c>
      <c r="AU286" t="s">
        <v>66</v>
      </c>
      <c r="AV286">
        <v>0</v>
      </c>
      <c r="AW286">
        <v>2</v>
      </c>
      <c r="AX286">
        <v>0</v>
      </c>
      <c r="AY286">
        <v>1</v>
      </c>
      <c r="AZ286">
        <v>1</v>
      </c>
      <c r="BA286">
        <v>1</v>
      </c>
      <c r="BB286" t="s">
        <v>66</v>
      </c>
      <c r="BC286">
        <v>20.100000000000001</v>
      </c>
      <c r="BD286">
        <v>19.100000000000001</v>
      </c>
      <c r="BE286">
        <v>-4.9751243780000003</v>
      </c>
      <c r="BF286">
        <v>0</v>
      </c>
      <c r="BG286">
        <v>19.100000000000001</v>
      </c>
      <c r="BH286">
        <v>-4.9751243780000003</v>
      </c>
      <c r="BI286">
        <v>25</v>
      </c>
      <c r="BJ286">
        <v>4.7</v>
      </c>
      <c r="BK286" t="s">
        <v>66</v>
      </c>
      <c r="BL286">
        <v>18</v>
      </c>
      <c r="BM286">
        <v>7</v>
      </c>
      <c r="BN286">
        <v>4</v>
      </c>
      <c r="BO286">
        <f t="shared" si="47"/>
        <v>5.5</v>
      </c>
      <c r="BP286">
        <v>4</v>
      </c>
      <c r="BQ286">
        <v>1</v>
      </c>
      <c r="BS286">
        <v>0</v>
      </c>
      <c r="BT286">
        <f t="shared" si="48"/>
        <v>40</v>
      </c>
      <c r="BU286">
        <f t="shared" si="49"/>
        <v>57.446808510638306</v>
      </c>
      <c r="BV286">
        <f t="shared" si="50"/>
        <v>22.222222222222221</v>
      </c>
      <c r="BW286">
        <f t="shared" si="51"/>
        <v>0</v>
      </c>
    </row>
    <row r="287" spans="1:75" x14ac:dyDescent="0.2">
      <c r="A287" t="s">
        <v>256</v>
      </c>
      <c r="B287" t="s">
        <v>257</v>
      </c>
      <c r="C287" t="s">
        <v>62</v>
      </c>
      <c r="D287" t="s">
        <v>342</v>
      </c>
      <c r="E287" t="s">
        <v>377</v>
      </c>
      <c r="F287" t="s">
        <v>540</v>
      </c>
      <c r="G287">
        <v>5.0999999999999996</v>
      </c>
      <c r="H287">
        <v>1.55</v>
      </c>
      <c r="I287">
        <v>1.85</v>
      </c>
      <c r="J287">
        <v>0.3</v>
      </c>
      <c r="K287">
        <v>8.8000000000000007</v>
      </c>
      <c r="L287">
        <v>0.66666666699999999</v>
      </c>
      <c r="M287">
        <v>30</v>
      </c>
      <c r="N287">
        <v>44</v>
      </c>
      <c r="O287">
        <v>14</v>
      </c>
      <c r="P287">
        <v>47</v>
      </c>
      <c r="Q287">
        <v>17</v>
      </c>
      <c r="R287">
        <v>8.5</v>
      </c>
      <c r="S287">
        <v>64.099999999999994</v>
      </c>
      <c r="T287">
        <v>56.666666669999998</v>
      </c>
      <c r="U287">
        <v>6.8181818180000002</v>
      </c>
      <c r="V287">
        <v>4</v>
      </c>
      <c r="W287">
        <v>6</v>
      </c>
      <c r="X287">
        <v>5</v>
      </c>
      <c r="Y287">
        <v>1</v>
      </c>
      <c r="Z287">
        <v>25</v>
      </c>
      <c r="AA287" t="s">
        <v>66</v>
      </c>
      <c r="AB287" t="s">
        <v>66</v>
      </c>
      <c r="AC287" t="s">
        <v>66</v>
      </c>
      <c r="AD287" t="s">
        <v>66</v>
      </c>
      <c r="AE287">
        <v>17</v>
      </c>
      <c r="AF287">
        <v>17</v>
      </c>
      <c r="AG287" t="s">
        <v>66</v>
      </c>
      <c r="AH287">
        <v>18</v>
      </c>
      <c r="AI287">
        <v>24</v>
      </c>
      <c r="AJ287" t="s">
        <v>66</v>
      </c>
      <c r="AK287">
        <v>7</v>
      </c>
      <c r="AL287">
        <v>10</v>
      </c>
      <c r="AM287">
        <v>12.5</v>
      </c>
      <c r="AN287">
        <v>17</v>
      </c>
      <c r="AO287">
        <v>36</v>
      </c>
      <c r="AP287">
        <v>0</v>
      </c>
      <c r="AQ287">
        <v>1.36</v>
      </c>
      <c r="AR287">
        <v>1</v>
      </c>
      <c r="AS287">
        <v>-0.36</v>
      </c>
      <c r="AT287">
        <v>0</v>
      </c>
      <c r="AU287" t="s">
        <v>66</v>
      </c>
      <c r="AV287">
        <v>0</v>
      </c>
      <c r="AW287">
        <v>1</v>
      </c>
      <c r="AX287">
        <v>0</v>
      </c>
      <c r="AY287">
        <v>1</v>
      </c>
      <c r="AZ287">
        <v>1</v>
      </c>
      <c r="BA287">
        <v>1</v>
      </c>
      <c r="BB287" t="s">
        <v>66</v>
      </c>
      <c r="BC287">
        <v>30.1</v>
      </c>
      <c r="BD287">
        <v>31.2</v>
      </c>
      <c r="BE287">
        <v>3.6544850499999999</v>
      </c>
      <c r="BF287">
        <v>0</v>
      </c>
      <c r="BG287">
        <v>31.2</v>
      </c>
      <c r="BH287">
        <v>3.6544850499999999</v>
      </c>
      <c r="BI287">
        <v>52</v>
      </c>
      <c r="BJ287">
        <v>6.3</v>
      </c>
      <c r="BK287" t="s">
        <v>66</v>
      </c>
      <c r="BL287">
        <f>52-33</f>
        <v>19</v>
      </c>
      <c r="BM287">
        <v>26</v>
      </c>
      <c r="BN287">
        <v>3</v>
      </c>
      <c r="BO287">
        <f t="shared" si="47"/>
        <v>14.5</v>
      </c>
      <c r="BP287">
        <v>3</v>
      </c>
      <c r="BQ287">
        <v>1</v>
      </c>
      <c r="BS287">
        <v>0</v>
      </c>
      <c r="BT287">
        <f t="shared" si="48"/>
        <v>42.307692307692307</v>
      </c>
      <c r="BU287">
        <f t="shared" si="49"/>
        <v>36.507936507936506</v>
      </c>
      <c r="BV287">
        <f t="shared" si="50"/>
        <v>10.526315789473683</v>
      </c>
      <c r="BW287">
        <f t="shared" si="51"/>
        <v>13.793103448275861</v>
      </c>
    </row>
    <row r="288" spans="1:75" x14ac:dyDescent="0.2">
      <c r="A288" t="s">
        <v>256</v>
      </c>
      <c r="B288" t="s">
        <v>257</v>
      </c>
      <c r="C288" t="s">
        <v>62</v>
      </c>
      <c r="D288" t="s">
        <v>342</v>
      </c>
      <c r="E288" t="s">
        <v>379</v>
      </c>
      <c r="F288" t="s">
        <v>541</v>
      </c>
      <c r="G288">
        <v>5.0999999999999996</v>
      </c>
      <c r="H288">
        <v>1.55</v>
      </c>
      <c r="I288">
        <v>1.85</v>
      </c>
      <c r="J288">
        <v>0.3</v>
      </c>
      <c r="K288">
        <v>8.8000000000000007</v>
      </c>
      <c r="L288">
        <v>0.66666666699999999</v>
      </c>
      <c r="M288">
        <v>54</v>
      </c>
      <c r="N288">
        <v>58</v>
      </c>
      <c r="O288">
        <v>4</v>
      </c>
      <c r="P288">
        <v>62</v>
      </c>
      <c r="Q288">
        <v>8</v>
      </c>
      <c r="R288">
        <v>4</v>
      </c>
      <c r="S288">
        <v>55.1</v>
      </c>
      <c r="T288">
        <v>14.81481481</v>
      </c>
      <c r="U288">
        <v>6.896551724</v>
      </c>
      <c r="V288">
        <v>5</v>
      </c>
      <c r="W288">
        <v>8</v>
      </c>
      <c r="X288">
        <v>7</v>
      </c>
      <c r="Y288">
        <v>2</v>
      </c>
      <c r="Z288">
        <v>40</v>
      </c>
      <c r="AA288" t="s">
        <v>66</v>
      </c>
      <c r="AB288" t="s">
        <v>66</v>
      </c>
      <c r="AC288" t="s">
        <v>66</v>
      </c>
      <c r="AD288" t="s">
        <v>66</v>
      </c>
      <c r="AE288">
        <v>27</v>
      </c>
      <c r="AF288">
        <v>33</v>
      </c>
      <c r="AG288" t="s">
        <v>66</v>
      </c>
      <c r="AH288">
        <v>18</v>
      </c>
      <c r="AI288">
        <v>18</v>
      </c>
      <c r="AJ288" t="s">
        <v>66</v>
      </c>
      <c r="AK288">
        <v>16</v>
      </c>
      <c r="AL288">
        <v>15</v>
      </c>
      <c r="AM288">
        <v>17</v>
      </c>
      <c r="AN288">
        <v>16.5</v>
      </c>
      <c r="AO288">
        <v>-2.9411764709999999</v>
      </c>
      <c r="AP288">
        <v>22.222222219999999</v>
      </c>
      <c r="AQ288">
        <v>1.588235294</v>
      </c>
      <c r="AR288">
        <v>2</v>
      </c>
      <c r="AS288">
        <v>0.41176470599999998</v>
      </c>
      <c r="AT288">
        <v>0</v>
      </c>
      <c r="AU288" t="s">
        <v>66</v>
      </c>
      <c r="AV288">
        <v>1</v>
      </c>
      <c r="AW288">
        <v>1</v>
      </c>
      <c r="AX288">
        <v>0</v>
      </c>
      <c r="AY288">
        <v>1</v>
      </c>
      <c r="AZ288">
        <v>1</v>
      </c>
      <c r="BA288">
        <v>1</v>
      </c>
      <c r="BB288" t="s">
        <v>66</v>
      </c>
      <c r="BC288">
        <v>25.4</v>
      </c>
      <c r="BD288">
        <v>33.4</v>
      </c>
      <c r="BE288">
        <v>31.496062989999999</v>
      </c>
      <c r="BF288">
        <v>0</v>
      </c>
      <c r="BG288">
        <v>33.4</v>
      </c>
      <c r="BH288">
        <v>31.496062989999999</v>
      </c>
      <c r="BI288">
        <v>66</v>
      </c>
      <c r="BJ288">
        <v>7</v>
      </c>
      <c r="BK288" t="s">
        <v>66</v>
      </c>
      <c r="BL288">
        <f>66-27</f>
        <v>39</v>
      </c>
      <c r="BM288">
        <v>20</v>
      </c>
      <c r="BN288">
        <v>16</v>
      </c>
      <c r="BO288">
        <f t="shared" si="47"/>
        <v>18</v>
      </c>
      <c r="BP288">
        <v>4</v>
      </c>
      <c r="BQ288">
        <v>1</v>
      </c>
      <c r="BS288">
        <v>0</v>
      </c>
      <c r="BT288">
        <f t="shared" si="48"/>
        <v>18.181818181818183</v>
      </c>
      <c r="BU288">
        <f t="shared" si="49"/>
        <v>28.571428571428569</v>
      </c>
      <c r="BV288">
        <f t="shared" si="50"/>
        <v>30.76923076923077</v>
      </c>
      <c r="BW288">
        <f t="shared" si="51"/>
        <v>5.5555555555555554</v>
      </c>
    </row>
    <row r="289" spans="1:75" x14ac:dyDescent="0.2">
      <c r="A289" t="s">
        <v>256</v>
      </c>
      <c r="B289" t="s">
        <v>257</v>
      </c>
      <c r="C289" t="s">
        <v>62</v>
      </c>
      <c r="D289" t="s">
        <v>342</v>
      </c>
      <c r="E289" t="s">
        <v>381</v>
      </c>
      <c r="F289" t="s">
        <v>542</v>
      </c>
      <c r="G289">
        <v>5.0999999999999996</v>
      </c>
      <c r="H289">
        <v>1.55</v>
      </c>
      <c r="I289">
        <v>1.85</v>
      </c>
      <c r="J289">
        <v>0.3</v>
      </c>
      <c r="K289">
        <v>8.8000000000000007</v>
      </c>
      <c r="L289">
        <v>0.66666666699999999</v>
      </c>
      <c r="M289">
        <v>59</v>
      </c>
      <c r="N289">
        <v>67</v>
      </c>
      <c r="O289">
        <v>8</v>
      </c>
      <c r="P289">
        <v>71</v>
      </c>
      <c r="Q289">
        <v>12</v>
      </c>
      <c r="R289">
        <v>6</v>
      </c>
      <c r="S289">
        <v>59.1</v>
      </c>
      <c r="T289">
        <v>20.33898305</v>
      </c>
      <c r="U289">
        <v>5.9701492539999998</v>
      </c>
      <c r="V289">
        <v>9</v>
      </c>
      <c r="W289">
        <v>9</v>
      </c>
      <c r="X289">
        <v>11</v>
      </c>
      <c r="Y289">
        <v>2</v>
      </c>
      <c r="Z289">
        <v>22.222222219999999</v>
      </c>
      <c r="AA289" t="s">
        <v>66</v>
      </c>
      <c r="AB289" t="s">
        <v>66</v>
      </c>
      <c r="AC289" t="s">
        <v>66</v>
      </c>
      <c r="AD289" t="s">
        <v>66</v>
      </c>
      <c r="AE289">
        <v>44</v>
      </c>
      <c r="AF289">
        <v>44</v>
      </c>
      <c r="AG289" t="s">
        <v>66</v>
      </c>
      <c r="AH289">
        <v>29</v>
      </c>
      <c r="AI289">
        <v>30</v>
      </c>
      <c r="AJ289" t="s">
        <v>66</v>
      </c>
      <c r="AK289">
        <v>16</v>
      </c>
      <c r="AL289">
        <v>21</v>
      </c>
      <c r="AM289">
        <v>22.5</v>
      </c>
      <c r="AN289">
        <v>25.5</v>
      </c>
      <c r="AO289">
        <v>13.33333333</v>
      </c>
      <c r="AP289">
        <v>0</v>
      </c>
      <c r="AQ289">
        <v>1.955555556</v>
      </c>
      <c r="AR289">
        <v>1.725490196</v>
      </c>
      <c r="AS289">
        <v>-0.23006536</v>
      </c>
      <c r="AT289">
        <v>0</v>
      </c>
      <c r="AU289" t="s">
        <v>66</v>
      </c>
      <c r="AV289">
        <v>1</v>
      </c>
      <c r="AW289">
        <v>1</v>
      </c>
      <c r="AX289">
        <v>0</v>
      </c>
      <c r="AY289">
        <v>1</v>
      </c>
      <c r="AZ289">
        <v>1</v>
      </c>
      <c r="BA289">
        <v>1</v>
      </c>
      <c r="BB289" t="s">
        <v>66</v>
      </c>
      <c r="BC289">
        <v>32.9</v>
      </c>
      <c r="BD289">
        <v>42</v>
      </c>
      <c r="BE289">
        <v>27.659574469999999</v>
      </c>
      <c r="BF289">
        <v>0</v>
      </c>
      <c r="BG289">
        <v>42</v>
      </c>
      <c r="BH289">
        <v>27.659574469999999</v>
      </c>
      <c r="BI289">
        <v>76</v>
      </c>
      <c r="BJ289">
        <v>12</v>
      </c>
      <c r="BK289" t="s">
        <v>66</v>
      </c>
      <c r="BL289">
        <f>76-39</f>
        <v>37</v>
      </c>
      <c r="BM289">
        <v>21</v>
      </c>
      <c r="BN289">
        <v>20</v>
      </c>
      <c r="BO289">
        <f t="shared" si="47"/>
        <v>20.5</v>
      </c>
      <c r="BP289">
        <v>3</v>
      </c>
      <c r="BQ289">
        <v>1</v>
      </c>
      <c r="BS289">
        <v>0</v>
      </c>
      <c r="BT289">
        <f t="shared" si="48"/>
        <v>22.368421052631579</v>
      </c>
      <c r="BU289">
        <f t="shared" si="49"/>
        <v>25</v>
      </c>
      <c r="BV289">
        <f t="shared" si="50"/>
        <v>-18.918918918918919</v>
      </c>
      <c r="BW289">
        <f t="shared" si="51"/>
        <v>-9.7560975609756095</v>
      </c>
    </row>
    <row r="290" spans="1:75" x14ac:dyDescent="0.2">
      <c r="A290" t="s">
        <v>256</v>
      </c>
      <c r="B290" t="s">
        <v>257</v>
      </c>
      <c r="C290" t="s">
        <v>62</v>
      </c>
      <c r="D290" t="s">
        <v>342</v>
      </c>
      <c r="E290" t="s">
        <v>347</v>
      </c>
      <c r="F290" t="s">
        <v>525</v>
      </c>
      <c r="G290">
        <v>5.0999999999999996</v>
      </c>
      <c r="H290">
        <v>1.55</v>
      </c>
      <c r="I290">
        <v>1.85</v>
      </c>
      <c r="J290">
        <v>0.3</v>
      </c>
      <c r="K290">
        <v>8.8000000000000007</v>
      </c>
      <c r="L290">
        <v>0.66666666699999999</v>
      </c>
      <c r="M290">
        <v>135</v>
      </c>
      <c r="N290">
        <v>145</v>
      </c>
      <c r="O290">
        <v>10</v>
      </c>
      <c r="P290">
        <v>152</v>
      </c>
      <c r="Q290">
        <v>17</v>
      </c>
      <c r="R290">
        <v>8.5</v>
      </c>
      <c r="S290">
        <v>64.099999999999994</v>
      </c>
      <c r="T290">
        <v>12.592592590000001</v>
      </c>
      <c r="U290">
        <v>4.8275862070000004</v>
      </c>
      <c r="V290">
        <v>15</v>
      </c>
      <c r="W290">
        <v>20</v>
      </c>
      <c r="X290">
        <v>21</v>
      </c>
      <c r="Y290">
        <v>6</v>
      </c>
      <c r="Z290">
        <v>40</v>
      </c>
      <c r="AA290" t="s">
        <v>66</v>
      </c>
      <c r="AB290">
        <v>3</v>
      </c>
      <c r="AC290">
        <v>3</v>
      </c>
      <c r="AD290" t="s">
        <v>66</v>
      </c>
      <c r="AE290">
        <v>115</v>
      </c>
      <c r="AF290">
        <v>96</v>
      </c>
      <c r="AG290" t="s">
        <v>66</v>
      </c>
      <c r="AH290">
        <v>70</v>
      </c>
      <c r="AI290">
        <v>67</v>
      </c>
      <c r="AJ290" t="s">
        <v>66</v>
      </c>
      <c r="AK290">
        <v>52</v>
      </c>
      <c r="AL290">
        <v>42</v>
      </c>
      <c r="AM290">
        <v>61</v>
      </c>
      <c r="AN290">
        <v>54.5</v>
      </c>
      <c r="AO290">
        <v>-10.6557377</v>
      </c>
      <c r="AP290">
        <v>-16.52173913</v>
      </c>
      <c r="AQ290">
        <v>1.8852459020000001</v>
      </c>
      <c r="AR290">
        <v>1.76146789</v>
      </c>
      <c r="AS290">
        <v>-0.12377801200000001</v>
      </c>
      <c r="AT290">
        <v>0</v>
      </c>
      <c r="AU290" t="s">
        <v>66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 t="s">
        <v>66</v>
      </c>
      <c r="BC290">
        <v>39.9</v>
      </c>
      <c r="BD290">
        <v>38.799999999999997</v>
      </c>
      <c r="BE290">
        <v>-2.7568922310000001</v>
      </c>
      <c r="BF290">
        <v>0</v>
      </c>
      <c r="BG290">
        <v>38.799999999999997</v>
      </c>
      <c r="BH290">
        <v>-2.7568922310000001</v>
      </c>
      <c r="BI290">
        <v>187</v>
      </c>
      <c r="BJ290">
        <v>21.8</v>
      </c>
      <c r="BK290">
        <v>8.1999999999999993</v>
      </c>
      <c r="BL290">
        <f>187-56</f>
        <v>131</v>
      </c>
      <c r="BM290">
        <v>77</v>
      </c>
      <c r="BN290">
        <v>44</v>
      </c>
      <c r="BO290">
        <f t="shared" si="47"/>
        <v>60.5</v>
      </c>
      <c r="BP290">
        <v>2</v>
      </c>
      <c r="BQ290">
        <v>1</v>
      </c>
      <c r="BS290">
        <v>0</v>
      </c>
      <c r="BT290">
        <f t="shared" si="48"/>
        <v>27.807486631016044</v>
      </c>
      <c r="BU290">
        <f t="shared" si="49"/>
        <v>31.192660550458719</v>
      </c>
      <c r="BV290">
        <f t="shared" si="50"/>
        <v>12.213740458015266</v>
      </c>
      <c r="BW290">
        <f t="shared" si="51"/>
        <v>-0.82644628099173556</v>
      </c>
    </row>
    <row r="291" spans="1:75" x14ac:dyDescent="0.2">
      <c r="A291" t="s">
        <v>256</v>
      </c>
      <c r="B291" t="s">
        <v>257</v>
      </c>
      <c r="C291" t="s">
        <v>62</v>
      </c>
      <c r="D291" t="s">
        <v>342</v>
      </c>
      <c r="E291" t="s">
        <v>359</v>
      </c>
      <c r="F291" t="s">
        <v>531</v>
      </c>
      <c r="G291">
        <v>5.0999999999999996</v>
      </c>
      <c r="H291">
        <v>1.55</v>
      </c>
      <c r="I291">
        <v>1.85</v>
      </c>
      <c r="J291">
        <v>0.3</v>
      </c>
      <c r="K291">
        <v>8.8000000000000007</v>
      </c>
      <c r="L291">
        <v>0.66666666699999999</v>
      </c>
      <c r="M291">
        <v>107</v>
      </c>
      <c r="N291">
        <v>132</v>
      </c>
      <c r="O291">
        <v>25</v>
      </c>
      <c r="P291">
        <v>132</v>
      </c>
      <c r="Q291">
        <v>25</v>
      </c>
      <c r="R291">
        <v>12.5</v>
      </c>
      <c r="S291">
        <v>72.099999999999994</v>
      </c>
      <c r="T291">
        <v>23.364485980000001</v>
      </c>
      <c r="U291">
        <v>0</v>
      </c>
      <c r="V291">
        <v>14</v>
      </c>
      <c r="W291">
        <v>19</v>
      </c>
      <c r="X291">
        <v>18</v>
      </c>
      <c r="Y291">
        <v>4</v>
      </c>
      <c r="Z291">
        <v>28.571428569999998</v>
      </c>
      <c r="AA291" t="s">
        <v>66</v>
      </c>
      <c r="AB291" t="s">
        <v>66</v>
      </c>
      <c r="AC291" t="s">
        <v>66</v>
      </c>
      <c r="AD291" t="s">
        <v>66</v>
      </c>
      <c r="AE291">
        <v>99</v>
      </c>
      <c r="AF291">
        <v>90</v>
      </c>
      <c r="AG291" t="s">
        <v>66</v>
      </c>
      <c r="AH291">
        <v>57</v>
      </c>
      <c r="AI291">
        <v>38</v>
      </c>
      <c r="AJ291" t="s">
        <v>66</v>
      </c>
      <c r="AK291">
        <v>44</v>
      </c>
      <c r="AL291">
        <v>37</v>
      </c>
      <c r="AM291">
        <v>50.5</v>
      </c>
      <c r="AN291">
        <v>37.5</v>
      </c>
      <c r="AO291">
        <v>-25.742574260000001</v>
      </c>
      <c r="AP291">
        <v>-9.0909090910000003</v>
      </c>
      <c r="AQ291">
        <v>1.96039604</v>
      </c>
      <c r="AR291">
        <v>2.4</v>
      </c>
      <c r="AS291">
        <v>0.43960396000000002</v>
      </c>
      <c r="AT291">
        <v>0</v>
      </c>
      <c r="AU291" t="s">
        <v>66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 t="s">
        <v>66</v>
      </c>
      <c r="BC291">
        <v>39.299999999999997</v>
      </c>
      <c r="BD291">
        <v>36.9</v>
      </c>
      <c r="BE291">
        <v>-6.1068702290000001</v>
      </c>
      <c r="BF291">
        <v>0</v>
      </c>
      <c r="BG291">
        <v>36.9</v>
      </c>
      <c r="BH291">
        <v>-6.1068702290000001</v>
      </c>
      <c r="BI291">
        <v>150</v>
      </c>
      <c r="BJ291">
        <v>22.5</v>
      </c>
      <c r="BK291">
        <v>4</v>
      </c>
      <c r="BL291">
        <f>150-28</f>
        <v>122</v>
      </c>
      <c r="BM291">
        <v>50</v>
      </c>
      <c r="BN291">
        <v>42</v>
      </c>
      <c r="BO291">
        <f t="shared" si="47"/>
        <v>46</v>
      </c>
      <c r="BP291">
        <v>4</v>
      </c>
      <c r="BQ291">
        <v>1</v>
      </c>
      <c r="BS291">
        <v>0</v>
      </c>
      <c r="BT291">
        <f t="shared" si="48"/>
        <v>28.666666666666668</v>
      </c>
      <c r="BU291">
        <f t="shared" si="49"/>
        <v>37.777777777777779</v>
      </c>
      <c r="BV291">
        <f t="shared" si="50"/>
        <v>18.852459016393443</v>
      </c>
      <c r="BW291">
        <f t="shared" si="51"/>
        <v>-9.7826086956521738</v>
      </c>
    </row>
    <row r="292" spans="1:75" x14ac:dyDescent="0.2">
      <c r="A292" t="s">
        <v>256</v>
      </c>
      <c r="B292" t="s">
        <v>257</v>
      </c>
      <c r="C292" t="s">
        <v>62</v>
      </c>
      <c r="D292" t="s">
        <v>342</v>
      </c>
      <c r="E292" t="s">
        <v>365</v>
      </c>
      <c r="F292" t="s">
        <v>534</v>
      </c>
      <c r="G292">
        <v>5.0999999999999996</v>
      </c>
      <c r="H292">
        <v>1.55</v>
      </c>
      <c r="I292">
        <v>1.85</v>
      </c>
      <c r="J292">
        <v>0.3</v>
      </c>
      <c r="K292">
        <v>8.8000000000000007</v>
      </c>
      <c r="L292">
        <v>0.66666666699999999</v>
      </c>
      <c r="M292">
        <v>62</v>
      </c>
      <c r="N292">
        <v>74</v>
      </c>
      <c r="O292">
        <v>12</v>
      </c>
      <c r="P292">
        <v>75</v>
      </c>
      <c r="Q292">
        <v>13</v>
      </c>
      <c r="R292">
        <v>6.5</v>
      </c>
      <c r="S292">
        <v>60.1</v>
      </c>
      <c r="T292">
        <v>20.96774194</v>
      </c>
      <c r="U292">
        <v>1.3513513509999999</v>
      </c>
      <c r="V292">
        <v>5</v>
      </c>
      <c r="W292">
        <v>7</v>
      </c>
      <c r="X292">
        <v>8</v>
      </c>
      <c r="Y292">
        <v>3</v>
      </c>
      <c r="Z292">
        <v>60</v>
      </c>
      <c r="AA292" t="s">
        <v>66</v>
      </c>
      <c r="AB292" t="s">
        <v>66</v>
      </c>
      <c r="AC292" t="s">
        <v>66</v>
      </c>
      <c r="AD292" t="s">
        <v>66</v>
      </c>
      <c r="AE292">
        <v>44</v>
      </c>
      <c r="AF292">
        <v>40</v>
      </c>
      <c r="AG292" t="s">
        <v>66</v>
      </c>
      <c r="AH292">
        <v>29</v>
      </c>
      <c r="AI292">
        <v>23</v>
      </c>
      <c r="AJ292" t="s">
        <v>66</v>
      </c>
      <c r="AK292">
        <v>6</v>
      </c>
      <c r="AL292">
        <v>20</v>
      </c>
      <c r="AM292">
        <v>17.5</v>
      </c>
      <c r="AN292">
        <v>21.5</v>
      </c>
      <c r="AO292">
        <v>22.85714286</v>
      </c>
      <c r="AP292">
        <v>-9.0909090910000003</v>
      </c>
      <c r="AQ292">
        <v>2.5142857140000001</v>
      </c>
      <c r="AR292">
        <v>1.8604651160000001</v>
      </c>
      <c r="AS292">
        <v>-0.65382059800000003</v>
      </c>
      <c r="AT292">
        <v>0</v>
      </c>
      <c r="AU292" t="s">
        <v>66</v>
      </c>
      <c r="AV292">
        <v>1</v>
      </c>
      <c r="AW292">
        <v>0</v>
      </c>
      <c r="AX292">
        <v>1</v>
      </c>
      <c r="AY292">
        <v>1</v>
      </c>
      <c r="AZ292">
        <v>1</v>
      </c>
      <c r="BA292">
        <v>1</v>
      </c>
      <c r="BB292" t="s">
        <v>66</v>
      </c>
      <c r="BC292">
        <v>30.3</v>
      </c>
      <c r="BD292">
        <v>36.9</v>
      </c>
      <c r="BE292">
        <v>21.782178219999999</v>
      </c>
      <c r="BF292">
        <v>0</v>
      </c>
      <c r="BG292">
        <v>36.9</v>
      </c>
      <c r="BH292">
        <v>21.782178219999999</v>
      </c>
      <c r="BI292">
        <v>80</v>
      </c>
      <c r="BJ292">
        <v>8.1999999999999993</v>
      </c>
      <c r="BK292" t="s">
        <v>66</v>
      </c>
      <c r="BL292">
        <f>80-13</f>
        <v>67</v>
      </c>
      <c r="BM292">
        <v>32</v>
      </c>
      <c r="BN292">
        <v>23</v>
      </c>
      <c r="BO292">
        <f t="shared" si="47"/>
        <v>27.5</v>
      </c>
      <c r="BP292">
        <v>4</v>
      </c>
      <c r="BQ292">
        <v>1</v>
      </c>
      <c r="BS292">
        <v>0</v>
      </c>
      <c r="BT292">
        <f t="shared" si="48"/>
        <v>22.5</v>
      </c>
      <c r="BU292">
        <f t="shared" si="49"/>
        <v>39.024390243902438</v>
      </c>
      <c r="BV292">
        <f t="shared" si="50"/>
        <v>34.328358208955223</v>
      </c>
      <c r="BW292">
        <f t="shared" si="51"/>
        <v>36.363636363636367</v>
      </c>
    </row>
    <row r="293" spans="1:75" x14ac:dyDescent="0.2">
      <c r="A293" t="s">
        <v>299</v>
      </c>
      <c r="B293" t="s">
        <v>300</v>
      </c>
      <c r="C293" t="s">
        <v>62</v>
      </c>
      <c r="D293" t="s">
        <v>342</v>
      </c>
      <c r="E293" t="s">
        <v>353</v>
      </c>
      <c r="F293" t="s">
        <v>568</v>
      </c>
      <c r="G293">
        <v>8.0500000000000007</v>
      </c>
      <c r="H293">
        <v>11.7</v>
      </c>
      <c r="I293">
        <v>17.45</v>
      </c>
      <c r="J293">
        <v>6.05</v>
      </c>
      <c r="K293">
        <v>43.25</v>
      </c>
      <c r="L293">
        <v>3.6211180120000002</v>
      </c>
      <c r="M293">
        <v>60</v>
      </c>
      <c r="N293">
        <v>80</v>
      </c>
      <c r="O293">
        <v>20</v>
      </c>
      <c r="P293">
        <v>95</v>
      </c>
      <c r="Q293">
        <v>35</v>
      </c>
      <c r="R293">
        <v>17.5</v>
      </c>
      <c r="S293">
        <v>82.1</v>
      </c>
      <c r="T293">
        <v>58.333333330000002</v>
      </c>
      <c r="U293">
        <v>18.75</v>
      </c>
      <c r="V293">
        <v>10</v>
      </c>
      <c r="W293">
        <v>12</v>
      </c>
      <c r="X293">
        <v>15</v>
      </c>
      <c r="Y293">
        <v>5</v>
      </c>
      <c r="Z293">
        <v>50</v>
      </c>
      <c r="AA293" t="s">
        <v>66</v>
      </c>
      <c r="AB293" t="s">
        <v>66</v>
      </c>
      <c r="AC293" t="s">
        <v>66</v>
      </c>
      <c r="AD293" t="s">
        <v>66</v>
      </c>
      <c r="AE293">
        <v>66</v>
      </c>
      <c r="AF293">
        <v>54</v>
      </c>
      <c r="AG293" t="s">
        <v>66</v>
      </c>
      <c r="AH293">
        <v>28</v>
      </c>
      <c r="AI293">
        <v>29</v>
      </c>
      <c r="AJ293" t="s">
        <v>66</v>
      </c>
      <c r="AK293">
        <v>22</v>
      </c>
      <c r="AL293">
        <v>26</v>
      </c>
      <c r="AM293">
        <v>25</v>
      </c>
      <c r="AN293">
        <v>27.5</v>
      </c>
      <c r="AO293">
        <v>10</v>
      </c>
      <c r="AP293">
        <v>-18.18181818</v>
      </c>
      <c r="AQ293">
        <v>2.64</v>
      </c>
      <c r="AR293">
        <v>1.9636363640000001</v>
      </c>
      <c r="AS293">
        <v>-0.67636363600000005</v>
      </c>
      <c r="AT293">
        <v>0</v>
      </c>
      <c r="AU293" t="s">
        <v>66</v>
      </c>
      <c r="AV293">
        <v>1</v>
      </c>
      <c r="AW293">
        <v>2</v>
      </c>
      <c r="AX293">
        <v>0</v>
      </c>
      <c r="AY293">
        <v>1</v>
      </c>
      <c r="AZ293">
        <v>1</v>
      </c>
      <c r="BA293">
        <v>1</v>
      </c>
      <c r="BB293" t="s">
        <v>66</v>
      </c>
      <c r="BC293">
        <v>43.3</v>
      </c>
      <c r="BD293">
        <v>46.2</v>
      </c>
      <c r="BE293">
        <v>6.6974595839999997</v>
      </c>
      <c r="BF293">
        <v>0</v>
      </c>
      <c r="BG293">
        <v>46.2</v>
      </c>
      <c r="BH293">
        <v>6.6974595839999997</v>
      </c>
      <c r="BI293">
        <v>107</v>
      </c>
      <c r="BJ293">
        <v>11.8</v>
      </c>
      <c r="BK293" t="s">
        <v>66</v>
      </c>
      <c r="BL293">
        <f>107-44</f>
        <v>63</v>
      </c>
      <c r="BM293">
        <v>27</v>
      </c>
      <c r="BN293">
        <v>14</v>
      </c>
      <c r="BO293">
        <f t="shared" si="47"/>
        <v>20.5</v>
      </c>
      <c r="BP293">
        <v>3</v>
      </c>
      <c r="BQ293">
        <v>1</v>
      </c>
      <c r="BS293">
        <v>0</v>
      </c>
      <c r="BT293">
        <f t="shared" si="48"/>
        <v>43.925233644859816</v>
      </c>
      <c r="BU293">
        <f t="shared" si="49"/>
        <v>15.254237288135597</v>
      </c>
      <c r="BV293">
        <f t="shared" si="50"/>
        <v>-4.7619047619047619</v>
      </c>
      <c r="BW293">
        <f t="shared" si="51"/>
        <v>-21.951219512195124</v>
      </c>
    </row>
    <row r="294" spans="1:75" x14ac:dyDescent="0.2">
      <c r="A294" t="s">
        <v>299</v>
      </c>
      <c r="B294" t="s">
        <v>300</v>
      </c>
      <c r="C294" t="s">
        <v>62</v>
      </c>
      <c r="D294" t="s">
        <v>342</v>
      </c>
      <c r="E294" t="s">
        <v>361</v>
      </c>
      <c r="F294" t="s">
        <v>572</v>
      </c>
      <c r="G294">
        <v>8.0500000000000007</v>
      </c>
      <c r="H294">
        <v>11.7</v>
      </c>
      <c r="I294">
        <v>17.45</v>
      </c>
      <c r="J294">
        <v>6.05</v>
      </c>
      <c r="K294">
        <v>43.25</v>
      </c>
      <c r="L294">
        <v>3.6211180120000002</v>
      </c>
      <c r="M294">
        <v>78</v>
      </c>
      <c r="N294">
        <v>90</v>
      </c>
      <c r="O294">
        <v>12</v>
      </c>
      <c r="P294">
        <v>92</v>
      </c>
      <c r="Q294">
        <v>14</v>
      </c>
      <c r="R294">
        <v>7</v>
      </c>
      <c r="S294">
        <v>61.1</v>
      </c>
      <c r="T294">
        <v>17.948717949999999</v>
      </c>
      <c r="U294">
        <v>2.2222222220000001</v>
      </c>
      <c r="V294">
        <v>9</v>
      </c>
      <c r="W294">
        <v>9</v>
      </c>
      <c r="X294">
        <v>9</v>
      </c>
      <c r="Y294">
        <v>0</v>
      </c>
      <c r="Z294">
        <v>0</v>
      </c>
      <c r="AA294" t="s">
        <v>66</v>
      </c>
      <c r="AB294" t="s">
        <v>66</v>
      </c>
      <c r="AC294" t="s">
        <v>66</v>
      </c>
      <c r="AD294" t="s">
        <v>66</v>
      </c>
      <c r="AE294">
        <v>48</v>
      </c>
      <c r="AF294">
        <v>51</v>
      </c>
      <c r="AG294" t="s">
        <v>66</v>
      </c>
      <c r="AH294">
        <v>38</v>
      </c>
      <c r="AI294">
        <v>38</v>
      </c>
      <c r="AJ294" t="s">
        <v>66</v>
      </c>
      <c r="AK294">
        <v>32</v>
      </c>
      <c r="AL294">
        <v>12</v>
      </c>
      <c r="AM294">
        <v>35</v>
      </c>
      <c r="AN294">
        <v>25</v>
      </c>
      <c r="AO294">
        <v>-28.571428569999998</v>
      </c>
      <c r="AP294">
        <v>6.25</v>
      </c>
      <c r="AQ294">
        <v>1.371428571</v>
      </c>
      <c r="AR294">
        <v>2.04</v>
      </c>
      <c r="AS294">
        <v>0.66857142899999999</v>
      </c>
      <c r="AT294">
        <v>0</v>
      </c>
      <c r="AU294" t="s">
        <v>66</v>
      </c>
      <c r="AV294">
        <v>1</v>
      </c>
      <c r="AW294">
        <v>4</v>
      </c>
      <c r="AX294">
        <v>0</v>
      </c>
      <c r="AY294">
        <v>1</v>
      </c>
      <c r="AZ294">
        <v>1</v>
      </c>
      <c r="BA294">
        <v>1</v>
      </c>
      <c r="BB294" t="s">
        <v>66</v>
      </c>
      <c r="BC294">
        <v>33.1</v>
      </c>
      <c r="BD294">
        <v>42.2</v>
      </c>
      <c r="BE294">
        <v>27.492447129999999</v>
      </c>
      <c r="BF294">
        <v>0</v>
      </c>
      <c r="BG294">
        <v>42.2</v>
      </c>
      <c r="BH294">
        <v>27.492447129999999</v>
      </c>
      <c r="BI294">
        <v>91</v>
      </c>
      <c r="BJ294">
        <v>9.6</v>
      </c>
      <c r="BK294" t="s">
        <v>66</v>
      </c>
      <c r="BL294">
        <f>91-44</f>
        <v>47</v>
      </c>
      <c r="BM294">
        <v>25</v>
      </c>
      <c r="BN294">
        <v>24</v>
      </c>
      <c r="BO294">
        <f t="shared" si="47"/>
        <v>24.5</v>
      </c>
      <c r="BP294">
        <v>4</v>
      </c>
      <c r="BQ294">
        <v>1</v>
      </c>
      <c r="BS294">
        <v>0</v>
      </c>
      <c r="BT294">
        <f t="shared" si="48"/>
        <v>14.285714285714285</v>
      </c>
      <c r="BU294">
        <f t="shared" si="49"/>
        <v>6.2499999999999964</v>
      </c>
      <c r="BV294">
        <f t="shared" si="50"/>
        <v>-2.1276595744680851</v>
      </c>
      <c r="BW294">
        <f t="shared" si="51"/>
        <v>-42.857142857142854</v>
      </c>
    </row>
    <row r="295" spans="1:75" x14ac:dyDescent="0.2">
      <c r="A295" t="s">
        <v>299</v>
      </c>
      <c r="B295" t="s">
        <v>300</v>
      </c>
      <c r="C295" t="s">
        <v>62</v>
      </c>
      <c r="D295" t="s">
        <v>342</v>
      </c>
      <c r="E295" t="s">
        <v>375</v>
      </c>
      <c r="F295" t="s">
        <v>579</v>
      </c>
      <c r="G295">
        <v>8.0500000000000007</v>
      </c>
      <c r="H295">
        <v>11.7</v>
      </c>
      <c r="I295">
        <v>17.45</v>
      </c>
      <c r="J295">
        <v>6.05</v>
      </c>
      <c r="K295">
        <v>43.25</v>
      </c>
      <c r="L295">
        <v>3.6211180120000002</v>
      </c>
      <c r="M295">
        <v>228</v>
      </c>
      <c r="N295">
        <v>245</v>
      </c>
      <c r="O295">
        <v>17</v>
      </c>
      <c r="P295">
        <v>266</v>
      </c>
      <c r="Q295">
        <v>38</v>
      </c>
      <c r="R295">
        <v>19</v>
      </c>
      <c r="S295">
        <v>85.1</v>
      </c>
      <c r="T295">
        <v>16.666666670000001</v>
      </c>
      <c r="U295">
        <v>8.5714285710000002</v>
      </c>
      <c r="V295">
        <v>21</v>
      </c>
      <c r="W295">
        <v>51</v>
      </c>
      <c r="X295">
        <v>55</v>
      </c>
      <c r="Y295">
        <v>34</v>
      </c>
      <c r="Z295">
        <v>161.90476190000001</v>
      </c>
      <c r="AA295">
        <v>9</v>
      </c>
      <c r="AB295">
        <v>10</v>
      </c>
      <c r="AC295">
        <v>11</v>
      </c>
      <c r="AD295" t="s">
        <v>66</v>
      </c>
      <c r="AE295">
        <v>168</v>
      </c>
      <c r="AF295">
        <v>183</v>
      </c>
      <c r="AG295" t="s">
        <v>66</v>
      </c>
      <c r="AH295">
        <v>115</v>
      </c>
      <c r="AI295">
        <v>118</v>
      </c>
      <c r="AJ295" t="s">
        <v>66</v>
      </c>
      <c r="AK295">
        <v>95</v>
      </c>
      <c r="AL295">
        <v>103</v>
      </c>
      <c r="AM295">
        <v>105</v>
      </c>
      <c r="AN295">
        <v>110.5</v>
      </c>
      <c r="AO295">
        <v>5.2380952379999997</v>
      </c>
      <c r="AP295">
        <v>8.9285714289999998</v>
      </c>
      <c r="AQ295">
        <v>1.6</v>
      </c>
      <c r="AR295">
        <v>1.656108597</v>
      </c>
      <c r="AS295">
        <v>5.6108597000000003E-2</v>
      </c>
      <c r="AT295">
        <v>0</v>
      </c>
      <c r="AU295" t="s">
        <v>66</v>
      </c>
      <c r="AV295">
        <v>1</v>
      </c>
      <c r="AW295">
        <v>2</v>
      </c>
      <c r="AX295">
        <v>0</v>
      </c>
      <c r="AY295">
        <v>1</v>
      </c>
      <c r="AZ295">
        <v>1</v>
      </c>
      <c r="BA295">
        <v>1</v>
      </c>
      <c r="BB295" t="s">
        <v>66</v>
      </c>
      <c r="BC295">
        <v>51.3</v>
      </c>
      <c r="BD295">
        <v>50.9</v>
      </c>
      <c r="BE295">
        <v>-0.77972709600000001</v>
      </c>
      <c r="BF295">
        <v>0</v>
      </c>
      <c r="BG295">
        <v>50.9</v>
      </c>
      <c r="BH295">
        <v>-0.77972709600000001</v>
      </c>
      <c r="BI295">
        <v>334</v>
      </c>
      <c r="BJ295">
        <v>65.099999999999994</v>
      </c>
      <c r="BK295">
        <v>5.0999999999999996</v>
      </c>
      <c r="BL295">
        <v>150</v>
      </c>
      <c r="BM295">
        <v>120</v>
      </c>
      <c r="BN295">
        <v>95</v>
      </c>
      <c r="BO295">
        <f t="shared" si="47"/>
        <v>107.5</v>
      </c>
      <c r="BP295">
        <v>4</v>
      </c>
      <c r="BQ295">
        <v>1</v>
      </c>
      <c r="BS295">
        <v>0</v>
      </c>
      <c r="BT295">
        <f t="shared" si="48"/>
        <v>31.736526946107784</v>
      </c>
      <c r="BU295">
        <f t="shared" si="49"/>
        <v>67.741935483870961</v>
      </c>
      <c r="BV295">
        <f t="shared" si="50"/>
        <v>-12</v>
      </c>
      <c r="BW295">
        <f t="shared" si="51"/>
        <v>2.3255813953488373</v>
      </c>
    </row>
    <row r="296" spans="1:75" x14ac:dyDescent="0.2">
      <c r="A296" t="s">
        <v>299</v>
      </c>
      <c r="B296" t="s">
        <v>300</v>
      </c>
      <c r="C296" t="s">
        <v>62</v>
      </c>
      <c r="D296" t="s">
        <v>342</v>
      </c>
      <c r="E296" t="s">
        <v>379</v>
      </c>
      <c r="F296" t="s">
        <v>581</v>
      </c>
      <c r="G296">
        <v>8.0500000000000007</v>
      </c>
      <c r="H296">
        <v>11.7</v>
      </c>
      <c r="I296">
        <v>17.45</v>
      </c>
      <c r="J296">
        <v>6.05</v>
      </c>
      <c r="K296">
        <v>43.25</v>
      </c>
      <c r="L296">
        <v>3.6211180120000002</v>
      </c>
      <c r="M296">
        <v>112</v>
      </c>
      <c r="N296">
        <v>128</v>
      </c>
      <c r="O296">
        <v>16</v>
      </c>
      <c r="P296">
        <v>122</v>
      </c>
      <c r="Q296">
        <v>10</v>
      </c>
      <c r="R296">
        <v>5</v>
      </c>
      <c r="S296">
        <v>57.1</v>
      </c>
      <c r="T296">
        <v>8.9285714289999998</v>
      </c>
      <c r="U296">
        <v>-4.6875</v>
      </c>
      <c r="V296">
        <v>11</v>
      </c>
      <c r="W296">
        <v>15</v>
      </c>
      <c r="X296">
        <v>13</v>
      </c>
      <c r="Y296">
        <v>2</v>
      </c>
      <c r="Z296">
        <v>18.18181818</v>
      </c>
      <c r="AA296" t="s">
        <v>66</v>
      </c>
      <c r="AB296" t="s">
        <v>66</v>
      </c>
      <c r="AC296" t="s">
        <v>66</v>
      </c>
      <c r="AD296" t="s">
        <v>66</v>
      </c>
      <c r="AE296">
        <v>97</v>
      </c>
      <c r="AF296">
        <v>74</v>
      </c>
      <c r="AG296" t="s">
        <v>66</v>
      </c>
      <c r="AH296">
        <v>75</v>
      </c>
      <c r="AI296">
        <v>57</v>
      </c>
      <c r="AJ296" t="s">
        <v>66</v>
      </c>
      <c r="AK296">
        <v>59</v>
      </c>
      <c r="AL296">
        <v>49</v>
      </c>
      <c r="AM296">
        <v>67</v>
      </c>
      <c r="AN296">
        <v>53</v>
      </c>
      <c r="AO296">
        <v>-20.89552239</v>
      </c>
      <c r="AP296">
        <v>-23.711340209999999</v>
      </c>
      <c r="AQ296">
        <v>1.4477611939999999</v>
      </c>
      <c r="AR296">
        <v>1.3962264150000001</v>
      </c>
      <c r="AS296">
        <v>-5.1534779000000003E-2</v>
      </c>
      <c r="AT296">
        <v>0</v>
      </c>
      <c r="AU296" t="s">
        <v>66</v>
      </c>
      <c r="AV296">
        <v>1</v>
      </c>
      <c r="AW296">
        <v>1</v>
      </c>
      <c r="AX296">
        <v>0</v>
      </c>
      <c r="AY296">
        <v>1</v>
      </c>
      <c r="AZ296">
        <v>1</v>
      </c>
      <c r="BA296">
        <v>1</v>
      </c>
      <c r="BB296" t="s">
        <v>66</v>
      </c>
      <c r="BC296">
        <v>45.8</v>
      </c>
      <c r="BD296">
        <v>40.1</v>
      </c>
      <c r="BE296">
        <v>-12.445414850000001</v>
      </c>
      <c r="BF296">
        <v>0</v>
      </c>
      <c r="BG296">
        <v>40.1</v>
      </c>
      <c r="BH296">
        <v>-12.445414850000001</v>
      </c>
      <c r="BI296">
        <v>152</v>
      </c>
      <c r="BJ296">
        <v>13.2</v>
      </c>
      <c r="BK296">
        <v>1.8</v>
      </c>
      <c r="BL296">
        <v>82</v>
      </c>
      <c r="BM296">
        <v>53</v>
      </c>
      <c r="BN296">
        <v>35</v>
      </c>
      <c r="BO296">
        <f t="shared" si="47"/>
        <v>44</v>
      </c>
      <c r="BP296">
        <v>4</v>
      </c>
      <c r="BQ296">
        <v>1</v>
      </c>
      <c r="BS296">
        <v>0</v>
      </c>
      <c r="BT296">
        <f t="shared" si="48"/>
        <v>26.315789473684209</v>
      </c>
      <c r="BU296">
        <f t="shared" si="49"/>
        <v>16.666666666666664</v>
      </c>
      <c r="BV296">
        <f t="shared" si="50"/>
        <v>-18.292682926829269</v>
      </c>
      <c r="BW296">
        <f t="shared" si="51"/>
        <v>-52.272727272727273</v>
      </c>
    </row>
    <row r="297" spans="1:75" x14ac:dyDescent="0.2">
      <c r="A297" t="s">
        <v>299</v>
      </c>
      <c r="B297" t="s">
        <v>300</v>
      </c>
      <c r="C297" t="s">
        <v>62</v>
      </c>
      <c r="D297" t="s">
        <v>342</v>
      </c>
      <c r="E297" t="s">
        <v>343</v>
      </c>
      <c r="F297" t="s">
        <v>563</v>
      </c>
      <c r="G297">
        <v>8.0500000000000007</v>
      </c>
      <c r="H297">
        <v>11.7</v>
      </c>
      <c r="I297">
        <v>17.45</v>
      </c>
      <c r="J297">
        <v>6.05</v>
      </c>
      <c r="K297">
        <v>43.25</v>
      </c>
      <c r="L297">
        <v>3.6211180120000002</v>
      </c>
      <c r="M297">
        <v>198</v>
      </c>
      <c r="N297">
        <v>235</v>
      </c>
      <c r="O297">
        <v>37</v>
      </c>
      <c r="P297">
        <v>228</v>
      </c>
      <c r="Q297">
        <v>30</v>
      </c>
      <c r="R297">
        <v>15</v>
      </c>
      <c r="S297">
        <v>77.099999999999994</v>
      </c>
      <c r="T297">
        <v>15.15151515</v>
      </c>
      <c r="U297">
        <v>-2.9787234040000001</v>
      </c>
      <c r="V297">
        <v>26</v>
      </c>
      <c r="W297">
        <v>40</v>
      </c>
      <c r="X297">
        <v>34</v>
      </c>
      <c r="Y297">
        <v>8</v>
      </c>
      <c r="Z297">
        <v>30.76923077</v>
      </c>
      <c r="AA297" t="s">
        <v>66</v>
      </c>
      <c r="AB297">
        <v>10</v>
      </c>
      <c r="AC297">
        <v>10</v>
      </c>
      <c r="AD297" t="s">
        <v>66</v>
      </c>
      <c r="AE297">
        <v>99</v>
      </c>
      <c r="AF297">
        <v>182</v>
      </c>
      <c r="AG297" t="s">
        <v>66</v>
      </c>
      <c r="AH297">
        <v>98</v>
      </c>
      <c r="AI297">
        <v>118</v>
      </c>
      <c r="AJ297" t="s">
        <v>66</v>
      </c>
      <c r="AK297">
        <v>70</v>
      </c>
      <c r="AL297">
        <v>94</v>
      </c>
      <c r="AM297">
        <v>84</v>
      </c>
      <c r="AN297">
        <v>106</v>
      </c>
      <c r="AO297">
        <v>26.190476189999998</v>
      </c>
      <c r="AP297">
        <v>83.838383840000006</v>
      </c>
      <c r="AQ297">
        <v>1.178571429</v>
      </c>
      <c r="AR297">
        <v>1.7169811319999999</v>
      </c>
      <c r="AS297">
        <v>0.53840970300000002</v>
      </c>
      <c r="AT297">
        <v>0</v>
      </c>
      <c r="AU297" t="s">
        <v>66</v>
      </c>
      <c r="AV297">
        <v>1</v>
      </c>
      <c r="AW297">
        <v>2</v>
      </c>
      <c r="AX297">
        <v>1</v>
      </c>
      <c r="AY297">
        <v>1</v>
      </c>
      <c r="AZ297">
        <v>1</v>
      </c>
      <c r="BA297">
        <v>1</v>
      </c>
      <c r="BB297" t="s">
        <v>66</v>
      </c>
      <c r="BC297">
        <v>55.9</v>
      </c>
      <c r="BD297">
        <v>48.6</v>
      </c>
      <c r="BE297">
        <v>-13.05903399</v>
      </c>
      <c r="BF297">
        <v>0</v>
      </c>
      <c r="BG297">
        <v>48.6</v>
      </c>
      <c r="BH297">
        <v>-13.05903399</v>
      </c>
      <c r="BI297">
        <v>236</v>
      </c>
      <c r="BJ297">
        <v>37.700000000000003</v>
      </c>
      <c r="BK297">
        <v>12.2</v>
      </c>
      <c r="BL297">
        <f>236-116</f>
        <v>120</v>
      </c>
      <c r="BM297">
        <v>70</v>
      </c>
      <c r="BN297">
        <v>63</v>
      </c>
      <c r="BO297">
        <f t="shared" si="47"/>
        <v>66.5</v>
      </c>
      <c r="BP297">
        <v>4</v>
      </c>
      <c r="BQ297">
        <v>1</v>
      </c>
      <c r="BS297">
        <v>0</v>
      </c>
      <c r="BT297">
        <f t="shared" si="48"/>
        <v>16.101694915254235</v>
      </c>
      <c r="BU297">
        <f t="shared" si="49"/>
        <v>31.034482758620697</v>
      </c>
      <c r="BV297">
        <f t="shared" si="50"/>
        <v>17.5</v>
      </c>
      <c r="BW297">
        <f t="shared" si="51"/>
        <v>-26.315789473684209</v>
      </c>
    </row>
    <row r="298" spans="1:75" x14ac:dyDescent="0.2">
      <c r="A298" t="s">
        <v>299</v>
      </c>
      <c r="B298" t="s">
        <v>300</v>
      </c>
      <c r="C298" t="s">
        <v>62</v>
      </c>
      <c r="D298" t="s">
        <v>342</v>
      </c>
      <c r="E298" t="s">
        <v>345</v>
      </c>
      <c r="F298" t="s">
        <v>564</v>
      </c>
      <c r="G298">
        <v>8.0500000000000007</v>
      </c>
      <c r="H298">
        <v>11.7</v>
      </c>
      <c r="I298">
        <v>17.45</v>
      </c>
      <c r="J298">
        <v>6.05</v>
      </c>
      <c r="K298">
        <v>43.25</v>
      </c>
      <c r="L298">
        <v>3.6211180120000002</v>
      </c>
      <c r="M298">
        <v>136</v>
      </c>
      <c r="N298">
        <v>118</v>
      </c>
      <c r="O298">
        <v>-18</v>
      </c>
      <c r="P298">
        <v>135</v>
      </c>
      <c r="Q298">
        <v>-1</v>
      </c>
      <c r="R298">
        <v>-0.5</v>
      </c>
      <c r="S298">
        <v>46.1</v>
      </c>
      <c r="T298">
        <v>-0.735294118</v>
      </c>
      <c r="U298">
        <v>14.40677966</v>
      </c>
      <c r="V298">
        <v>15</v>
      </c>
      <c r="W298">
        <v>23</v>
      </c>
      <c r="X298">
        <v>18</v>
      </c>
      <c r="Y298">
        <v>3</v>
      </c>
      <c r="Z298">
        <v>20</v>
      </c>
      <c r="AA298" t="s">
        <v>66</v>
      </c>
      <c r="AB298" t="s">
        <v>66</v>
      </c>
      <c r="AC298" t="s">
        <v>66</v>
      </c>
      <c r="AD298" t="s">
        <v>66</v>
      </c>
      <c r="AE298">
        <v>98</v>
      </c>
      <c r="AF298">
        <v>99</v>
      </c>
      <c r="AG298" t="s">
        <v>66</v>
      </c>
      <c r="AH298">
        <v>78</v>
      </c>
      <c r="AI298">
        <v>63</v>
      </c>
      <c r="AJ298" t="s">
        <v>66</v>
      </c>
      <c r="AK298">
        <v>68</v>
      </c>
      <c r="AL298">
        <v>50</v>
      </c>
      <c r="AM298">
        <v>73</v>
      </c>
      <c r="AN298">
        <v>56.5</v>
      </c>
      <c r="AO298">
        <v>-22.60273973</v>
      </c>
      <c r="AP298">
        <v>1.0204081629999999</v>
      </c>
      <c r="AQ298">
        <v>1.3424657529999999</v>
      </c>
      <c r="AR298">
        <v>1.7522123890000001</v>
      </c>
      <c r="AS298">
        <v>0.409746636</v>
      </c>
      <c r="AT298">
        <v>0</v>
      </c>
      <c r="AU298" t="s">
        <v>66</v>
      </c>
      <c r="AV298">
        <v>1</v>
      </c>
      <c r="AW298">
        <v>3</v>
      </c>
      <c r="AX298">
        <v>1</v>
      </c>
      <c r="AY298">
        <v>1</v>
      </c>
      <c r="AZ298">
        <v>1</v>
      </c>
      <c r="BA298">
        <v>1</v>
      </c>
      <c r="BB298" t="s">
        <v>66</v>
      </c>
      <c r="BC298">
        <v>50.8</v>
      </c>
      <c r="BD298">
        <v>25.3</v>
      </c>
      <c r="BE298">
        <v>-50.196850390000002</v>
      </c>
      <c r="BF298">
        <v>0</v>
      </c>
      <c r="BG298">
        <v>25.3</v>
      </c>
      <c r="BH298">
        <v>-50.196850390000002</v>
      </c>
      <c r="BI298">
        <v>150</v>
      </c>
      <c r="BJ298">
        <v>18.2</v>
      </c>
      <c r="BK298">
        <v>2.1</v>
      </c>
      <c r="BL298">
        <v>95</v>
      </c>
      <c r="BM298">
        <v>63</v>
      </c>
      <c r="BN298">
        <v>53</v>
      </c>
      <c r="BO298">
        <f t="shared" si="47"/>
        <v>58</v>
      </c>
      <c r="BP298">
        <v>4</v>
      </c>
      <c r="BQ298">
        <v>1</v>
      </c>
      <c r="BS298">
        <v>0</v>
      </c>
      <c r="BT298">
        <f t="shared" si="48"/>
        <v>9.3333333333333339</v>
      </c>
      <c r="BU298">
        <f t="shared" si="49"/>
        <v>17.582417582417577</v>
      </c>
      <c r="BV298">
        <f t="shared" si="50"/>
        <v>-3.1578947368421053</v>
      </c>
      <c r="BW298">
        <f t="shared" si="51"/>
        <v>-25.862068965517242</v>
      </c>
    </row>
    <row r="299" spans="1:75" x14ac:dyDescent="0.2">
      <c r="A299" t="s">
        <v>299</v>
      </c>
      <c r="B299" t="s">
        <v>300</v>
      </c>
      <c r="C299" t="s">
        <v>62</v>
      </c>
      <c r="D299" t="s">
        <v>342</v>
      </c>
      <c r="E299" t="s">
        <v>347</v>
      </c>
      <c r="F299" t="s">
        <v>565</v>
      </c>
      <c r="G299">
        <v>8.0500000000000007</v>
      </c>
      <c r="H299">
        <v>11.7</v>
      </c>
      <c r="I299">
        <v>17.45</v>
      </c>
      <c r="J299">
        <v>6.05</v>
      </c>
      <c r="K299">
        <v>43.25</v>
      </c>
      <c r="L299">
        <v>3.6211180120000002</v>
      </c>
      <c r="M299">
        <v>163</v>
      </c>
      <c r="N299">
        <v>175</v>
      </c>
      <c r="O299">
        <v>12</v>
      </c>
      <c r="P299">
        <v>176</v>
      </c>
      <c r="Q299">
        <v>13</v>
      </c>
      <c r="R299">
        <v>6.5</v>
      </c>
      <c r="S299">
        <v>60.1</v>
      </c>
      <c r="T299">
        <v>7.9754601230000004</v>
      </c>
      <c r="U299">
        <v>0.571428571</v>
      </c>
      <c r="V299">
        <v>16</v>
      </c>
      <c r="W299">
        <v>22</v>
      </c>
      <c r="X299">
        <v>24</v>
      </c>
      <c r="Y299">
        <v>8</v>
      </c>
      <c r="Z299">
        <v>50</v>
      </c>
      <c r="AA299">
        <v>4</v>
      </c>
      <c r="AB299">
        <v>3</v>
      </c>
      <c r="AC299">
        <v>5</v>
      </c>
      <c r="AD299" t="s">
        <v>66</v>
      </c>
      <c r="AE299">
        <v>141</v>
      </c>
      <c r="AF299">
        <v>127</v>
      </c>
      <c r="AG299" t="s">
        <v>66</v>
      </c>
      <c r="AH299">
        <v>82</v>
      </c>
      <c r="AI299">
        <v>79</v>
      </c>
      <c r="AJ299" t="s">
        <v>66</v>
      </c>
      <c r="AK299">
        <v>66</v>
      </c>
      <c r="AL299">
        <v>53</v>
      </c>
      <c r="AM299">
        <v>74</v>
      </c>
      <c r="AN299">
        <v>66</v>
      </c>
      <c r="AO299">
        <v>-10.81081081</v>
      </c>
      <c r="AP299">
        <v>-9.9290780139999999</v>
      </c>
      <c r="AQ299">
        <v>1.905405405</v>
      </c>
      <c r="AR299">
        <v>1.924242424</v>
      </c>
      <c r="AS299">
        <v>1.8837019E-2</v>
      </c>
      <c r="AT299">
        <v>0</v>
      </c>
      <c r="AU299" t="s">
        <v>66</v>
      </c>
      <c r="AV299">
        <v>2</v>
      </c>
      <c r="AW299">
        <v>2</v>
      </c>
      <c r="AX299">
        <v>1</v>
      </c>
      <c r="AY299">
        <v>1</v>
      </c>
      <c r="AZ299">
        <v>1</v>
      </c>
      <c r="BA299">
        <v>1</v>
      </c>
      <c r="BB299" t="s">
        <v>66</v>
      </c>
      <c r="BC299">
        <v>58.3</v>
      </c>
      <c r="BD299">
        <v>42.8</v>
      </c>
      <c r="BE299">
        <v>-26.586620929999999</v>
      </c>
      <c r="BF299">
        <v>0</v>
      </c>
      <c r="BG299">
        <v>42.8</v>
      </c>
      <c r="BH299">
        <v>-26.586620929999999</v>
      </c>
      <c r="BI299">
        <v>220</v>
      </c>
      <c r="BJ299">
        <v>22.8</v>
      </c>
      <c r="BK299">
        <v>6.7</v>
      </c>
      <c r="BL299">
        <f>220-78</f>
        <v>142</v>
      </c>
      <c r="BM299">
        <v>54</v>
      </c>
      <c r="BN299">
        <v>30</v>
      </c>
      <c r="BO299">
        <f t="shared" si="47"/>
        <v>42</v>
      </c>
      <c r="BP299">
        <v>4</v>
      </c>
      <c r="BQ299">
        <v>1</v>
      </c>
      <c r="BS299">
        <v>0</v>
      </c>
      <c r="BT299">
        <f t="shared" si="48"/>
        <v>25.90909090909091</v>
      </c>
      <c r="BU299">
        <f t="shared" si="49"/>
        <v>29.824561403508774</v>
      </c>
      <c r="BV299">
        <f t="shared" si="50"/>
        <v>0.70422535211267612</v>
      </c>
      <c r="BW299">
        <f t="shared" si="51"/>
        <v>-76.19047619047619</v>
      </c>
    </row>
    <row r="300" spans="1:75" x14ac:dyDescent="0.2">
      <c r="A300" t="s">
        <v>299</v>
      </c>
      <c r="B300" t="s">
        <v>300</v>
      </c>
      <c r="C300" t="s">
        <v>62</v>
      </c>
      <c r="D300" t="s">
        <v>342</v>
      </c>
      <c r="E300" t="s">
        <v>359</v>
      </c>
      <c r="F300" t="s">
        <v>571</v>
      </c>
      <c r="G300">
        <v>8.0500000000000007</v>
      </c>
      <c r="H300">
        <v>11.7</v>
      </c>
      <c r="I300">
        <v>17.45</v>
      </c>
      <c r="J300">
        <v>6.05</v>
      </c>
      <c r="K300">
        <v>43.25</v>
      </c>
      <c r="L300">
        <v>3.6211180120000002</v>
      </c>
      <c r="M300">
        <v>76</v>
      </c>
      <c r="N300">
        <v>83</v>
      </c>
      <c r="O300">
        <v>7</v>
      </c>
      <c r="P300">
        <v>81</v>
      </c>
      <c r="Q300">
        <v>5</v>
      </c>
      <c r="R300">
        <v>2.5</v>
      </c>
      <c r="S300">
        <v>52.1</v>
      </c>
      <c r="T300">
        <v>6.5789473679999997</v>
      </c>
      <c r="U300">
        <v>-2.4096385539999998</v>
      </c>
      <c r="V300">
        <v>11</v>
      </c>
      <c r="W300">
        <v>13</v>
      </c>
      <c r="X300">
        <v>17</v>
      </c>
      <c r="Y300">
        <v>6</v>
      </c>
      <c r="Z300">
        <v>54.545454550000002</v>
      </c>
      <c r="AA300" t="s">
        <v>66</v>
      </c>
      <c r="AB300" t="s">
        <v>66</v>
      </c>
      <c r="AC300" t="s">
        <v>66</v>
      </c>
      <c r="AD300" t="s">
        <v>66</v>
      </c>
      <c r="AE300">
        <v>55</v>
      </c>
      <c r="AF300">
        <v>46</v>
      </c>
      <c r="AG300" t="s">
        <v>66</v>
      </c>
      <c r="AH300">
        <v>53</v>
      </c>
      <c r="AI300">
        <v>54</v>
      </c>
      <c r="AJ300" t="s">
        <v>66</v>
      </c>
      <c r="AK300">
        <v>38</v>
      </c>
      <c r="AL300">
        <v>39</v>
      </c>
      <c r="AM300">
        <v>45.5</v>
      </c>
      <c r="AN300">
        <v>46.5</v>
      </c>
      <c r="AO300">
        <v>2.1978021980000002</v>
      </c>
      <c r="AP300">
        <v>-16.363636360000001</v>
      </c>
      <c r="AQ300">
        <v>1.2087912089999999</v>
      </c>
      <c r="AR300">
        <v>0.98924731200000005</v>
      </c>
      <c r="AS300">
        <v>-0.21954389699999999</v>
      </c>
      <c r="AT300">
        <v>0</v>
      </c>
      <c r="AU300" t="s">
        <v>66</v>
      </c>
      <c r="AV300">
        <v>1</v>
      </c>
      <c r="AW300">
        <v>4</v>
      </c>
      <c r="AX300">
        <v>1</v>
      </c>
      <c r="AY300">
        <v>1</v>
      </c>
      <c r="AZ300">
        <v>1</v>
      </c>
      <c r="BA300">
        <v>1</v>
      </c>
      <c r="BB300" t="s">
        <v>66</v>
      </c>
      <c r="BC300">
        <v>27.2</v>
      </c>
      <c r="BD300">
        <v>34.9</v>
      </c>
      <c r="BE300">
        <v>28.308823530000002</v>
      </c>
      <c r="BF300">
        <v>0</v>
      </c>
      <c r="BG300">
        <v>34.9</v>
      </c>
      <c r="BH300">
        <v>28.308823530000002</v>
      </c>
      <c r="BI300">
        <v>85</v>
      </c>
      <c r="BJ300">
        <v>13.6</v>
      </c>
      <c r="BK300" t="s">
        <v>66</v>
      </c>
      <c r="BL300">
        <v>45</v>
      </c>
      <c r="BM300">
        <v>50</v>
      </c>
      <c r="BN300">
        <v>31</v>
      </c>
      <c r="BO300">
        <f t="shared" si="47"/>
        <v>40.5</v>
      </c>
      <c r="BP300">
        <v>4</v>
      </c>
      <c r="BQ300">
        <v>1</v>
      </c>
      <c r="BS300">
        <v>0</v>
      </c>
      <c r="BT300">
        <f t="shared" si="48"/>
        <v>10.588235294117647</v>
      </c>
      <c r="BU300">
        <f t="shared" si="49"/>
        <v>19.117647058823529</v>
      </c>
      <c r="BV300">
        <f t="shared" si="50"/>
        <v>-22.222222222222221</v>
      </c>
      <c r="BW300">
        <f t="shared" si="51"/>
        <v>-12.345679012345679</v>
      </c>
    </row>
    <row r="301" spans="1:75" x14ac:dyDescent="0.2">
      <c r="A301" t="s">
        <v>299</v>
      </c>
      <c r="B301" t="s">
        <v>300</v>
      </c>
      <c r="C301" t="s">
        <v>62</v>
      </c>
      <c r="D301" t="s">
        <v>342</v>
      </c>
      <c r="E301" t="s">
        <v>363</v>
      </c>
      <c r="F301" t="s">
        <v>573</v>
      </c>
      <c r="G301">
        <v>8.0500000000000007</v>
      </c>
      <c r="H301">
        <v>11.7</v>
      </c>
      <c r="I301">
        <v>17.45</v>
      </c>
      <c r="J301">
        <v>6.05</v>
      </c>
      <c r="K301">
        <v>43.25</v>
      </c>
      <c r="L301">
        <v>3.6211180120000002</v>
      </c>
      <c r="M301">
        <v>130</v>
      </c>
      <c r="N301">
        <v>164</v>
      </c>
      <c r="O301">
        <v>34</v>
      </c>
      <c r="P301">
        <v>163</v>
      </c>
      <c r="Q301">
        <v>33</v>
      </c>
      <c r="R301">
        <v>16.5</v>
      </c>
      <c r="S301">
        <v>80.099999999999994</v>
      </c>
      <c r="T301">
        <v>25.38461538</v>
      </c>
      <c r="U301">
        <v>-0.60975609799999997</v>
      </c>
      <c r="V301">
        <v>16</v>
      </c>
      <c r="W301">
        <v>16</v>
      </c>
      <c r="X301">
        <v>16</v>
      </c>
      <c r="Y301">
        <v>0</v>
      </c>
      <c r="Z301">
        <v>0</v>
      </c>
      <c r="AA301" t="s">
        <v>66</v>
      </c>
      <c r="AB301">
        <v>4</v>
      </c>
      <c r="AC301">
        <v>5</v>
      </c>
      <c r="AD301" t="s">
        <v>66</v>
      </c>
      <c r="AE301">
        <v>125</v>
      </c>
      <c r="AF301">
        <v>113</v>
      </c>
      <c r="AG301" t="s">
        <v>66</v>
      </c>
      <c r="AH301">
        <v>68</v>
      </c>
      <c r="AI301">
        <v>56</v>
      </c>
      <c r="AJ301" t="s">
        <v>66</v>
      </c>
      <c r="AK301">
        <v>55</v>
      </c>
      <c r="AL301">
        <v>46</v>
      </c>
      <c r="AM301">
        <v>61.5</v>
      </c>
      <c r="AN301">
        <v>51</v>
      </c>
      <c r="AO301">
        <v>-17.073170730000001</v>
      </c>
      <c r="AP301">
        <v>-9.6</v>
      </c>
      <c r="AQ301">
        <v>2.0325203250000001</v>
      </c>
      <c r="AR301">
        <v>2.2156862749999999</v>
      </c>
      <c r="AS301">
        <v>0.18316594999999999</v>
      </c>
      <c r="AT301">
        <v>0</v>
      </c>
      <c r="AU301" t="s">
        <v>66</v>
      </c>
      <c r="AV301">
        <v>2</v>
      </c>
      <c r="AW301">
        <v>2</v>
      </c>
      <c r="AX301">
        <v>1</v>
      </c>
      <c r="AY301">
        <v>1</v>
      </c>
      <c r="AZ301">
        <v>1</v>
      </c>
      <c r="BA301">
        <v>1</v>
      </c>
      <c r="BB301" t="s">
        <v>66</v>
      </c>
      <c r="BC301">
        <v>43.4</v>
      </c>
      <c r="BD301">
        <v>42.9</v>
      </c>
      <c r="BE301">
        <v>-1.1520737329999999</v>
      </c>
      <c r="BF301">
        <v>0</v>
      </c>
      <c r="BG301">
        <v>42.9</v>
      </c>
      <c r="BH301">
        <v>-1.1520737329999999</v>
      </c>
      <c r="BI301">
        <v>165</v>
      </c>
      <c r="BJ301">
        <v>17.600000000000001</v>
      </c>
      <c r="BK301">
        <v>4.3</v>
      </c>
      <c r="BL301">
        <f>165-73</f>
        <v>92</v>
      </c>
      <c r="BM301">
        <v>55</v>
      </c>
      <c r="BN301">
        <v>34</v>
      </c>
      <c r="BO301">
        <f t="shared" si="47"/>
        <v>44.5</v>
      </c>
      <c r="BP301">
        <v>4</v>
      </c>
      <c r="BQ301">
        <v>1</v>
      </c>
      <c r="BS301">
        <v>0</v>
      </c>
      <c r="BT301">
        <f t="shared" si="48"/>
        <v>21.212121212121211</v>
      </c>
      <c r="BU301">
        <f t="shared" si="49"/>
        <v>9.0909090909090988</v>
      </c>
      <c r="BV301">
        <f t="shared" si="50"/>
        <v>-35.869565217391305</v>
      </c>
      <c r="BW301">
        <f t="shared" si="51"/>
        <v>-38.202247191011232</v>
      </c>
    </row>
    <row r="302" spans="1:75" x14ac:dyDescent="0.2">
      <c r="A302" t="s">
        <v>299</v>
      </c>
      <c r="B302" t="s">
        <v>300</v>
      </c>
      <c r="C302" t="s">
        <v>62</v>
      </c>
      <c r="D302" t="s">
        <v>342</v>
      </c>
      <c r="E302" t="s">
        <v>371</v>
      </c>
      <c r="F302" t="s">
        <v>577</v>
      </c>
      <c r="G302">
        <v>8.0500000000000007</v>
      </c>
      <c r="H302">
        <v>11.7</v>
      </c>
      <c r="I302">
        <v>17.45</v>
      </c>
      <c r="J302">
        <v>6.05</v>
      </c>
      <c r="K302">
        <v>43.25</v>
      </c>
      <c r="L302">
        <v>3.6211180120000002</v>
      </c>
      <c r="M302">
        <v>197</v>
      </c>
      <c r="N302">
        <v>195</v>
      </c>
      <c r="O302">
        <v>-2</v>
      </c>
      <c r="P302">
        <v>210</v>
      </c>
      <c r="Q302">
        <v>13</v>
      </c>
      <c r="R302">
        <v>6.5</v>
      </c>
      <c r="S302">
        <v>60.1</v>
      </c>
      <c r="T302">
        <v>6.5989847719999997</v>
      </c>
      <c r="U302">
        <v>7.692307692</v>
      </c>
      <c r="V302">
        <v>26</v>
      </c>
      <c r="W302">
        <v>36</v>
      </c>
      <c r="X302">
        <v>31</v>
      </c>
      <c r="Y302">
        <v>5</v>
      </c>
      <c r="Z302">
        <v>19.23076923</v>
      </c>
      <c r="AA302">
        <v>10</v>
      </c>
      <c r="AB302">
        <v>8</v>
      </c>
      <c r="AC302">
        <v>10</v>
      </c>
      <c r="AD302" t="s">
        <v>66</v>
      </c>
      <c r="AE302">
        <v>139</v>
      </c>
      <c r="AF302">
        <v>158</v>
      </c>
      <c r="AG302" t="s">
        <v>66</v>
      </c>
      <c r="AH302">
        <v>110</v>
      </c>
      <c r="AI302">
        <v>84</v>
      </c>
      <c r="AJ302" t="s">
        <v>66</v>
      </c>
      <c r="AK302">
        <v>70</v>
      </c>
      <c r="AL302">
        <v>42</v>
      </c>
      <c r="AM302">
        <v>90</v>
      </c>
      <c r="AN302">
        <v>63</v>
      </c>
      <c r="AO302">
        <v>-30</v>
      </c>
      <c r="AP302">
        <v>13.66906475</v>
      </c>
      <c r="AQ302">
        <v>1.544444444</v>
      </c>
      <c r="AR302">
        <v>2.5079365079999998</v>
      </c>
      <c r="AS302">
        <v>0.96349206399999998</v>
      </c>
      <c r="AT302">
        <v>0</v>
      </c>
      <c r="AU302" t="s">
        <v>66</v>
      </c>
      <c r="AV302">
        <v>2</v>
      </c>
      <c r="AW302">
        <v>2</v>
      </c>
      <c r="AX302">
        <v>1</v>
      </c>
      <c r="AY302">
        <v>1</v>
      </c>
      <c r="AZ302">
        <v>1</v>
      </c>
      <c r="BA302">
        <v>1</v>
      </c>
      <c r="BB302" t="s">
        <v>66</v>
      </c>
      <c r="BC302">
        <v>58.2</v>
      </c>
      <c r="BD302">
        <v>37.799999999999997</v>
      </c>
      <c r="BE302">
        <v>-35.051546389999999</v>
      </c>
      <c r="BF302">
        <v>0</v>
      </c>
      <c r="BG302">
        <v>37.799999999999997</v>
      </c>
      <c r="BH302">
        <v>-35.051546389999999</v>
      </c>
      <c r="BI302">
        <v>278</v>
      </c>
      <c r="BJ302">
        <v>36.1</v>
      </c>
      <c r="BK302">
        <v>8.3000000000000007</v>
      </c>
      <c r="BL302">
        <f>278-55</f>
        <v>223</v>
      </c>
      <c r="BM302">
        <v>54</v>
      </c>
      <c r="BN302">
        <v>24</v>
      </c>
      <c r="BO302">
        <f t="shared" si="47"/>
        <v>39</v>
      </c>
      <c r="BP302">
        <v>4</v>
      </c>
      <c r="BQ302">
        <v>1</v>
      </c>
      <c r="BS302">
        <v>0</v>
      </c>
      <c r="BT302">
        <f t="shared" si="48"/>
        <v>29.136690647482016</v>
      </c>
      <c r="BU302">
        <f t="shared" si="49"/>
        <v>27.977839335180061</v>
      </c>
      <c r="BV302">
        <f t="shared" si="50"/>
        <v>37.668161434977577</v>
      </c>
      <c r="BW302">
        <f t="shared" si="51"/>
        <v>-130.76923076923077</v>
      </c>
    </row>
    <row r="303" spans="1:75" x14ac:dyDescent="0.2">
      <c r="A303" t="s">
        <v>299</v>
      </c>
      <c r="B303" t="s">
        <v>300</v>
      </c>
      <c r="C303" t="s">
        <v>62</v>
      </c>
      <c r="D303" t="s">
        <v>342</v>
      </c>
      <c r="E303" t="s">
        <v>373</v>
      </c>
      <c r="F303" t="s">
        <v>578</v>
      </c>
      <c r="G303">
        <v>8.0500000000000007</v>
      </c>
      <c r="H303">
        <v>11.7</v>
      </c>
      <c r="I303">
        <v>17.45</v>
      </c>
      <c r="J303">
        <v>6.05</v>
      </c>
      <c r="K303">
        <v>43.25</v>
      </c>
      <c r="L303">
        <v>3.6211180120000002</v>
      </c>
      <c r="M303">
        <v>167</v>
      </c>
      <c r="N303">
        <v>242</v>
      </c>
      <c r="O303">
        <v>75</v>
      </c>
      <c r="P303">
        <v>271</v>
      </c>
      <c r="Q303">
        <v>104</v>
      </c>
      <c r="R303">
        <v>52</v>
      </c>
      <c r="S303">
        <v>151.1</v>
      </c>
      <c r="T303">
        <v>62.275449100000003</v>
      </c>
      <c r="U303">
        <v>11.98347107</v>
      </c>
      <c r="V303">
        <v>24</v>
      </c>
      <c r="W303">
        <v>37</v>
      </c>
      <c r="X303">
        <v>38</v>
      </c>
      <c r="Y303">
        <v>14</v>
      </c>
      <c r="Z303">
        <v>58.333333330000002</v>
      </c>
      <c r="AA303">
        <v>9</v>
      </c>
      <c r="AB303">
        <v>9</v>
      </c>
      <c r="AC303">
        <v>14</v>
      </c>
      <c r="AD303" t="s">
        <v>66</v>
      </c>
      <c r="AE303">
        <v>185</v>
      </c>
      <c r="AF303">
        <v>215</v>
      </c>
      <c r="AG303" t="s">
        <v>66</v>
      </c>
      <c r="AH303">
        <v>85</v>
      </c>
      <c r="AI303">
        <v>114</v>
      </c>
      <c r="AJ303" t="s">
        <v>66</v>
      </c>
      <c r="AK303">
        <v>73</v>
      </c>
      <c r="AL303">
        <v>84</v>
      </c>
      <c r="AM303">
        <v>79</v>
      </c>
      <c r="AN303">
        <v>99</v>
      </c>
      <c r="AO303">
        <v>25.316455699999999</v>
      </c>
      <c r="AP303">
        <v>16.21621622</v>
      </c>
      <c r="AQ303">
        <v>2.3417721519999999</v>
      </c>
      <c r="AR303">
        <v>2.1717171720000001</v>
      </c>
      <c r="AS303">
        <v>-0.17005497999999999</v>
      </c>
      <c r="AT303">
        <v>0</v>
      </c>
      <c r="AU303" t="s">
        <v>66</v>
      </c>
      <c r="AV303">
        <v>1</v>
      </c>
      <c r="AW303">
        <v>2</v>
      </c>
      <c r="AX303">
        <v>1</v>
      </c>
      <c r="AY303">
        <v>1</v>
      </c>
      <c r="AZ303">
        <v>1</v>
      </c>
      <c r="BA303">
        <v>1</v>
      </c>
      <c r="BB303" t="s">
        <v>66</v>
      </c>
      <c r="BC303">
        <v>52.5</v>
      </c>
      <c r="BD303">
        <v>45.7</v>
      </c>
      <c r="BE303">
        <v>-12.95238095</v>
      </c>
      <c r="BF303">
        <v>0</v>
      </c>
      <c r="BG303">
        <v>45.7</v>
      </c>
      <c r="BH303">
        <v>-12.95238095</v>
      </c>
      <c r="BI303">
        <v>313</v>
      </c>
      <c r="BJ303">
        <v>31.9</v>
      </c>
      <c r="BK303">
        <v>20.7</v>
      </c>
      <c r="BL303">
        <f>313-84</f>
        <v>229</v>
      </c>
      <c r="BM303">
        <v>105</v>
      </c>
      <c r="BN303">
        <v>79</v>
      </c>
      <c r="BO303">
        <f t="shared" si="47"/>
        <v>92</v>
      </c>
      <c r="BP303">
        <v>4</v>
      </c>
      <c r="BQ303">
        <v>1</v>
      </c>
      <c r="BS303">
        <v>0</v>
      </c>
      <c r="BT303">
        <f t="shared" si="48"/>
        <v>46.645367412140573</v>
      </c>
      <c r="BU303">
        <f t="shared" si="49"/>
        <v>24.764890282131656</v>
      </c>
      <c r="BV303">
        <f t="shared" si="50"/>
        <v>19.213973799126638</v>
      </c>
      <c r="BW303">
        <f t="shared" si="51"/>
        <v>14.130434782608695</v>
      </c>
    </row>
    <row r="304" spans="1:75" x14ac:dyDescent="0.2">
      <c r="A304" t="s">
        <v>213</v>
      </c>
      <c r="B304" t="s">
        <v>214</v>
      </c>
      <c r="C304" t="s">
        <v>62</v>
      </c>
      <c r="D304" t="s">
        <v>342</v>
      </c>
      <c r="E304" t="s">
        <v>345</v>
      </c>
      <c r="F304" t="s">
        <v>484</v>
      </c>
      <c r="G304">
        <v>5</v>
      </c>
      <c r="H304">
        <v>6.75</v>
      </c>
      <c r="I304">
        <v>12.5</v>
      </c>
      <c r="J304">
        <v>15.2</v>
      </c>
      <c r="K304">
        <v>39.450000000000003</v>
      </c>
      <c r="L304">
        <v>3.85</v>
      </c>
      <c r="M304">
        <v>191</v>
      </c>
      <c r="N304">
        <v>208</v>
      </c>
      <c r="O304">
        <v>17</v>
      </c>
      <c r="P304">
        <v>206</v>
      </c>
      <c r="Q304">
        <v>15</v>
      </c>
      <c r="R304">
        <v>7.5</v>
      </c>
      <c r="S304">
        <v>62.1</v>
      </c>
      <c r="T304">
        <v>7.8534031410000003</v>
      </c>
      <c r="U304">
        <v>-0.96153846200000004</v>
      </c>
      <c r="V304">
        <v>23</v>
      </c>
      <c r="W304">
        <v>28</v>
      </c>
      <c r="X304">
        <v>33</v>
      </c>
      <c r="Y304">
        <v>10</v>
      </c>
      <c r="Z304">
        <v>43.47826087</v>
      </c>
      <c r="AA304">
        <v>1</v>
      </c>
      <c r="AB304">
        <v>10</v>
      </c>
      <c r="AC304">
        <v>10</v>
      </c>
      <c r="AD304" t="s">
        <v>66</v>
      </c>
      <c r="AE304">
        <v>161</v>
      </c>
      <c r="AF304">
        <v>130</v>
      </c>
      <c r="AG304" t="s">
        <v>66</v>
      </c>
      <c r="AH304">
        <v>70</v>
      </c>
      <c r="AI304">
        <v>72</v>
      </c>
      <c r="AJ304" t="s">
        <v>66</v>
      </c>
      <c r="AK304">
        <v>58</v>
      </c>
      <c r="AL304">
        <v>59</v>
      </c>
      <c r="AM304">
        <v>64</v>
      </c>
      <c r="AN304">
        <v>65.5</v>
      </c>
      <c r="AO304">
        <v>2.34375</v>
      </c>
      <c r="AP304">
        <v>-19.254658389999999</v>
      </c>
      <c r="AQ304">
        <v>2.515625</v>
      </c>
      <c r="AR304">
        <v>1.984732824</v>
      </c>
      <c r="AS304">
        <v>-0.53089217600000005</v>
      </c>
      <c r="AT304">
        <v>0</v>
      </c>
      <c r="AU304" t="s">
        <v>66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 t="s">
        <v>66</v>
      </c>
      <c r="BC304">
        <v>49.5</v>
      </c>
      <c r="BD304">
        <v>57.2</v>
      </c>
      <c r="BE304">
        <v>15.55555556</v>
      </c>
      <c r="BF304">
        <v>1</v>
      </c>
      <c r="BG304">
        <v>57.2</v>
      </c>
      <c r="BH304">
        <v>15.55555556</v>
      </c>
      <c r="BI304">
        <v>302</v>
      </c>
      <c r="BJ304">
        <v>39.5</v>
      </c>
      <c r="BK304">
        <v>14.1</v>
      </c>
      <c r="BL304">
        <f>302-88</f>
        <v>214</v>
      </c>
      <c r="BM304">
        <v>63</v>
      </c>
      <c r="BN304">
        <v>56</v>
      </c>
      <c r="BO304">
        <f t="shared" si="47"/>
        <v>59.5</v>
      </c>
      <c r="BP304">
        <v>3</v>
      </c>
      <c r="BQ304">
        <v>1</v>
      </c>
      <c r="BS304">
        <v>0</v>
      </c>
      <c r="BT304">
        <f t="shared" si="48"/>
        <v>36.754966887417218</v>
      </c>
      <c r="BU304">
        <f t="shared" si="49"/>
        <v>41.77215189873418</v>
      </c>
      <c r="BV304">
        <f t="shared" si="50"/>
        <v>24.766355140186917</v>
      </c>
      <c r="BW304">
        <f t="shared" si="51"/>
        <v>-7.5630252100840334</v>
      </c>
    </row>
    <row r="305" spans="1:75" x14ac:dyDescent="0.2">
      <c r="A305" t="s">
        <v>213</v>
      </c>
      <c r="B305" t="s">
        <v>214</v>
      </c>
      <c r="C305" t="s">
        <v>62</v>
      </c>
      <c r="D305" t="s">
        <v>342</v>
      </c>
      <c r="E305" t="s">
        <v>367</v>
      </c>
      <c r="F305" t="s">
        <v>495</v>
      </c>
      <c r="G305">
        <v>5</v>
      </c>
      <c r="H305">
        <v>6.75</v>
      </c>
      <c r="I305">
        <v>12.5</v>
      </c>
      <c r="J305">
        <v>15.2</v>
      </c>
      <c r="K305">
        <v>39.450000000000003</v>
      </c>
      <c r="L305">
        <v>3.85</v>
      </c>
      <c r="M305">
        <v>180</v>
      </c>
      <c r="N305">
        <v>219</v>
      </c>
      <c r="O305">
        <v>39</v>
      </c>
      <c r="P305">
        <v>222</v>
      </c>
      <c r="Q305">
        <v>42</v>
      </c>
      <c r="R305">
        <v>21</v>
      </c>
      <c r="S305">
        <v>89.1</v>
      </c>
      <c r="T305">
        <v>23.333333329999999</v>
      </c>
      <c r="U305">
        <v>1.3698630140000001</v>
      </c>
      <c r="V305">
        <v>21</v>
      </c>
      <c r="W305">
        <v>27</v>
      </c>
      <c r="X305">
        <v>30</v>
      </c>
      <c r="Y305">
        <v>9</v>
      </c>
      <c r="Z305">
        <v>42.857142860000003</v>
      </c>
      <c r="AA305">
        <v>8</v>
      </c>
      <c r="AB305">
        <v>8</v>
      </c>
      <c r="AC305">
        <v>9</v>
      </c>
      <c r="AD305" t="s">
        <v>66</v>
      </c>
      <c r="AE305">
        <v>152</v>
      </c>
      <c r="AF305">
        <v>118</v>
      </c>
      <c r="AG305" t="s">
        <v>66</v>
      </c>
      <c r="AH305">
        <v>89</v>
      </c>
      <c r="AI305">
        <v>95</v>
      </c>
      <c r="AJ305" t="s">
        <v>66</v>
      </c>
      <c r="AK305">
        <v>79</v>
      </c>
      <c r="AL305">
        <v>70</v>
      </c>
      <c r="AM305">
        <v>84</v>
      </c>
      <c r="AN305">
        <v>82.5</v>
      </c>
      <c r="AO305">
        <v>-1.7857142859999999</v>
      </c>
      <c r="AP305">
        <v>-22.368421049999998</v>
      </c>
      <c r="AQ305">
        <v>1.80952381</v>
      </c>
      <c r="AR305">
        <v>1.4303030299999999</v>
      </c>
      <c r="AS305">
        <v>-0.37922077999999998</v>
      </c>
      <c r="AT305">
        <v>0</v>
      </c>
      <c r="AU305" t="s">
        <v>66</v>
      </c>
      <c r="AV305">
        <v>1</v>
      </c>
      <c r="AW305">
        <v>2</v>
      </c>
      <c r="AX305">
        <v>1</v>
      </c>
      <c r="AY305">
        <v>1</v>
      </c>
      <c r="AZ305">
        <v>1</v>
      </c>
      <c r="BA305">
        <v>1</v>
      </c>
      <c r="BB305" t="s">
        <v>66</v>
      </c>
      <c r="BC305">
        <v>54.5</v>
      </c>
      <c r="BD305">
        <v>44.1</v>
      </c>
      <c r="BE305">
        <v>-19.082568810000001</v>
      </c>
      <c r="BF305">
        <v>1</v>
      </c>
      <c r="BG305">
        <v>44.1</v>
      </c>
      <c r="BH305">
        <v>-19.082568810000001</v>
      </c>
      <c r="BI305">
        <v>315</v>
      </c>
      <c r="BJ305">
        <v>34.700000000000003</v>
      </c>
      <c r="BK305">
        <v>14.7</v>
      </c>
      <c r="BL305">
        <f>315-105</f>
        <v>210</v>
      </c>
      <c r="BM305">
        <v>118</v>
      </c>
      <c r="BN305">
        <v>74</v>
      </c>
      <c r="BO305">
        <f t="shared" si="47"/>
        <v>96</v>
      </c>
      <c r="BP305">
        <v>4</v>
      </c>
      <c r="BQ305">
        <v>1</v>
      </c>
      <c r="BS305">
        <v>0</v>
      </c>
      <c r="BT305">
        <f t="shared" si="48"/>
        <v>42.857142857142854</v>
      </c>
      <c r="BU305">
        <f t="shared" si="49"/>
        <v>39.481268011527384</v>
      </c>
      <c r="BV305">
        <f t="shared" si="50"/>
        <v>27.61904761904762</v>
      </c>
      <c r="BW305">
        <f t="shared" si="51"/>
        <v>12.5</v>
      </c>
    </row>
    <row r="306" spans="1:75" x14ac:dyDescent="0.2">
      <c r="A306" t="s">
        <v>299</v>
      </c>
      <c r="B306" t="s">
        <v>300</v>
      </c>
      <c r="C306" t="s">
        <v>62</v>
      </c>
      <c r="D306" t="s">
        <v>342</v>
      </c>
      <c r="E306" t="s">
        <v>381</v>
      </c>
      <c r="F306" t="s">
        <v>582</v>
      </c>
      <c r="G306">
        <v>8.0500000000000007</v>
      </c>
      <c r="H306">
        <v>11.7</v>
      </c>
      <c r="I306">
        <v>17.45</v>
      </c>
      <c r="J306">
        <v>6.05</v>
      </c>
      <c r="K306">
        <v>43.25</v>
      </c>
      <c r="L306">
        <v>3.6211180120000002</v>
      </c>
      <c r="M306">
        <v>221</v>
      </c>
      <c r="N306">
        <v>237</v>
      </c>
      <c r="O306">
        <v>16</v>
      </c>
      <c r="P306">
        <v>263</v>
      </c>
      <c r="Q306">
        <v>42</v>
      </c>
      <c r="R306">
        <v>21</v>
      </c>
      <c r="S306">
        <v>89.1</v>
      </c>
      <c r="T306">
        <v>19.004524889999999</v>
      </c>
      <c r="U306">
        <v>10.970464140000001</v>
      </c>
      <c r="V306">
        <v>17</v>
      </c>
      <c r="W306">
        <v>24</v>
      </c>
      <c r="X306">
        <v>25</v>
      </c>
      <c r="Y306">
        <v>8</v>
      </c>
      <c r="Z306">
        <v>47.058823529999998</v>
      </c>
      <c r="AA306">
        <v>6</v>
      </c>
      <c r="AB306">
        <v>8</v>
      </c>
      <c r="AC306">
        <v>10</v>
      </c>
      <c r="AD306" t="s">
        <v>66</v>
      </c>
      <c r="AE306">
        <v>202</v>
      </c>
      <c r="AF306">
        <v>202</v>
      </c>
      <c r="AG306" t="s">
        <v>66</v>
      </c>
      <c r="AH306">
        <v>90</v>
      </c>
      <c r="AI306">
        <v>111</v>
      </c>
      <c r="AJ306" t="s">
        <v>66</v>
      </c>
      <c r="AK306">
        <v>82</v>
      </c>
      <c r="AL306">
        <v>77</v>
      </c>
      <c r="AM306">
        <v>86</v>
      </c>
      <c r="AN306">
        <v>94</v>
      </c>
      <c r="AO306">
        <v>9.3023255809999998</v>
      </c>
      <c r="AP306">
        <v>0</v>
      </c>
      <c r="AQ306">
        <v>2.348837209</v>
      </c>
      <c r="AR306">
        <v>2.1489361699999998</v>
      </c>
      <c r="AS306">
        <v>-0.199901039</v>
      </c>
      <c r="AT306">
        <v>0</v>
      </c>
      <c r="AU306" t="s">
        <v>66</v>
      </c>
      <c r="AV306">
        <v>1</v>
      </c>
      <c r="AW306">
        <v>2</v>
      </c>
      <c r="AX306">
        <v>1</v>
      </c>
      <c r="AY306">
        <v>1</v>
      </c>
      <c r="AZ306">
        <v>1</v>
      </c>
      <c r="BA306">
        <v>1</v>
      </c>
      <c r="BB306" t="s">
        <v>66</v>
      </c>
      <c r="BC306">
        <v>53.6</v>
      </c>
      <c r="BD306">
        <v>49</v>
      </c>
      <c r="BE306">
        <v>-8.5820895519999993</v>
      </c>
      <c r="BF306">
        <v>1</v>
      </c>
      <c r="BG306">
        <v>49</v>
      </c>
      <c r="BH306">
        <v>-8.5820895519999993</v>
      </c>
      <c r="BI306">
        <v>329</v>
      </c>
      <c r="BJ306">
        <v>29.9</v>
      </c>
      <c r="BK306">
        <v>13.8</v>
      </c>
      <c r="BL306">
        <f>263-70</f>
        <v>193</v>
      </c>
      <c r="BM306">
        <v>90</v>
      </c>
      <c r="BN306">
        <v>66</v>
      </c>
      <c r="BO306">
        <f t="shared" si="47"/>
        <v>78</v>
      </c>
      <c r="BP306">
        <v>4</v>
      </c>
      <c r="BQ306">
        <v>1</v>
      </c>
      <c r="BS306">
        <v>0</v>
      </c>
      <c r="BT306">
        <f t="shared" si="48"/>
        <v>32.826747720364743</v>
      </c>
      <c r="BU306">
        <f t="shared" si="49"/>
        <v>43.143812709030101</v>
      </c>
      <c r="BV306">
        <f t="shared" si="50"/>
        <v>-4.6632124352331603</v>
      </c>
      <c r="BW306">
        <f t="shared" si="51"/>
        <v>-10.256410256410255</v>
      </c>
    </row>
    <row r="307" spans="1:75" x14ac:dyDescent="0.2">
      <c r="A307" t="s">
        <v>60</v>
      </c>
      <c r="B307" t="s">
        <v>61</v>
      </c>
      <c r="C307" t="s">
        <v>62</v>
      </c>
      <c r="D307" t="s">
        <v>342</v>
      </c>
      <c r="E307" t="s">
        <v>381</v>
      </c>
      <c r="F307" t="s">
        <v>382</v>
      </c>
      <c r="G307">
        <v>2.7</v>
      </c>
      <c r="H307">
        <v>5.9</v>
      </c>
      <c r="I307">
        <v>5.75</v>
      </c>
      <c r="J307">
        <v>3.6</v>
      </c>
      <c r="K307">
        <v>17.95</v>
      </c>
      <c r="L307">
        <v>4.3148148150000001</v>
      </c>
      <c r="M307">
        <v>174</v>
      </c>
      <c r="N307">
        <v>305</v>
      </c>
      <c r="O307">
        <v>131</v>
      </c>
      <c r="P307">
        <v>347</v>
      </c>
      <c r="Q307">
        <v>173</v>
      </c>
      <c r="R307">
        <v>86.5</v>
      </c>
      <c r="S307">
        <v>220.1</v>
      </c>
      <c r="T307">
        <v>99.425287359999999</v>
      </c>
      <c r="U307">
        <v>13.7704918</v>
      </c>
      <c r="V307">
        <v>18</v>
      </c>
      <c r="W307">
        <v>32</v>
      </c>
      <c r="X307">
        <v>35</v>
      </c>
      <c r="Y307">
        <v>17</v>
      </c>
      <c r="Z307">
        <v>94.444444439999998</v>
      </c>
      <c r="AA307">
        <v>5</v>
      </c>
      <c r="AB307">
        <v>10</v>
      </c>
      <c r="AC307">
        <v>7</v>
      </c>
      <c r="AD307" t="s">
        <v>66</v>
      </c>
      <c r="AE307">
        <v>283</v>
      </c>
      <c r="AF307">
        <v>313</v>
      </c>
      <c r="AG307" t="s">
        <v>66</v>
      </c>
      <c r="AH307">
        <v>102</v>
      </c>
      <c r="AI307">
        <v>113</v>
      </c>
      <c r="AJ307" t="s">
        <v>66</v>
      </c>
      <c r="AK307">
        <v>81</v>
      </c>
      <c r="AL307">
        <v>87</v>
      </c>
      <c r="AM307">
        <v>91.5</v>
      </c>
      <c r="AN307">
        <v>100</v>
      </c>
      <c r="AO307">
        <v>9.2896174859999991</v>
      </c>
      <c r="AP307">
        <v>10.600706710000001</v>
      </c>
      <c r="AQ307">
        <v>3.0928961749999999</v>
      </c>
      <c r="AR307">
        <v>3.13</v>
      </c>
      <c r="AS307">
        <v>3.7103825E-2</v>
      </c>
      <c r="AT307">
        <v>0</v>
      </c>
      <c r="AU307" t="s">
        <v>66</v>
      </c>
      <c r="AV307">
        <v>1</v>
      </c>
      <c r="AW307">
        <v>3</v>
      </c>
      <c r="AX307">
        <v>0</v>
      </c>
      <c r="AY307">
        <v>1</v>
      </c>
      <c r="AZ307">
        <v>1</v>
      </c>
      <c r="BA307">
        <v>1</v>
      </c>
      <c r="BB307" t="s">
        <v>66</v>
      </c>
      <c r="BC307">
        <v>49.2</v>
      </c>
      <c r="BD307">
        <v>50.4</v>
      </c>
      <c r="BE307">
        <v>2.4390243900000002</v>
      </c>
      <c r="BF307">
        <v>4</v>
      </c>
      <c r="BG307">
        <v>50.4</v>
      </c>
      <c r="BH307">
        <v>2.4390243900000002</v>
      </c>
      <c r="BI307">
        <v>332</v>
      </c>
      <c r="BJ307">
        <v>41.6</v>
      </c>
      <c r="BK307">
        <v>22.7</v>
      </c>
      <c r="BL307">
        <f>332-41</f>
        <v>291</v>
      </c>
      <c r="BM307">
        <v>187</v>
      </c>
      <c r="BN307">
        <v>150</v>
      </c>
      <c r="BO307">
        <f t="shared" si="47"/>
        <v>168.5</v>
      </c>
      <c r="BP307">
        <v>3</v>
      </c>
      <c r="BQ307">
        <v>1</v>
      </c>
      <c r="BS307">
        <v>0</v>
      </c>
      <c r="BT307">
        <f t="shared" si="48"/>
        <v>47.590361445783131</v>
      </c>
      <c r="BU307">
        <f t="shared" si="49"/>
        <v>56.730769230769226</v>
      </c>
      <c r="BV307">
        <f t="shared" si="50"/>
        <v>2.7491408934707904</v>
      </c>
      <c r="BW307">
        <f t="shared" si="51"/>
        <v>45.697329376854597</v>
      </c>
    </row>
    <row r="308" spans="1:75" x14ac:dyDescent="0.2">
      <c r="A308" t="s">
        <v>299</v>
      </c>
      <c r="B308" t="s">
        <v>300</v>
      </c>
      <c r="C308" t="s">
        <v>62</v>
      </c>
      <c r="D308" t="s">
        <v>342</v>
      </c>
      <c r="E308" t="s">
        <v>377</v>
      </c>
      <c r="F308" t="s">
        <v>580</v>
      </c>
      <c r="G308">
        <v>8.0500000000000007</v>
      </c>
      <c r="H308">
        <v>11.7</v>
      </c>
      <c r="I308">
        <v>17.45</v>
      </c>
      <c r="J308">
        <v>6.05</v>
      </c>
      <c r="K308">
        <v>43.25</v>
      </c>
      <c r="L308">
        <v>3.6211180120000002</v>
      </c>
      <c r="M308">
        <v>163</v>
      </c>
      <c r="N308">
        <v>167</v>
      </c>
      <c r="O308">
        <v>4</v>
      </c>
      <c r="P308">
        <v>166</v>
      </c>
      <c r="Q308">
        <v>3</v>
      </c>
      <c r="R308">
        <v>1.5</v>
      </c>
      <c r="S308">
        <v>50.1</v>
      </c>
      <c r="T308">
        <v>1.840490798</v>
      </c>
      <c r="U308">
        <v>-0.59880239499999999</v>
      </c>
      <c r="V308">
        <v>16</v>
      </c>
      <c r="W308">
        <v>20</v>
      </c>
      <c r="X308">
        <v>22</v>
      </c>
      <c r="Y308">
        <v>6</v>
      </c>
      <c r="Z308">
        <v>37.5</v>
      </c>
      <c r="AA308">
        <v>5</v>
      </c>
      <c r="AB308">
        <v>6</v>
      </c>
      <c r="AC308">
        <v>3</v>
      </c>
      <c r="AD308" t="s">
        <v>66</v>
      </c>
      <c r="AE308">
        <v>117</v>
      </c>
      <c r="AF308">
        <v>114</v>
      </c>
      <c r="AG308" t="s">
        <v>66</v>
      </c>
      <c r="AH308">
        <v>75</v>
      </c>
      <c r="AI308">
        <v>37</v>
      </c>
      <c r="AJ308" t="s">
        <v>66</v>
      </c>
      <c r="AK308">
        <v>68</v>
      </c>
      <c r="AL308">
        <v>35</v>
      </c>
      <c r="AM308">
        <v>71.5</v>
      </c>
      <c r="AN308">
        <v>36</v>
      </c>
      <c r="AO308">
        <v>-49.650349650000003</v>
      </c>
      <c r="AP308">
        <v>-2.5641025640000001</v>
      </c>
      <c r="AQ308">
        <v>1.636363636</v>
      </c>
      <c r="AR308">
        <v>3.1666666669999999</v>
      </c>
      <c r="AS308">
        <v>1.5303030310000001</v>
      </c>
      <c r="AT308">
        <v>0</v>
      </c>
      <c r="AU308" t="s">
        <v>66</v>
      </c>
      <c r="AV308">
        <v>2</v>
      </c>
      <c r="AW308">
        <v>2</v>
      </c>
      <c r="AX308">
        <v>1</v>
      </c>
      <c r="AY308">
        <v>1</v>
      </c>
      <c r="AZ308">
        <v>1</v>
      </c>
      <c r="BA308">
        <v>1</v>
      </c>
      <c r="BB308" t="s">
        <v>66</v>
      </c>
      <c r="BC308">
        <v>54.5</v>
      </c>
      <c r="BD308">
        <v>53.5</v>
      </c>
      <c r="BE308">
        <v>-1.8348623850000001</v>
      </c>
      <c r="BF308">
        <v>4</v>
      </c>
      <c r="BG308">
        <v>53.5</v>
      </c>
      <c r="BH308">
        <v>-1.8348623850000001</v>
      </c>
      <c r="BI308">
        <v>203</v>
      </c>
      <c r="BJ308">
        <v>21.1</v>
      </c>
      <c r="BK308">
        <v>8.4</v>
      </c>
      <c r="BL308">
        <f>203-93</f>
        <v>110</v>
      </c>
      <c r="BM308">
        <v>70</v>
      </c>
      <c r="BN308">
        <v>54</v>
      </c>
      <c r="BO308">
        <f t="shared" si="47"/>
        <v>62</v>
      </c>
      <c r="BP308">
        <v>4</v>
      </c>
      <c r="BQ308">
        <v>1</v>
      </c>
      <c r="BS308">
        <v>0</v>
      </c>
      <c r="BT308">
        <f t="shared" si="48"/>
        <v>19.704433497536947</v>
      </c>
      <c r="BU308">
        <f t="shared" si="49"/>
        <v>24.170616113744082</v>
      </c>
      <c r="BV308">
        <f t="shared" si="50"/>
        <v>-6.3636363636363633</v>
      </c>
      <c r="BW308">
        <f t="shared" si="51"/>
        <v>-15.32258064516129</v>
      </c>
    </row>
    <row r="309" spans="1:75" x14ac:dyDescent="0.2">
      <c r="A309" t="s">
        <v>127</v>
      </c>
      <c r="B309" t="s">
        <v>128</v>
      </c>
      <c r="C309" t="s">
        <v>62</v>
      </c>
      <c r="D309" t="s">
        <v>342</v>
      </c>
      <c r="E309" t="s">
        <v>365</v>
      </c>
      <c r="F309" t="s">
        <v>414</v>
      </c>
      <c r="G309">
        <v>3.85</v>
      </c>
      <c r="H309">
        <v>7.5</v>
      </c>
      <c r="I309">
        <v>4.45</v>
      </c>
      <c r="J309">
        <v>0.95</v>
      </c>
      <c r="K309">
        <v>16.75</v>
      </c>
      <c r="L309">
        <v>3.1038961039999999</v>
      </c>
      <c r="M309">
        <v>208</v>
      </c>
      <c r="N309">
        <v>290</v>
      </c>
      <c r="O309">
        <v>82</v>
      </c>
      <c r="P309">
        <v>359</v>
      </c>
      <c r="Q309">
        <v>151</v>
      </c>
      <c r="R309">
        <v>75.5</v>
      </c>
      <c r="S309">
        <v>198.1</v>
      </c>
      <c r="T309">
        <v>72.596153849999993</v>
      </c>
      <c r="U309">
        <v>23.79310345</v>
      </c>
      <c r="V309">
        <v>23</v>
      </c>
      <c r="W309">
        <v>47</v>
      </c>
      <c r="X309">
        <v>43</v>
      </c>
      <c r="Y309">
        <v>20</v>
      </c>
      <c r="Z309">
        <v>86.956521739999999</v>
      </c>
      <c r="AA309">
        <v>8</v>
      </c>
      <c r="AB309">
        <v>9</v>
      </c>
      <c r="AC309">
        <v>14</v>
      </c>
      <c r="AD309" t="s">
        <v>66</v>
      </c>
      <c r="AE309">
        <v>271</v>
      </c>
      <c r="AF309">
        <v>319</v>
      </c>
      <c r="AG309" t="s">
        <v>66</v>
      </c>
      <c r="AH309">
        <v>189</v>
      </c>
      <c r="AI309">
        <v>210</v>
      </c>
      <c r="AJ309" t="s">
        <v>66</v>
      </c>
      <c r="AK309">
        <v>147</v>
      </c>
      <c r="AL309">
        <v>145</v>
      </c>
      <c r="AM309">
        <v>168</v>
      </c>
      <c r="AN309">
        <v>177.5</v>
      </c>
      <c r="AO309">
        <v>5.654761905</v>
      </c>
      <c r="AP309">
        <v>17.71217712</v>
      </c>
      <c r="AQ309">
        <v>1.6130952380000001</v>
      </c>
      <c r="AR309">
        <v>1.797183099</v>
      </c>
      <c r="AS309">
        <v>0.18408786099999999</v>
      </c>
      <c r="AT309">
        <v>0</v>
      </c>
      <c r="AU309" t="s">
        <v>66</v>
      </c>
      <c r="AV309">
        <v>2</v>
      </c>
      <c r="AW309">
        <v>2</v>
      </c>
      <c r="AX309">
        <v>0</v>
      </c>
      <c r="AY309">
        <v>1</v>
      </c>
      <c r="AZ309">
        <v>1</v>
      </c>
      <c r="BA309">
        <v>1</v>
      </c>
      <c r="BB309" t="s">
        <v>66</v>
      </c>
      <c r="BC309">
        <v>61.5</v>
      </c>
      <c r="BD309">
        <v>55.3</v>
      </c>
      <c r="BE309">
        <v>-10.08130081</v>
      </c>
      <c r="BF309">
        <v>15</v>
      </c>
      <c r="BG309">
        <v>55.3</v>
      </c>
      <c r="BH309">
        <v>-10.08130081</v>
      </c>
      <c r="BI309">
        <v>500</v>
      </c>
      <c r="BJ309">
        <v>55</v>
      </c>
      <c r="BK309">
        <v>28.3</v>
      </c>
      <c r="BL309">
        <v>452</v>
      </c>
      <c r="BM309">
        <v>178</v>
      </c>
      <c r="BN309">
        <v>138</v>
      </c>
      <c r="BO309">
        <f t="shared" si="47"/>
        <v>158</v>
      </c>
      <c r="BP309">
        <v>4</v>
      </c>
      <c r="BQ309">
        <v>1</v>
      </c>
      <c r="BS309">
        <v>0</v>
      </c>
      <c r="BT309">
        <f t="shared" si="48"/>
        <v>58.4</v>
      </c>
      <c r="BU309">
        <f t="shared" si="49"/>
        <v>58.18181818181818</v>
      </c>
      <c r="BV309">
        <f t="shared" si="50"/>
        <v>40.044247787610622</v>
      </c>
      <c r="BW309">
        <f t="shared" si="51"/>
        <v>-6.3291139240506329</v>
      </c>
    </row>
    <row r="310" spans="1:75" x14ac:dyDescent="0.2">
      <c r="A310" t="s">
        <v>170</v>
      </c>
      <c r="B310" t="s">
        <v>171</v>
      </c>
      <c r="C310" t="s">
        <v>62</v>
      </c>
      <c r="D310" t="s">
        <v>342</v>
      </c>
      <c r="E310" t="s">
        <v>369</v>
      </c>
      <c r="F310" t="s">
        <v>456</v>
      </c>
      <c r="G310">
        <v>2.65</v>
      </c>
      <c r="H310">
        <v>15.9</v>
      </c>
      <c r="I310">
        <v>15.75</v>
      </c>
      <c r="J310">
        <v>1.4</v>
      </c>
      <c r="K310">
        <v>35.700000000000003</v>
      </c>
      <c r="L310">
        <v>11.943396229999999</v>
      </c>
      <c r="M310">
        <v>41</v>
      </c>
      <c r="N310">
        <v>38</v>
      </c>
      <c r="O310">
        <v>-3</v>
      </c>
      <c r="P310" t="s">
        <v>66</v>
      </c>
      <c r="Q310" t="s">
        <v>66</v>
      </c>
      <c r="R310" t="s">
        <v>66</v>
      </c>
      <c r="S310" t="s">
        <v>66</v>
      </c>
      <c r="T310" t="s">
        <v>66</v>
      </c>
      <c r="U310" t="s">
        <v>66</v>
      </c>
      <c r="V310">
        <v>3</v>
      </c>
      <c r="W310">
        <v>6</v>
      </c>
      <c r="X310" t="s">
        <v>66</v>
      </c>
      <c r="Y310" t="s">
        <v>66</v>
      </c>
      <c r="Z310" t="s">
        <v>66</v>
      </c>
      <c r="AA310" t="s">
        <v>66</v>
      </c>
      <c r="AB310" t="s">
        <v>66</v>
      </c>
      <c r="AC310" t="s">
        <v>66</v>
      </c>
      <c r="AD310" t="s">
        <v>66</v>
      </c>
      <c r="AE310">
        <v>1</v>
      </c>
      <c r="AF310" t="s">
        <v>66</v>
      </c>
      <c r="AG310" t="s">
        <v>66</v>
      </c>
      <c r="AH310">
        <v>1</v>
      </c>
      <c r="AI310" t="s">
        <v>66</v>
      </c>
      <c r="AJ310" t="s">
        <v>66</v>
      </c>
      <c r="AK310">
        <v>1</v>
      </c>
      <c r="AL310" t="s">
        <v>66</v>
      </c>
      <c r="AM310">
        <v>1</v>
      </c>
      <c r="AN310" t="s">
        <v>66</v>
      </c>
      <c r="AO310" t="s">
        <v>66</v>
      </c>
      <c r="AP310" t="s">
        <v>66</v>
      </c>
      <c r="AQ310">
        <v>1</v>
      </c>
      <c r="AR310" t="s">
        <v>66</v>
      </c>
      <c r="AS310" t="s">
        <v>66</v>
      </c>
      <c r="AT310">
        <v>0</v>
      </c>
      <c r="AU310" t="s">
        <v>66</v>
      </c>
      <c r="AV310">
        <v>0</v>
      </c>
      <c r="AW310" t="s">
        <v>66</v>
      </c>
      <c r="AX310">
        <v>0</v>
      </c>
      <c r="AY310">
        <v>1</v>
      </c>
      <c r="AZ310">
        <v>1</v>
      </c>
      <c r="BA310">
        <v>0</v>
      </c>
      <c r="BB310" t="s">
        <v>66</v>
      </c>
      <c r="BC310">
        <v>17</v>
      </c>
      <c r="BD310" t="s">
        <v>66</v>
      </c>
      <c r="BE310" t="s">
        <v>66</v>
      </c>
      <c r="BF310" t="s">
        <v>66</v>
      </c>
      <c r="BG310" t="s">
        <v>66</v>
      </c>
      <c r="BH310" t="s">
        <v>66</v>
      </c>
      <c r="BI310">
        <v>40</v>
      </c>
      <c r="BJ310">
        <v>6.2</v>
      </c>
      <c r="BK310" t="s">
        <v>66</v>
      </c>
      <c r="BL310">
        <v>14</v>
      </c>
      <c r="BM310">
        <v>9</v>
      </c>
      <c r="BN310">
        <v>8</v>
      </c>
      <c r="BO310">
        <f t="shared" si="47"/>
        <v>8.5</v>
      </c>
      <c r="BP310">
        <v>4</v>
      </c>
      <c r="BQ310">
        <v>1</v>
      </c>
      <c r="BS310">
        <v>0</v>
      </c>
      <c r="BT310">
        <f t="shared" si="48"/>
        <v>-2.5</v>
      </c>
      <c r="BU310">
        <f t="shared" si="49"/>
        <v>51.612903225806448</v>
      </c>
      <c r="BV310">
        <f t="shared" si="50"/>
        <v>92.857142857142861</v>
      </c>
      <c r="BW310">
        <f t="shared" si="51"/>
        <v>88.235294117647058</v>
      </c>
    </row>
    <row r="311" spans="1:75" x14ac:dyDescent="0.2">
      <c r="A311" t="s">
        <v>213</v>
      </c>
      <c r="B311" t="s">
        <v>214</v>
      </c>
      <c r="C311" t="s">
        <v>62</v>
      </c>
      <c r="D311" t="s">
        <v>342</v>
      </c>
      <c r="E311" t="s">
        <v>363</v>
      </c>
      <c r="F311" t="s">
        <v>493</v>
      </c>
      <c r="G311">
        <v>5</v>
      </c>
      <c r="H311">
        <v>6.75</v>
      </c>
      <c r="I311">
        <v>12.5</v>
      </c>
      <c r="J311">
        <v>15.2</v>
      </c>
      <c r="K311">
        <v>39.450000000000003</v>
      </c>
      <c r="L311">
        <v>3.85</v>
      </c>
      <c r="M311">
        <v>49</v>
      </c>
      <c r="N311">
        <v>50</v>
      </c>
      <c r="O311">
        <v>1</v>
      </c>
      <c r="P311" t="s">
        <v>66</v>
      </c>
      <c r="Q311" t="s">
        <v>66</v>
      </c>
      <c r="R311" t="s">
        <v>66</v>
      </c>
      <c r="S311" t="s">
        <v>66</v>
      </c>
      <c r="T311" t="s">
        <v>66</v>
      </c>
      <c r="U311" t="s">
        <v>66</v>
      </c>
      <c r="V311">
        <v>7</v>
      </c>
      <c r="W311">
        <v>5</v>
      </c>
      <c r="X311" t="s">
        <v>66</v>
      </c>
      <c r="Y311" t="s">
        <v>66</v>
      </c>
      <c r="Z311" t="s">
        <v>66</v>
      </c>
      <c r="AA311" t="s">
        <v>66</v>
      </c>
      <c r="AB311" t="s">
        <v>66</v>
      </c>
      <c r="AC311" t="s">
        <v>66</v>
      </c>
      <c r="AD311" t="s">
        <v>66</v>
      </c>
      <c r="AE311" t="s">
        <v>66</v>
      </c>
      <c r="AF311" t="s">
        <v>66</v>
      </c>
      <c r="AG311" t="s">
        <v>66</v>
      </c>
      <c r="AH311" t="s">
        <v>66</v>
      </c>
      <c r="AI311" t="s">
        <v>66</v>
      </c>
      <c r="AJ311" t="s">
        <v>66</v>
      </c>
      <c r="AK311" t="s">
        <v>66</v>
      </c>
      <c r="AL311" t="s">
        <v>66</v>
      </c>
      <c r="AM311" t="s">
        <v>66</v>
      </c>
      <c r="AN311" t="s">
        <v>66</v>
      </c>
      <c r="AO311" t="s">
        <v>66</v>
      </c>
      <c r="AP311" t="s">
        <v>66</v>
      </c>
      <c r="AQ311" t="s">
        <v>66</v>
      </c>
      <c r="AR311" t="s">
        <v>66</v>
      </c>
      <c r="AS311" t="s">
        <v>66</v>
      </c>
      <c r="AT311" t="s">
        <v>66</v>
      </c>
      <c r="AU311" t="s">
        <v>66</v>
      </c>
      <c r="AV311" t="s">
        <v>66</v>
      </c>
      <c r="AW311" t="s">
        <v>66</v>
      </c>
      <c r="AX311">
        <v>0</v>
      </c>
      <c r="AY311">
        <v>1</v>
      </c>
      <c r="AZ311">
        <v>0</v>
      </c>
      <c r="BA311">
        <v>0</v>
      </c>
      <c r="BB311" t="s">
        <v>66</v>
      </c>
      <c r="BC311" t="s">
        <v>66</v>
      </c>
      <c r="BD311" t="s">
        <v>66</v>
      </c>
      <c r="BE311" t="s">
        <v>66</v>
      </c>
      <c r="BF311" t="s">
        <v>66</v>
      </c>
      <c r="BG311" t="s">
        <v>66</v>
      </c>
      <c r="BH311" t="s">
        <v>66</v>
      </c>
      <c r="BI311" t="s">
        <v>66</v>
      </c>
      <c r="BJ311" t="s">
        <v>66</v>
      </c>
      <c r="BK311" t="s">
        <v>66</v>
      </c>
      <c r="BL311" t="s">
        <v>66</v>
      </c>
      <c r="BM311" t="s">
        <v>66</v>
      </c>
      <c r="BN311" t="s">
        <v>66</v>
      </c>
      <c r="BO311" t="s">
        <v>66</v>
      </c>
      <c r="BP311" t="s">
        <v>66</v>
      </c>
      <c r="BQ311">
        <v>0</v>
      </c>
      <c r="BS311">
        <v>0</v>
      </c>
      <c r="BT311" t="s">
        <v>66</v>
      </c>
      <c r="BU311" t="s">
        <v>66</v>
      </c>
      <c r="BV311" t="s">
        <v>66</v>
      </c>
      <c r="BW311" t="s">
        <v>66</v>
      </c>
    </row>
    <row r="312" spans="1:75" x14ac:dyDescent="0.2">
      <c r="A312" t="s">
        <v>213</v>
      </c>
      <c r="B312" t="s">
        <v>214</v>
      </c>
      <c r="C312" t="s">
        <v>62</v>
      </c>
      <c r="D312" t="s">
        <v>342</v>
      </c>
      <c r="E312" t="s">
        <v>375</v>
      </c>
      <c r="F312" t="s">
        <v>499</v>
      </c>
      <c r="G312">
        <v>5</v>
      </c>
      <c r="H312">
        <v>6.75</v>
      </c>
      <c r="I312">
        <v>12.5</v>
      </c>
      <c r="J312">
        <v>15.2</v>
      </c>
      <c r="K312">
        <v>39.450000000000003</v>
      </c>
      <c r="L312">
        <v>3.85</v>
      </c>
      <c r="M312">
        <v>58</v>
      </c>
      <c r="N312" t="s">
        <v>66</v>
      </c>
      <c r="O312" t="s">
        <v>66</v>
      </c>
      <c r="P312" t="s">
        <v>66</v>
      </c>
      <c r="Q312" t="s">
        <v>66</v>
      </c>
      <c r="R312" t="s">
        <v>66</v>
      </c>
      <c r="S312" t="s">
        <v>66</v>
      </c>
      <c r="T312" t="s">
        <v>66</v>
      </c>
      <c r="U312" t="s">
        <v>66</v>
      </c>
      <c r="V312">
        <v>7</v>
      </c>
      <c r="W312" t="s">
        <v>66</v>
      </c>
      <c r="X312" t="s">
        <v>66</v>
      </c>
      <c r="Y312" t="s">
        <v>66</v>
      </c>
      <c r="Z312" t="s">
        <v>66</v>
      </c>
      <c r="AA312" t="s">
        <v>66</v>
      </c>
      <c r="AB312" t="s">
        <v>66</v>
      </c>
      <c r="AC312" t="s">
        <v>66</v>
      </c>
      <c r="AD312" t="s">
        <v>66</v>
      </c>
      <c r="AE312" t="s">
        <v>66</v>
      </c>
      <c r="AF312" t="s">
        <v>66</v>
      </c>
      <c r="AG312" t="s">
        <v>66</v>
      </c>
      <c r="AH312" t="s">
        <v>66</v>
      </c>
      <c r="AI312" t="s">
        <v>66</v>
      </c>
      <c r="AJ312" t="s">
        <v>66</v>
      </c>
      <c r="AK312" t="s">
        <v>66</v>
      </c>
      <c r="AL312" t="s">
        <v>66</v>
      </c>
      <c r="AM312" t="s">
        <v>66</v>
      </c>
      <c r="AN312" t="s">
        <v>66</v>
      </c>
      <c r="AO312" t="s">
        <v>66</v>
      </c>
      <c r="AP312" t="s">
        <v>66</v>
      </c>
      <c r="AQ312" t="s">
        <v>66</v>
      </c>
      <c r="AR312" t="s">
        <v>66</v>
      </c>
      <c r="AS312" t="s">
        <v>66</v>
      </c>
      <c r="AT312" t="s">
        <v>66</v>
      </c>
      <c r="AU312" t="s">
        <v>66</v>
      </c>
      <c r="AV312" t="s">
        <v>66</v>
      </c>
      <c r="AW312" t="s">
        <v>66</v>
      </c>
      <c r="AX312">
        <v>0</v>
      </c>
      <c r="AY312">
        <v>1</v>
      </c>
      <c r="AZ312">
        <v>0</v>
      </c>
      <c r="BA312">
        <v>0</v>
      </c>
      <c r="BB312" t="s">
        <v>66</v>
      </c>
      <c r="BC312" t="s">
        <v>66</v>
      </c>
      <c r="BD312" t="s">
        <v>66</v>
      </c>
      <c r="BE312" t="s">
        <v>66</v>
      </c>
      <c r="BF312" t="s">
        <v>66</v>
      </c>
      <c r="BG312" t="s">
        <v>66</v>
      </c>
      <c r="BH312" t="s">
        <v>66</v>
      </c>
      <c r="BI312" t="s">
        <v>66</v>
      </c>
      <c r="BJ312" t="s">
        <v>66</v>
      </c>
      <c r="BK312" t="s">
        <v>66</v>
      </c>
      <c r="BL312" t="s">
        <v>66</v>
      </c>
      <c r="BM312" t="s">
        <v>66</v>
      </c>
      <c r="BN312" t="s">
        <v>66</v>
      </c>
      <c r="BO312" t="s">
        <v>66</v>
      </c>
      <c r="BP312" t="s">
        <v>66</v>
      </c>
      <c r="BQ312">
        <v>0</v>
      </c>
      <c r="BS312">
        <v>0</v>
      </c>
      <c r="BT312" t="s">
        <v>66</v>
      </c>
      <c r="BU312" t="s">
        <v>66</v>
      </c>
      <c r="BV312" t="s">
        <v>66</v>
      </c>
      <c r="BW312" t="s">
        <v>66</v>
      </c>
    </row>
    <row r="313" spans="1:75" x14ac:dyDescent="0.2">
      <c r="A313" t="s">
        <v>213</v>
      </c>
      <c r="B313" t="s">
        <v>214</v>
      </c>
      <c r="C313" t="s">
        <v>62</v>
      </c>
      <c r="D313" t="s">
        <v>342</v>
      </c>
      <c r="E313" t="s">
        <v>371</v>
      </c>
      <c r="F313" t="s">
        <v>497</v>
      </c>
      <c r="G313">
        <v>5</v>
      </c>
      <c r="H313">
        <v>6.75</v>
      </c>
      <c r="I313">
        <v>12.5</v>
      </c>
      <c r="J313">
        <v>15.2</v>
      </c>
      <c r="K313">
        <v>39.450000000000003</v>
      </c>
      <c r="L313">
        <v>3.85</v>
      </c>
      <c r="M313">
        <v>51</v>
      </c>
      <c r="N313">
        <v>47</v>
      </c>
      <c r="O313">
        <v>-4</v>
      </c>
      <c r="P313" t="s">
        <v>66</v>
      </c>
      <c r="Q313" t="s">
        <v>66</v>
      </c>
      <c r="R313" t="s">
        <v>66</v>
      </c>
      <c r="S313" t="s">
        <v>66</v>
      </c>
      <c r="T313" t="s">
        <v>66</v>
      </c>
      <c r="U313" t="s">
        <v>66</v>
      </c>
      <c r="V313">
        <v>7</v>
      </c>
      <c r="W313">
        <v>7</v>
      </c>
      <c r="X313" t="s">
        <v>66</v>
      </c>
      <c r="Y313" t="s">
        <v>66</v>
      </c>
      <c r="Z313" t="s">
        <v>66</v>
      </c>
      <c r="AA313" t="s">
        <v>66</v>
      </c>
      <c r="AB313" t="s">
        <v>66</v>
      </c>
      <c r="AC313" t="s">
        <v>66</v>
      </c>
      <c r="AD313" t="s">
        <v>66</v>
      </c>
      <c r="AE313">
        <v>45</v>
      </c>
      <c r="AF313" t="s">
        <v>66</v>
      </c>
      <c r="AG313" t="s">
        <v>66</v>
      </c>
      <c r="AH313">
        <v>28</v>
      </c>
      <c r="AI313" t="s">
        <v>66</v>
      </c>
      <c r="AJ313" t="s">
        <v>66</v>
      </c>
      <c r="AK313">
        <v>15</v>
      </c>
      <c r="AL313" t="s">
        <v>66</v>
      </c>
      <c r="AM313">
        <v>21.5</v>
      </c>
      <c r="AN313" t="s">
        <v>66</v>
      </c>
      <c r="AO313" t="s">
        <v>66</v>
      </c>
      <c r="AP313" t="s">
        <v>66</v>
      </c>
      <c r="AQ313">
        <v>2.0930232559999999</v>
      </c>
      <c r="AR313" t="s">
        <v>66</v>
      </c>
      <c r="AS313" t="s">
        <v>66</v>
      </c>
      <c r="AT313">
        <v>0</v>
      </c>
      <c r="AU313" t="s">
        <v>66</v>
      </c>
      <c r="AV313">
        <v>0</v>
      </c>
      <c r="AW313" t="s">
        <v>66</v>
      </c>
      <c r="AX313">
        <v>0</v>
      </c>
      <c r="AY313">
        <v>1</v>
      </c>
      <c r="AZ313">
        <v>1</v>
      </c>
      <c r="BA313">
        <v>0</v>
      </c>
      <c r="BB313" t="s">
        <v>66</v>
      </c>
      <c r="BC313">
        <v>23</v>
      </c>
      <c r="BD313" t="s">
        <v>66</v>
      </c>
      <c r="BE313" t="s">
        <v>66</v>
      </c>
      <c r="BF313" t="s">
        <v>66</v>
      </c>
      <c r="BG313" t="s">
        <v>66</v>
      </c>
      <c r="BH313" t="s">
        <v>66</v>
      </c>
      <c r="BI313" t="s">
        <v>66</v>
      </c>
      <c r="BJ313" t="s">
        <v>66</v>
      </c>
      <c r="BK313" t="s">
        <v>66</v>
      </c>
      <c r="BL313" t="s">
        <v>66</v>
      </c>
      <c r="BM313" t="s">
        <v>66</v>
      </c>
      <c r="BN313" t="s">
        <v>66</v>
      </c>
      <c r="BO313" t="s">
        <v>66</v>
      </c>
      <c r="BP313" t="s">
        <v>66</v>
      </c>
      <c r="BQ313">
        <v>0</v>
      </c>
      <c r="BS313">
        <v>0</v>
      </c>
      <c r="BT313" t="s">
        <v>66</v>
      </c>
      <c r="BU313" t="s">
        <v>66</v>
      </c>
      <c r="BV313" t="s">
        <v>66</v>
      </c>
      <c r="BW313" t="s">
        <v>66</v>
      </c>
    </row>
    <row r="314" spans="1:75" x14ac:dyDescent="0.2">
      <c r="A314" t="s">
        <v>299</v>
      </c>
      <c r="B314" t="s">
        <v>300</v>
      </c>
      <c r="C314" t="s">
        <v>62</v>
      </c>
      <c r="D314" t="s">
        <v>342</v>
      </c>
      <c r="E314" t="s">
        <v>351</v>
      </c>
      <c r="F314" t="s">
        <v>567</v>
      </c>
      <c r="G314">
        <v>8.0500000000000007</v>
      </c>
      <c r="H314">
        <v>11.7</v>
      </c>
      <c r="I314">
        <v>17.45</v>
      </c>
      <c r="J314">
        <v>6.05</v>
      </c>
      <c r="K314">
        <v>43.25</v>
      </c>
      <c r="L314">
        <v>3.6211180120000002</v>
      </c>
      <c r="M314">
        <v>64</v>
      </c>
      <c r="N314">
        <v>69</v>
      </c>
      <c r="O314">
        <v>5</v>
      </c>
      <c r="P314" t="s">
        <v>66</v>
      </c>
      <c r="Q314" t="s">
        <v>66</v>
      </c>
      <c r="R314" t="s">
        <v>66</v>
      </c>
      <c r="S314" t="s">
        <v>66</v>
      </c>
      <c r="T314" t="s">
        <v>66</v>
      </c>
      <c r="U314" t="s">
        <v>66</v>
      </c>
      <c r="V314">
        <v>6</v>
      </c>
      <c r="W314">
        <v>7</v>
      </c>
      <c r="X314" t="s">
        <v>66</v>
      </c>
      <c r="Y314" t="s">
        <v>66</v>
      </c>
      <c r="Z314" t="s">
        <v>66</v>
      </c>
      <c r="AA314" t="s">
        <v>66</v>
      </c>
      <c r="AB314" t="s">
        <v>66</v>
      </c>
      <c r="AC314" t="s">
        <v>66</v>
      </c>
      <c r="AD314" t="s">
        <v>66</v>
      </c>
      <c r="AE314" t="s">
        <v>66</v>
      </c>
      <c r="AF314" t="s">
        <v>66</v>
      </c>
      <c r="AG314" t="s">
        <v>66</v>
      </c>
      <c r="AH314" t="s">
        <v>66</v>
      </c>
      <c r="AI314" t="s">
        <v>66</v>
      </c>
      <c r="AJ314" t="s">
        <v>66</v>
      </c>
      <c r="AK314" t="s">
        <v>66</v>
      </c>
      <c r="AL314" t="s">
        <v>66</v>
      </c>
      <c r="AM314" t="s">
        <v>66</v>
      </c>
      <c r="AN314" t="s">
        <v>66</v>
      </c>
      <c r="AO314" t="s">
        <v>66</v>
      </c>
      <c r="AP314" t="s">
        <v>66</v>
      </c>
      <c r="AQ314" t="s">
        <v>66</v>
      </c>
      <c r="AR314" t="s">
        <v>66</v>
      </c>
      <c r="AS314" t="s">
        <v>66</v>
      </c>
      <c r="AT314" t="s">
        <v>66</v>
      </c>
      <c r="AU314" t="s">
        <v>66</v>
      </c>
      <c r="AV314" t="s">
        <v>66</v>
      </c>
      <c r="AW314" t="s">
        <v>66</v>
      </c>
      <c r="AX314">
        <v>1</v>
      </c>
      <c r="AY314">
        <v>1</v>
      </c>
      <c r="AZ314">
        <v>0</v>
      </c>
      <c r="BA314">
        <v>0</v>
      </c>
      <c r="BB314" t="s">
        <v>66</v>
      </c>
      <c r="BC314" t="s">
        <v>66</v>
      </c>
      <c r="BD314" t="s">
        <v>66</v>
      </c>
      <c r="BE314" t="s">
        <v>66</v>
      </c>
      <c r="BF314" t="s">
        <v>66</v>
      </c>
      <c r="BG314" t="s">
        <v>66</v>
      </c>
      <c r="BH314" t="s">
        <v>66</v>
      </c>
      <c r="BI314" t="s">
        <v>66</v>
      </c>
      <c r="BJ314" t="s">
        <v>66</v>
      </c>
      <c r="BK314" t="s">
        <v>66</v>
      </c>
      <c r="BL314" t="s">
        <v>66</v>
      </c>
      <c r="BM314" t="s">
        <v>66</v>
      </c>
      <c r="BN314" t="s">
        <v>66</v>
      </c>
      <c r="BO314" t="s">
        <v>66</v>
      </c>
      <c r="BP314" t="s">
        <v>66</v>
      </c>
      <c r="BQ314">
        <v>0</v>
      </c>
      <c r="BS314">
        <v>0</v>
      </c>
      <c r="BT314" t="s">
        <v>66</v>
      </c>
      <c r="BU314" t="s">
        <v>66</v>
      </c>
      <c r="BV314" t="s">
        <v>66</v>
      </c>
      <c r="BW314" t="s">
        <v>66</v>
      </c>
    </row>
    <row r="315" spans="1:75" x14ac:dyDescent="0.2">
      <c r="A315" t="s">
        <v>60</v>
      </c>
      <c r="B315" t="s">
        <v>105</v>
      </c>
      <c r="C315" t="s">
        <v>106</v>
      </c>
      <c r="D315" t="s">
        <v>342</v>
      </c>
      <c r="E315" t="s">
        <v>343</v>
      </c>
      <c r="F315" t="s">
        <v>383</v>
      </c>
      <c r="G315">
        <v>1.25</v>
      </c>
      <c r="H315">
        <v>2.85</v>
      </c>
      <c r="I315">
        <v>3.35</v>
      </c>
      <c r="J315">
        <v>2.4500000000000002</v>
      </c>
      <c r="K315">
        <v>9.9</v>
      </c>
      <c r="L315">
        <v>4.96</v>
      </c>
      <c r="M315">
        <v>55</v>
      </c>
      <c r="N315">
        <v>81</v>
      </c>
      <c r="O315">
        <v>26</v>
      </c>
      <c r="P315">
        <v>108</v>
      </c>
      <c r="Q315">
        <v>53</v>
      </c>
      <c r="R315">
        <v>26.5</v>
      </c>
      <c r="S315">
        <v>100.1</v>
      </c>
      <c r="T315">
        <v>96.363636360000001</v>
      </c>
      <c r="U315">
        <v>33.333333330000002</v>
      </c>
      <c r="V315">
        <v>6</v>
      </c>
      <c r="W315">
        <v>10</v>
      </c>
      <c r="X315">
        <v>17</v>
      </c>
      <c r="Y315">
        <v>11</v>
      </c>
      <c r="Z315">
        <v>183.33333329999999</v>
      </c>
      <c r="AA315" t="s">
        <v>66</v>
      </c>
      <c r="AB315" t="s">
        <v>66</v>
      </c>
      <c r="AC315" t="s">
        <v>66</v>
      </c>
      <c r="AD315" t="s">
        <v>66</v>
      </c>
      <c r="AE315">
        <v>59</v>
      </c>
      <c r="AF315">
        <v>86</v>
      </c>
      <c r="AG315" t="s">
        <v>66</v>
      </c>
      <c r="AH315">
        <v>36</v>
      </c>
      <c r="AI315">
        <v>52</v>
      </c>
      <c r="AJ315" t="s">
        <v>66</v>
      </c>
      <c r="AK315">
        <v>34</v>
      </c>
      <c r="AL315">
        <v>46</v>
      </c>
      <c r="AM315">
        <v>35</v>
      </c>
      <c r="AN315">
        <v>49</v>
      </c>
      <c r="AO315">
        <v>40</v>
      </c>
      <c r="AP315">
        <v>45.762711860000003</v>
      </c>
      <c r="AQ315">
        <v>1.6857142860000001</v>
      </c>
      <c r="AR315">
        <v>1.755102041</v>
      </c>
      <c r="AS315">
        <v>6.9387754999999995E-2</v>
      </c>
      <c r="AT315">
        <v>0</v>
      </c>
      <c r="AU315" t="s">
        <v>66</v>
      </c>
      <c r="AV315">
        <v>0</v>
      </c>
      <c r="AW315">
        <v>1</v>
      </c>
      <c r="AX315">
        <v>0</v>
      </c>
      <c r="AY315">
        <v>1</v>
      </c>
      <c r="AZ315">
        <v>1</v>
      </c>
      <c r="BA315">
        <v>1</v>
      </c>
      <c r="BB315" t="s">
        <v>66</v>
      </c>
      <c r="BC315">
        <v>45.8</v>
      </c>
      <c r="BD315">
        <v>57.7</v>
      </c>
      <c r="BE315">
        <v>25.982532750000001</v>
      </c>
      <c r="BF315">
        <v>0</v>
      </c>
      <c r="BG315">
        <v>57.7</v>
      </c>
      <c r="BH315">
        <v>25.982532750000001</v>
      </c>
      <c r="BI315">
        <v>160</v>
      </c>
      <c r="BJ315">
        <v>16.3</v>
      </c>
      <c r="BK315">
        <v>3.6</v>
      </c>
      <c r="BL315">
        <v>141</v>
      </c>
      <c r="BM315">
        <v>55</v>
      </c>
      <c r="BN315">
        <v>46</v>
      </c>
      <c r="BO315">
        <f t="shared" ref="BO315:BO346" si="52">AVERAGE(BM315,BN315)</f>
        <v>50.5</v>
      </c>
      <c r="BP315">
        <v>4</v>
      </c>
      <c r="BQ315">
        <v>1</v>
      </c>
      <c r="BS315">
        <v>0</v>
      </c>
      <c r="BT315">
        <f t="shared" ref="BT315:BT346" si="53">(BI315-M315)/BI315*100</f>
        <v>65.625</v>
      </c>
      <c r="BU315">
        <f t="shared" ref="BU315:BU346" si="54">(BJ315-V315)/BJ315*100</f>
        <v>63.190184049079754</v>
      </c>
      <c r="BV315">
        <f t="shared" ref="BV315:BV346" si="55">(BL315-AE315)/BL315*100</f>
        <v>58.156028368794324</v>
      </c>
      <c r="BW315">
        <f t="shared" ref="BW315:BW346" si="56">(BO315-AM315)/BO315*100</f>
        <v>30.693069306930692</v>
      </c>
    </row>
    <row r="316" spans="1:75" x14ac:dyDescent="0.2">
      <c r="A316" t="s">
        <v>60</v>
      </c>
      <c r="B316" t="s">
        <v>105</v>
      </c>
      <c r="C316" t="s">
        <v>106</v>
      </c>
      <c r="D316" t="s">
        <v>342</v>
      </c>
      <c r="E316" t="s">
        <v>347</v>
      </c>
      <c r="F316" t="s">
        <v>385</v>
      </c>
      <c r="G316">
        <v>1.25</v>
      </c>
      <c r="H316">
        <v>2.85</v>
      </c>
      <c r="I316">
        <v>3.35</v>
      </c>
      <c r="J316">
        <v>2.4500000000000002</v>
      </c>
      <c r="K316">
        <v>9.9</v>
      </c>
      <c r="L316">
        <v>4.96</v>
      </c>
      <c r="M316">
        <v>60</v>
      </c>
      <c r="N316">
        <v>98</v>
      </c>
      <c r="O316">
        <v>38</v>
      </c>
      <c r="P316">
        <v>114</v>
      </c>
      <c r="Q316">
        <v>54</v>
      </c>
      <c r="R316">
        <v>27</v>
      </c>
      <c r="S316">
        <v>101.1</v>
      </c>
      <c r="T316">
        <v>90</v>
      </c>
      <c r="U316">
        <v>16.326530609999999</v>
      </c>
      <c r="V316">
        <v>8</v>
      </c>
      <c r="W316">
        <v>14</v>
      </c>
      <c r="X316">
        <v>13</v>
      </c>
      <c r="Y316">
        <v>5</v>
      </c>
      <c r="Z316">
        <v>62.5</v>
      </c>
      <c r="AA316" t="s">
        <v>66</v>
      </c>
      <c r="AB316" t="s">
        <v>66</v>
      </c>
      <c r="AC316" t="s">
        <v>66</v>
      </c>
      <c r="AD316" t="s">
        <v>66</v>
      </c>
      <c r="AE316">
        <v>83</v>
      </c>
      <c r="AF316">
        <v>97</v>
      </c>
      <c r="AG316" t="s">
        <v>66</v>
      </c>
      <c r="AH316">
        <v>35</v>
      </c>
      <c r="AI316">
        <v>35</v>
      </c>
      <c r="AJ316" t="s">
        <v>66</v>
      </c>
      <c r="AK316">
        <v>34</v>
      </c>
      <c r="AL316">
        <v>33</v>
      </c>
      <c r="AM316">
        <v>34.5</v>
      </c>
      <c r="AN316">
        <v>34</v>
      </c>
      <c r="AO316">
        <v>-1.4492753620000001</v>
      </c>
      <c r="AP316">
        <v>16.867469880000002</v>
      </c>
      <c r="AQ316">
        <v>2.4057971010000001</v>
      </c>
      <c r="AR316">
        <v>2.8529411759999999</v>
      </c>
      <c r="AS316">
        <v>0.44714407499999997</v>
      </c>
      <c r="AT316">
        <v>0</v>
      </c>
      <c r="AU316" t="s">
        <v>66</v>
      </c>
      <c r="AV316">
        <v>0</v>
      </c>
      <c r="AW316">
        <v>1</v>
      </c>
      <c r="AX316">
        <v>0</v>
      </c>
      <c r="AY316">
        <v>1</v>
      </c>
      <c r="AZ316">
        <v>1</v>
      </c>
      <c r="BA316">
        <v>1</v>
      </c>
      <c r="BB316" t="s">
        <v>66</v>
      </c>
      <c r="BC316">
        <v>44.7</v>
      </c>
      <c r="BD316">
        <v>50.3</v>
      </c>
      <c r="BE316">
        <v>12.52796421</v>
      </c>
      <c r="BF316">
        <v>0</v>
      </c>
      <c r="BG316">
        <v>50.3</v>
      </c>
      <c r="BH316">
        <v>12.52796421</v>
      </c>
      <c r="BI316">
        <v>184</v>
      </c>
      <c r="BJ316">
        <v>19.5</v>
      </c>
      <c r="BK316">
        <v>6</v>
      </c>
      <c r="BL316">
        <v>150</v>
      </c>
      <c r="BM316">
        <v>57</v>
      </c>
      <c r="BN316">
        <v>42</v>
      </c>
      <c r="BO316">
        <f t="shared" si="52"/>
        <v>49.5</v>
      </c>
      <c r="BP316">
        <v>3</v>
      </c>
      <c r="BQ316">
        <v>1</v>
      </c>
      <c r="BS316">
        <v>0</v>
      </c>
      <c r="BT316">
        <f t="shared" si="53"/>
        <v>67.391304347826093</v>
      </c>
      <c r="BU316">
        <f t="shared" si="54"/>
        <v>58.974358974358978</v>
      </c>
      <c r="BV316">
        <f t="shared" si="55"/>
        <v>44.666666666666664</v>
      </c>
      <c r="BW316">
        <f t="shared" si="56"/>
        <v>30.303030303030305</v>
      </c>
    </row>
    <row r="317" spans="1:75" x14ac:dyDescent="0.2">
      <c r="A317" t="s">
        <v>60</v>
      </c>
      <c r="B317" t="s">
        <v>105</v>
      </c>
      <c r="C317" t="s">
        <v>106</v>
      </c>
      <c r="D317" t="s">
        <v>342</v>
      </c>
      <c r="E317" t="s">
        <v>349</v>
      </c>
      <c r="F317" t="s">
        <v>386</v>
      </c>
      <c r="G317">
        <v>1.25</v>
      </c>
      <c r="H317">
        <v>2.85</v>
      </c>
      <c r="I317">
        <v>3.35</v>
      </c>
      <c r="J317">
        <v>2.4500000000000002</v>
      </c>
      <c r="K317">
        <v>9.9</v>
      </c>
      <c r="L317">
        <v>4.96</v>
      </c>
      <c r="M317">
        <v>135</v>
      </c>
      <c r="N317">
        <v>166</v>
      </c>
      <c r="O317">
        <v>31</v>
      </c>
      <c r="P317">
        <v>215</v>
      </c>
      <c r="Q317">
        <v>80</v>
      </c>
      <c r="R317">
        <v>40</v>
      </c>
      <c r="S317">
        <v>127.1</v>
      </c>
      <c r="T317">
        <v>59.25925926</v>
      </c>
      <c r="U317">
        <v>29.518072289999999</v>
      </c>
      <c r="V317">
        <v>14</v>
      </c>
      <c r="W317">
        <v>22</v>
      </c>
      <c r="X317">
        <v>20</v>
      </c>
      <c r="Y317">
        <v>6</v>
      </c>
      <c r="Z317">
        <v>42.857142860000003</v>
      </c>
      <c r="AA317" t="s">
        <v>66</v>
      </c>
      <c r="AB317">
        <v>4</v>
      </c>
      <c r="AC317">
        <v>7</v>
      </c>
      <c r="AD317" t="s">
        <v>66</v>
      </c>
      <c r="AE317">
        <v>141</v>
      </c>
      <c r="AF317">
        <v>168</v>
      </c>
      <c r="AG317" t="s">
        <v>66</v>
      </c>
      <c r="AH317">
        <v>66</v>
      </c>
      <c r="AI317">
        <v>75</v>
      </c>
      <c r="AJ317" t="s">
        <v>66</v>
      </c>
      <c r="AK317">
        <v>51</v>
      </c>
      <c r="AL317">
        <v>64</v>
      </c>
      <c r="AM317">
        <v>58.5</v>
      </c>
      <c r="AN317">
        <v>69.5</v>
      </c>
      <c r="AO317">
        <v>18.803418799999999</v>
      </c>
      <c r="AP317">
        <v>19.148936169999999</v>
      </c>
      <c r="AQ317">
        <v>2.4102564100000001</v>
      </c>
      <c r="AR317">
        <v>2.4172661870000001</v>
      </c>
      <c r="AS317">
        <v>7.009777E-3</v>
      </c>
      <c r="AT317">
        <v>0</v>
      </c>
      <c r="AU317" t="s">
        <v>66</v>
      </c>
      <c r="AV317">
        <v>1</v>
      </c>
      <c r="AW317">
        <v>3</v>
      </c>
      <c r="AX317">
        <v>0</v>
      </c>
      <c r="AY317">
        <v>1</v>
      </c>
      <c r="AZ317">
        <v>1</v>
      </c>
      <c r="BA317">
        <v>1</v>
      </c>
      <c r="BB317" t="s">
        <v>66</v>
      </c>
      <c r="BC317">
        <v>44.5</v>
      </c>
      <c r="BD317">
        <v>60.1</v>
      </c>
      <c r="BE317">
        <v>35.056179780000001</v>
      </c>
      <c r="BF317">
        <v>0</v>
      </c>
      <c r="BG317">
        <v>60.1</v>
      </c>
      <c r="BH317">
        <v>35.056179780000001</v>
      </c>
      <c r="BI317">
        <v>290</v>
      </c>
      <c r="BJ317">
        <v>27.6</v>
      </c>
      <c r="BK317">
        <v>12.5</v>
      </c>
      <c r="BL317">
        <f>290-53</f>
        <v>237</v>
      </c>
      <c r="BM317">
        <v>84</v>
      </c>
      <c r="BN317">
        <v>58</v>
      </c>
      <c r="BO317">
        <f t="shared" si="52"/>
        <v>71</v>
      </c>
      <c r="BP317">
        <v>4</v>
      </c>
      <c r="BQ317">
        <v>1</v>
      </c>
      <c r="BS317">
        <v>0</v>
      </c>
      <c r="BT317">
        <f t="shared" si="53"/>
        <v>53.448275862068961</v>
      </c>
      <c r="BU317">
        <f t="shared" si="54"/>
        <v>49.275362318840585</v>
      </c>
      <c r="BV317">
        <f t="shared" si="55"/>
        <v>40.506329113924053</v>
      </c>
      <c r="BW317">
        <f t="shared" si="56"/>
        <v>17.6056338028169</v>
      </c>
    </row>
    <row r="318" spans="1:75" x14ac:dyDescent="0.2">
      <c r="A318" t="s">
        <v>60</v>
      </c>
      <c r="B318" t="s">
        <v>105</v>
      </c>
      <c r="C318" t="s">
        <v>106</v>
      </c>
      <c r="D318" t="s">
        <v>342</v>
      </c>
      <c r="E318" t="s">
        <v>351</v>
      </c>
      <c r="F318" t="s">
        <v>387</v>
      </c>
      <c r="G318">
        <v>1.25</v>
      </c>
      <c r="H318">
        <v>2.85</v>
      </c>
      <c r="I318">
        <v>3.35</v>
      </c>
      <c r="J318">
        <v>2.4500000000000002</v>
      </c>
      <c r="K318">
        <v>9.9</v>
      </c>
      <c r="L318">
        <v>4.96</v>
      </c>
      <c r="M318">
        <v>71</v>
      </c>
      <c r="N318">
        <v>102</v>
      </c>
      <c r="O318">
        <v>31</v>
      </c>
      <c r="P318">
        <v>119</v>
      </c>
      <c r="Q318">
        <v>48</v>
      </c>
      <c r="R318">
        <v>24</v>
      </c>
      <c r="S318">
        <v>95.1</v>
      </c>
      <c r="T318">
        <v>67.605633800000007</v>
      </c>
      <c r="U318">
        <v>16.666666670000001</v>
      </c>
      <c r="V318">
        <v>8</v>
      </c>
      <c r="W318">
        <v>11</v>
      </c>
      <c r="X318">
        <v>11</v>
      </c>
      <c r="Y318">
        <v>3</v>
      </c>
      <c r="Z318">
        <v>37.5</v>
      </c>
      <c r="AA318" t="s">
        <v>66</v>
      </c>
      <c r="AB318" t="s">
        <v>66</v>
      </c>
      <c r="AC318" t="s">
        <v>66</v>
      </c>
      <c r="AD318" t="s">
        <v>66</v>
      </c>
      <c r="AE318">
        <v>75</v>
      </c>
      <c r="AF318">
        <v>84</v>
      </c>
      <c r="AG318" t="s">
        <v>66</v>
      </c>
      <c r="AH318">
        <v>30</v>
      </c>
      <c r="AI318">
        <v>27</v>
      </c>
      <c r="AJ318" t="s">
        <v>66</v>
      </c>
      <c r="AK318">
        <v>24</v>
      </c>
      <c r="AL318">
        <v>21</v>
      </c>
      <c r="AM318">
        <v>27</v>
      </c>
      <c r="AN318">
        <v>24</v>
      </c>
      <c r="AO318">
        <v>-11.11111111</v>
      </c>
      <c r="AP318">
        <v>12</v>
      </c>
      <c r="AQ318">
        <v>2.7777777779999999</v>
      </c>
      <c r="AR318">
        <v>3.5</v>
      </c>
      <c r="AS318">
        <v>0.72222222199999997</v>
      </c>
      <c r="AT318">
        <v>0</v>
      </c>
      <c r="AU318" t="s">
        <v>66</v>
      </c>
      <c r="AV318">
        <v>1</v>
      </c>
      <c r="AW318">
        <v>1</v>
      </c>
      <c r="AX318">
        <v>0</v>
      </c>
      <c r="AY318">
        <v>1</v>
      </c>
      <c r="AZ318">
        <v>1</v>
      </c>
      <c r="BA318">
        <v>1</v>
      </c>
      <c r="BB318" t="s">
        <v>66</v>
      </c>
      <c r="BC318">
        <v>46.4</v>
      </c>
      <c r="BD318">
        <v>56.8</v>
      </c>
      <c r="BE318">
        <v>22.413793099999999</v>
      </c>
      <c r="BF318">
        <v>0</v>
      </c>
      <c r="BG318">
        <v>56.8</v>
      </c>
      <c r="BH318">
        <v>22.413793099999999</v>
      </c>
      <c r="BI318">
        <v>176</v>
      </c>
      <c r="BJ318">
        <v>12.5</v>
      </c>
      <c r="BK318">
        <v>3.9</v>
      </c>
      <c r="BL318">
        <f>176-33</f>
        <v>143</v>
      </c>
      <c r="BM318">
        <v>40</v>
      </c>
      <c r="BN318">
        <v>35</v>
      </c>
      <c r="BO318">
        <f t="shared" si="52"/>
        <v>37.5</v>
      </c>
      <c r="BP318">
        <v>4</v>
      </c>
      <c r="BQ318">
        <v>1</v>
      </c>
      <c r="BS318">
        <v>0</v>
      </c>
      <c r="BT318">
        <f t="shared" si="53"/>
        <v>59.659090909090907</v>
      </c>
      <c r="BU318">
        <f t="shared" si="54"/>
        <v>36</v>
      </c>
      <c r="BV318">
        <f t="shared" si="55"/>
        <v>47.552447552447553</v>
      </c>
      <c r="BW318">
        <f t="shared" si="56"/>
        <v>28.000000000000004</v>
      </c>
    </row>
    <row r="319" spans="1:75" x14ac:dyDescent="0.2">
      <c r="A319" t="s">
        <v>60</v>
      </c>
      <c r="B319" t="s">
        <v>105</v>
      </c>
      <c r="C319" t="s">
        <v>106</v>
      </c>
      <c r="D319" t="s">
        <v>342</v>
      </c>
      <c r="E319" t="s">
        <v>353</v>
      </c>
      <c r="F319" t="s">
        <v>388</v>
      </c>
      <c r="G319">
        <v>1.25</v>
      </c>
      <c r="H319">
        <v>2.85</v>
      </c>
      <c r="I319">
        <v>3.35</v>
      </c>
      <c r="J319">
        <v>2.4500000000000002</v>
      </c>
      <c r="K319">
        <v>9.9</v>
      </c>
      <c r="L319">
        <v>4.96</v>
      </c>
      <c r="M319">
        <v>100</v>
      </c>
      <c r="N319">
        <v>169</v>
      </c>
      <c r="O319">
        <v>69</v>
      </c>
      <c r="P319">
        <v>196</v>
      </c>
      <c r="Q319">
        <v>96</v>
      </c>
      <c r="R319">
        <v>48</v>
      </c>
      <c r="S319">
        <v>143.1</v>
      </c>
      <c r="T319">
        <v>96</v>
      </c>
      <c r="U319">
        <v>15.97633136</v>
      </c>
      <c r="V319">
        <v>10</v>
      </c>
      <c r="W319">
        <v>18</v>
      </c>
      <c r="X319">
        <v>16</v>
      </c>
      <c r="Y319">
        <v>6</v>
      </c>
      <c r="Z319">
        <v>60</v>
      </c>
      <c r="AA319" t="s">
        <v>66</v>
      </c>
      <c r="AB319">
        <v>2</v>
      </c>
      <c r="AC319">
        <v>5</v>
      </c>
      <c r="AD319" t="s">
        <v>66</v>
      </c>
      <c r="AE319">
        <v>121</v>
      </c>
      <c r="AF319">
        <v>145</v>
      </c>
      <c r="AG319" t="s">
        <v>66</v>
      </c>
      <c r="AH319">
        <v>60</v>
      </c>
      <c r="AI319">
        <v>53</v>
      </c>
      <c r="AJ319" t="s">
        <v>66</v>
      </c>
      <c r="AK319">
        <v>33</v>
      </c>
      <c r="AL319">
        <v>29</v>
      </c>
      <c r="AM319">
        <v>46.5</v>
      </c>
      <c r="AN319">
        <v>41</v>
      </c>
      <c r="AO319">
        <v>-11.827956990000001</v>
      </c>
      <c r="AP319">
        <v>19.834710739999998</v>
      </c>
      <c r="AQ319">
        <v>2.6021505380000001</v>
      </c>
      <c r="AR319">
        <v>3.5365853660000002</v>
      </c>
      <c r="AS319">
        <v>0.934434828</v>
      </c>
      <c r="AT319">
        <v>0</v>
      </c>
      <c r="AU319" t="s">
        <v>66</v>
      </c>
      <c r="AV319">
        <v>1</v>
      </c>
      <c r="AW319">
        <v>1</v>
      </c>
      <c r="AX319">
        <v>0</v>
      </c>
      <c r="AY319">
        <v>1</v>
      </c>
      <c r="AZ319">
        <v>1</v>
      </c>
      <c r="BA319">
        <v>1</v>
      </c>
      <c r="BB319" t="s">
        <v>66</v>
      </c>
      <c r="BC319">
        <v>46</v>
      </c>
      <c r="BD319">
        <v>65.5</v>
      </c>
      <c r="BE319">
        <v>42.391304349999999</v>
      </c>
      <c r="BF319">
        <v>0</v>
      </c>
      <c r="BG319">
        <v>65.5</v>
      </c>
      <c r="BH319">
        <v>42.391304349999999</v>
      </c>
      <c r="BI319">
        <v>249</v>
      </c>
      <c r="BJ319">
        <v>20.7</v>
      </c>
      <c r="BK319">
        <v>8</v>
      </c>
      <c r="BL319">
        <f>249-88</f>
        <v>161</v>
      </c>
      <c r="BM319">
        <v>74</v>
      </c>
      <c r="BN319">
        <v>30</v>
      </c>
      <c r="BO319">
        <f t="shared" si="52"/>
        <v>52</v>
      </c>
      <c r="BP319">
        <v>4</v>
      </c>
      <c r="BQ319">
        <v>1</v>
      </c>
      <c r="BS319">
        <v>0</v>
      </c>
      <c r="BT319">
        <f t="shared" si="53"/>
        <v>59.839357429718874</v>
      </c>
      <c r="BU319">
        <f t="shared" si="54"/>
        <v>51.690821256038646</v>
      </c>
      <c r="BV319">
        <f t="shared" si="55"/>
        <v>24.844720496894411</v>
      </c>
      <c r="BW319">
        <f t="shared" si="56"/>
        <v>10.576923076923077</v>
      </c>
    </row>
    <row r="320" spans="1:75" x14ac:dyDescent="0.2">
      <c r="A320" t="s">
        <v>60</v>
      </c>
      <c r="B320" t="s">
        <v>105</v>
      </c>
      <c r="C320" t="s">
        <v>106</v>
      </c>
      <c r="D320" t="s">
        <v>342</v>
      </c>
      <c r="E320" t="s">
        <v>357</v>
      </c>
      <c r="F320" t="s">
        <v>390</v>
      </c>
      <c r="G320">
        <v>1.25</v>
      </c>
      <c r="H320">
        <v>2.85</v>
      </c>
      <c r="I320">
        <v>3.35</v>
      </c>
      <c r="J320">
        <v>2.4500000000000002</v>
      </c>
      <c r="K320">
        <v>9.9</v>
      </c>
      <c r="L320">
        <v>4.96</v>
      </c>
      <c r="M320">
        <v>114</v>
      </c>
      <c r="N320">
        <v>167</v>
      </c>
      <c r="O320">
        <v>53</v>
      </c>
      <c r="P320">
        <v>306</v>
      </c>
      <c r="Q320">
        <v>192</v>
      </c>
      <c r="R320">
        <v>96</v>
      </c>
      <c r="S320">
        <v>239.1</v>
      </c>
      <c r="T320">
        <v>168.4210526</v>
      </c>
      <c r="U320">
        <v>83.233532929999996</v>
      </c>
      <c r="V320">
        <v>10</v>
      </c>
      <c r="W320">
        <v>19</v>
      </c>
      <c r="X320">
        <v>23</v>
      </c>
      <c r="Y320">
        <v>13</v>
      </c>
      <c r="Z320">
        <v>130</v>
      </c>
      <c r="AA320" t="s">
        <v>66</v>
      </c>
      <c r="AB320">
        <v>3</v>
      </c>
      <c r="AC320">
        <v>11</v>
      </c>
      <c r="AD320" t="s">
        <v>66</v>
      </c>
      <c r="AE320">
        <v>141</v>
      </c>
      <c r="AF320">
        <v>240</v>
      </c>
      <c r="AG320" t="s">
        <v>66</v>
      </c>
      <c r="AH320">
        <v>57</v>
      </c>
      <c r="AI320">
        <v>81</v>
      </c>
      <c r="AJ320" t="s">
        <v>66</v>
      </c>
      <c r="AK320">
        <v>44</v>
      </c>
      <c r="AL320">
        <v>76</v>
      </c>
      <c r="AM320">
        <v>50.5</v>
      </c>
      <c r="AN320">
        <v>78.5</v>
      </c>
      <c r="AO320">
        <v>55.445544550000001</v>
      </c>
      <c r="AP320">
        <v>70.212765959999999</v>
      </c>
      <c r="AQ320">
        <v>2.7920792080000001</v>
      </c>
      <c r="AR320">
        <v>3.0573248409999998</v>
      </c>
      <c r="AS320">
        <v>0.26524563299999998</v>
      </c>
      <c r="AT320">
        <v>0</v>
      </c>
      <c r="AU320" t="s">
        <v>66</v>
      </c>
      <c r="AV320">
        <v>1</v>
      </c>
      <c r="AW320">
        <v>2</v>
      </c>
      <c r="AX320">
        <v>0</v>
      </c>
      <c r="AY320">
        <v>1</v>
      </c>
      <c r="AZ320">
        <v>1</v>
      </c>
      <c r="BA320">
        <v>1</v>
      </c>
      <c r="BB320" t="s">
        <v>66</v>
      </c>
      <c r="BC320">
        <v>52.2</v>
      </c>
      <c r="BD320">
        <v>65.8</v>
      </c>
      <c r="BE320">
        <v>26.05363985</v>
      </c>
      <c r="BF320">
        <v>0</v>
      </c>
      <c r="BG320">
        <v>65.8</v>
      </c>
      <c r="BH320">
        <v>26.05363985</v>
      </c>
      <c r="BI320">
        <v>313</v>
      </c>
      <c r="BJ320">
        <v>28.5</v>
      </c>
      <c r="BK320">
        <v>10.199999999999999</v>
      </c>
      <c r="BL320">
        <f>313-39</f>
        <v>274</v>
      </c>
      <c r="BM320">
        <v>36</v>
      </c>
      <c r="BN320">
        <v>17</v>
      </c>
      <c r="BO320">
        <f t="shared" si="52"/>
        <v>26.5</v>
      </c>
      <c r="BP320">
        <v>3</v>
      </c>
      <c r="BQ320">
        <v>1</v>
      </c>
      <c r="BS320">
        <v>0</v>
      </c>
      <c r="BT320">
        <f t="shared" si="53"/>
        <v>63.578274760383394</v>
      </c>
      <c r="BU320">
        <f t="shared" si="54"/>
        <v>64.912280701754383</v>
      </c>
      <c r="BV320">
        <f t="shared" si="55"/>
        <v>48.540145985401459</v>
      </c>
      <c r="BW320">
        <f t="shared" si="56"/>
        <v>-90.566037735849065</v>
      </c>
    </row>
    <row r="321" spans="1:75" x14ac:dyDescent="0.2">
      <c r="A321" t="s">
        <v>60</v>
      </c>
      <c r="B321" t="s">
        <v>105</v>
      </c>
      <c r="C321" t="s">
        <v>106</v>
      </c>
      <c r="D321" t="s">
        <v>342</v>
      </c>
      <c r="E321" t="s">
        <v>361</v>
      </c>
      <c r="F321" t="s">
        <v>392</v>
      </c>
      <c r="G321">
        <v>1.25</v>
      </c>
      <c r="H321">
        <v>2.85</v>
      </c>
      <c r="I321">
        <v>3.35</v>
      </c>
      <c r="J321">
        <v>2.4500000000000002</v>
      </c>
      <c r="K321">
        <v>9.9</v>
      </c>
      <c r="L321">
        <v>4.96</v>
      </c>
      <c r="M321">
        <v>79</v>
      </c>
      <c r="N321">
        <v>92</v>
      </c>
      <c r="O321">
        <v>13</v>
      </c>
      <c r="P321">
        <v>100</v>
      </c>
      <c r="Q321">
        <v>21</v>
      </c>
      <c r="R321">
        <v>10.5</v>
      </c>
      <c r="S321">
        <v>68.099999999999994</v>
      </c>
      <c r="T321">
        <v>26.582278479999999</v>
      </c>
      <c r="U321">
        <v>8.6956521739999992</v>
      </c>
      <c r="V321">
        <v>7</v>
      </c>
      <c r="W321">
        <v>12</v>
      </c>
      <c r="X321">
        <v>13</v>
      </c>
      <c r="Y321">
        <v>6</v>
      </c>
      <c r="Z321">
        <v>85.714285709999999</v>
      </c>
      <c r="AA321" t="s">
        <v>66</v>
      </c>
      <c r="AB321" t="s">
        <v>66</v>
      </c>
      <c r="AC321" t="s">
        <v>66</v>
      </c>
      <c r="AD321" t="s">
        <v>66</v>
      </c>
      <c r="AE321">
        <v>75</v>
      </c>
      <c r="AF321">
        <v>80</v>
      </c>
      <c r="AG321" t="s">
        <v>66</v>
      </c>
      <c r="AH321">
        <v>52</v>
      </c>
      <c r="AI321">
        <v>55</v>
      </c>
      <c r="AJ321" t="s">
        <v>66</v>
      </c>
      <c r="AK321">
        <v>45</v>
      </c>
      <c r="AL321">
        <v>40</v>
      </c>
      <c r="AM321">
        <v>48.5</v>
      </c>
      <c r="AN321">
        <v>47.5</v>
      </c>
      <c r="AO321">
        <v>-2.0618556699999999</v>
      </c>
      <c r="AP321">
        <v>6.6666666670000003</v>
      </c>
      <c r="AQ321">
        <v>1.546391753</v>
      </c>
      <c r="AR321">
        <v>1.684210526</v>
      </c>
      <c r="AS321">
        <v>0.13781877300000001</v>
      </c>
      <c r="AT321">
        <v>0</v>
      </c>
      <c r="AU321" t="s">
        <v>66</v>
      </c>
      <c r="AV321">
        <v>1</v>
      </c>
      <c r="AW321">
        <v>2</v>
      </c>
      <c r="AX321">
        <v>0</v>
      </c>
      <c r="AY321">
        <v>1</v>
      </c>
      <c r="AZ321">
        <v>1</v>
      </c>
      <c r="BA321">
        <v>1</v>
      </c>
      <c r="BB321" t="s">
        <v>66</v>
      </c>
      <c r="BC321">
        <v>44</v>
      </c>
      <c r="BD321">
        <v>52.9</v>
      </c>
      <c r="BE321">
        <v>20.227272729999999</v>
      </c>
      <c r="BF321">
        <v>0</v>
      </c>
      <c r="BG321">
        <v>52.9</v>
      </c>
      <c r="BH321">
        <v>20.227272729999999</v>
      </c>
      <c r="BI321">
        <v>165</v>
      </c>
      <c r="BJ321">
        <v>12.8</v>
      </c>
      <c r="BK321">
        <v>2.7</v>
      </c>
      <c r="BL321">
        <f>165-32</f>
        <v>133</v>
      </c>
      <c r="BM321">
        <v>74</v>
      </c>
      <c r="BN321">
        <v>46</v>
      </c>
      <c r="BO321">
        <f t="shared" si="52"/>
        <v>60</v>
      </c>
      <c r="BP321">
        <v>4</v>
      </c>
      <c r="BQ321">
        <v>1</v>
      </c>
      <c r="BS321">
        <v>0</v>
      </c>
      <c r="BT321">
        <f t="shared" si="53"/>
        <v>52.121212121212125</v>
      </c>
      <c r="BU321">
        <f t="shared" si="54"/>
        <v>45.312500000000007</v>
      </c>
      <c r="BV321">
        <f t="shared" si="55"/>
        <v>43.609022556390975</v>
      </c>
      <c r="BW321">
        <f t="shared" si="56"/>
        <v>19.166666666666668</v>
      </c>
    </row>
    <row r="322" spans="1:75" x14ac:dyDescent="0.2">
      <c r="A322" t="s">
        <v>60</v>
      </c>
      <c r="B322" t="s">
        <v>105</v>
      </c>
      <c r="C322" t="s">
        <v>106</v>
      </c>
      <c r="D322" t="s">
        <v>342</v>
      </c>
      <c r="E322" t="s">
        <v>365</v>
      </c>
      <c r="F322" t="s">
        <v>394</v>
      </c>
      <c r="G322">
        <v>1.25</v>
      </c>
      <c r="H322">
        <v>2.85</v>
      </c>
      <c r="I322">
        <v>3.35</v>
      </c>
      <c r="J322">
        <v>2.4500000000000002</v>
      </c>
      <c r="K322">
        <v>9.9</v>
      </c>
      <c r="L322">
        <v>4.96</v>
      </c>
      <c r="M322">
        <v>33</v>
      </c>
      <c r="N322">
        <v>39</v>
      </c>
      <c r="O322">
        <v>6</v>
      </c>
      <c r="P322">
        <v>59</v>
      </c>
      <c r="Q322">
        <v>26</v>
      </c>
      <c r="R322">
        <v>13</v>
      </c>
      <c r="S322">
        <v>73.099999999999994</v>
      </c>
      <c r="T322">
        <v>78.787878789999994</v>
      </c>
      <c r="U322">
        <v>51.282051279999997</v>
      </c>
      <c r="V322">
        <v>4</v>
      </c>
      <c r="W322">
        <v>6</v>
      </c>
      <c r="X322">
        <v>8</v>
      </c>
      <c r="Y322">
        <v>4</v>
      </c>
      <c r="Z322">
        <v>100</v>
      </c>
      <c r="AA322" t="s">
        <v>66</v>
      </c>
      <c r="AB322" t="s">
        <v>66</v>
      </c>
      <c r="AC322" t="s">
        <v>66</v>
      </c>
      <c r="AD322" t="s">
        <v>66</v>
      </c>
      <c r="AE322">
        <v>34</v>
      </c>
      <c r="AF322">
        <v>42</v>
      </c>
      <c r="AG322" t="s">
        <v>66</v>
      </c>
      <c r="AH322">
        <v>16</v>
      </c>
      <c r="AI322">
        <v>21</v>
      </c>
      <c r="AJ322" t="s">
        <v>66</v>
      </c>
      <c r="AK322">
        <v>15</v>
      </c>
      <c r="AL322">
        <v>19</v>
      </c>
      <c r="AM322">
        <v>15.5</v>
      </c>
      <c r="AN322">
        <v>20</v>
      </c>
      <c r="AO322">
        <v>29.03225806</v>
      </c>
      <c r="AP322">
        <v>23.529411759999999</v>
      </c>
      <c r="AQ322">
        <v>2.1935483869999999</v>
      </c>
      <c r="AR322">
        <v>2.1</v>
      </c>
      <c r="AS322">
        <v>-9.3548386999999997E-2</v>
      </c>
      <c r="AT322">
        <v>0</v>
      </c>
      <c r="AU322" t="s">
        <v>66</v>
      </c>
      <c r="AV322">
        <v>0</v>
      </c>
      <c r="AW322">
        <v>1</v>
      </c>
      <c r="AX322">
        <v>0</v>
      </c>
      <c r="AY322">
        <v>1</v>
      </c>
      <c r="AZ322">
        <v>1</v>
      </c>
      <c r="BA322">
        <v>1</v>
      </c>
      <c r="BB322" t="s">
        <v>66</v>
      </c>
      <c r="BC322">
        <v>34</v>
      </c>
      <c r="BD322">
        <v>52.1</v>
      </c>
      <c r="BE322">
        <v>53.235294119999999</v>
      </c>
      <c r="BF322">
        <v>0</v>
      </c>
      <c r="BG322">
        <v>52.1</v>
      </c>
      <c r="BH322">
        <v>53.235294119999999</v>
      </c>
      <c r="BI322">
        <v>90</v>
      </c>
      <c r="BJ322">
        <v>9.3000000000000007</v>
      </c>
      <c r="BL322">
        <v>75</v>
      </c>
      <c r="BM322">
        <v>27</v>
      </c>
      <c r="BN322">
        <v>19</v>
      </c>
      <c r="BO322">
        <f t="shared" si="52"/>
        <v>23</v>
      </c>
      <c r="BP322">
        <v>4</v>
      </c>
      <c r="BQ322">
        <v>1</v>
      </c>
      <c r="BS322">
        <v>0</v>
      </c>
      <c r="BT322">
        <f t="shared" si="53"/>
        <v>63.333333333333329</v>
      </c>
      <c r="BU322">
        <f t="shared" si="54"/>
        <v>56.98924731182796</v>
      </c>
      <c r="BV322">
        <f t="shared" si="55"/>
        <v>54.666666666666664</v>
      </c>
      <c r="BW322">
        <f t="shared" si="56"/>
        <v>32.608695652173914</v>
      </c>
    </row>
    <row r="323" spans="1:75" x14ac:dyDescent="0.2">
      <c r="A323" t="s">
        <v>60</v>
      </c>
      <c r="B323" t="s">
        <v>105</v>
      </c>
      <c r="C323" t="s">
        <v>106</v>
      </c>
      <c r="D323" t="s">
        <v>342</v>
      </c>
      <c r="E323" t="s">
        <v>367</v>
      </c>
      <c r="F323" t="s">
        <v>395</v>
      </c>
      <c r="G323">
        <v>1.25</v>
      </c>
      <c r="H323">
        <v>2.85</v>
      </c>
      <c r="I323">
        <v>3.35</v>
      </c>
      <c r="J323">
        <v>2.4500000000000002</v>
      </c>
      <c r="K323">
        <v>9.9</v>
      </c>
      <c r="L323">
        <v>4.96</v>
      </c>
      <c r="M323">
        <v>110</v>
      </c>
      <c r="N323">
        <v>190</v>
      </c>
      <c r="O323">
        <v>80</v>
      </c>
      <c r="P323">
        <v>230</v>
      </c>
      <c r="Q323">
        <v>120</v>
      </c>
      <c r="R323">
        <v>60</v>
      </c>
      <c r="S323">
        <v>167.1</v>
      </c>
      <c r="T323">
        <v>109.0909091</v>
      </c>
      <c r="U323">
        <v>21.05263158</v>
      </c>
      <c r="V323">
        <v>14</v>
      </c>
      <c r="W323">
        <v>21</v>
      </c>
      <c r="X323">
        <v>25</v>
      </c>
      <c r="Y323">
        <v>11</v>
      </c>
      <c r="Z323">
        <v>78.571428569999995</v>
      </c>
      <c r="AA323" t="s">
        <v>66</v>
      </c>
      <c r="AB323">
        <v>3</v>
      </c>
      <c r="AC323">
        <v>8</v>
      </c>
      <c r="AD323" t="s">
        <v>66</v>
      </c>
      <c r="AE323">
        <v>174</v>
      </c>
      <c r="AF323">
        <v>199</v>
      </c>
      <c r="AG323" t="s">
        <v>66</v>
      </c>
      <c r="AH323">
        <v>98</v>
      </c>
      <c r="AI323">
        <v>115</v>
      </c>
      <c r="AJ323" t="s">
        <v>66</v>
      </c>
      <c r="AK323">
        <v>65</v>
      </c>
      <c r="AL323">
        <v>88</v>
      </c>
      <c r="AM323">
        <v>81.5</v>
      </c>
      <c r="AN323">
        <v>101.5</v>
      </c>
      <c r="AO323">
        <v>24.539877300000001</v>
      </c>
      <c r="AP323">
        <v>14.36781609</v>
      </c>
      <c r="AQ323">
        <v>2.1349693250000001</v>
      </c>
      <c r="AR323">
        <v>1.9605911330000001</v>
      </c>
      <c r="AS323">
        <v>-0.17437819199999999</v>
      </c>
      <c r="AT323">
        <v>0</v>
      </c>
      <c r="AU323" t="s">
        <v>66</v>
      </c>
      <c r="AV323">
        <v>2</v>
      </c>
      <c r="AW323">
        <v>2</v>
      </c>
      <c r="AX323">
        <v>0</v>
      </c>
      <c r="AY323">
        <v>1</v>
      </c>
      <c r="AZ323">
        <v>1</v>
      </c>
      <c r="BA323">
        <v>1</v>
      </c>
      <c r="BB323" t="s">
        <v>66</v>
      </c>
      <c r="BC323">
        <v>50.1</v>
      </c>
      <c r="BD323">
        <v>67.099999999999994</v>
      </c>
      <c r="BE323">
        <v>33.932135729999999</v>
      </c>
      <c r="BF323">
        <v>0</v>
      </c>
      <c r="BG323">
        <v>67.099999999999994</v>
      </c>
      <c r="BH323">
        <v>33.932135729999999</v>
      </c>
      <c r="BI323">
        <v>363</v>
      </c>
      <c r="BJ323">
        <v>27.9</v>
      </c>
      <c r="BK323">
        <v>12.4</v>
      </c>
      <c r="BL323">
        <f>363-130</f>
        <v>233</v>
      </c>
      <c r="BM323">
        <v>89</v>
      </c>
      <c r="BN323">
        <v>70</v>
      </c>
      <c r="BO323">
        <f t="shared" si="52"/>
        <v>79.5</v>
      </c>
      <c r="BP323">
        <v>4</v>
      </c>
      <c r="BQ323">
        <v>1</v>
      </c>
      <c r="BS323">
        <v>0</v>
      </c>
      <c r="BT323">
        <f t="shared" si="53"/>
        <v>69.696969696969703</v>
      </c>
      <c r="BU323">
        <f t="shared" si="54"/>
        <v>49.820788530465947</v>
      </c>
      <c r="BV323">
        <f t="shared" si="55"/>
        <v>25.321888412017167</v>
      </c>
      <c r="BW323">
        <f t="shared" si="56"/>
        <v>-2.5157232704402519</v>
      </c>
    </row>
    <row r="324" spans="1:75" x14ac:dyDescent="0.2">
      <c r="A324" t="s">
        <v>60</v>
      </c>
      <c r="B324" t="s">
        <v>105</v>
      </c>
      <c r="C324" t="s">
        <v>106</v>
      </c>
      <c r="D324" t="s">
        <v>342</v>
      </c>
      <c r="E324" t="s">
        <v>369</v>
      </c>
      <c r="F324" t="s">
        <v>396</v>
      </c>
      <c r="G324">
        <v>1.25</v>
      </c>
      <c r="H324">
        <v>2.85</v>
      </c>
      <c r="I324">
        <v>3.35</v>
      </c>
      <c r="J324">
        <v>2.4500000000000002</v>
      </c>
      <c r="K324">
        <v>9.9</v>
      </c>
      <c r="L324">
        <v>4.96</v>
      </c>
      <c r="M324">
        <v>113</v>
      </c>
      <c r="N324">
        <v>126</v>
      </c>
      <c r="O324">
        <v>13</v>
      </c>
      <c r="P324">
        <v>154</v>
      </c>
      <c r="Q324">
        <v>41</v>
      </c>
      <c r="R324">
        <v>20.5</v>
      </c>
      <c r="S324">
        <v>88.1</v>
      </c>
      <c r="T324">
        <v>36.283185840000002</v>
      </c>
      <c r="U324">
        <v>22.222222219999999</v>
      </c>
      <c r="V324">
        <v>11</v>
      </c>
      <c r="W324">
        <v>12</v>
      </c>
      <c r="X324">
        <v>16</v>
      </c>
      <c r="Y324">
        <v>5</v>
      </c>
      <c r="Z324">
        <v>45.454545449999998</v>
      </c>
      <c r="AA324" t="s">
        <v>66</v>
      </c>
      <c r="AB324" t="s">
        <v>66</v>
      </c>
      <c r="AC324">
        <v>3</v>
      </c>
      <c r="AD324" t="s">
        <v>66</v>
      </c>
      <c r="AE324">
        <v>111</v>
      </c>
      <c r="AF324">
        <v>118</v>
      </c>
      <c r="AG324" t="s">
        <v>66</v>
      </c>
      <c r="AH324">
        <v>59</v>
      </c>
      <c r="AI324">
        <v>50</v>
      </c>
      <c r="AJ324" t="s">
        <v>66</v>
      </c>
      <c r="AK324">
        <v>37</v>
      </c>
      <c r="AL324">
        <v>43</v>
      </c>
      <c r="AM324">
        <v>48</v>
      </c>
      <c r="AN324">
        <v>46.5</v>
      </c>
      <c r="AO324">
        <v>-3.125</v>
      </c>
      <c r="AP324">
        <v>6.3063063059999998</v>
      </c>
      <c r="AQ324">
        <v>2.3125</v>
      </c>
      <c r="AR324">
        <v>2.5376344089999998</v>
      </c>
      <c r="AS324">
        <v>0.22513440900000001</v>
      </c>
      <c r="AT324">
        <v>0</v>
      </c>
      <c r="AU324" t="s">
        <v>66</v>
      </c>
      <c r="AV324">
        <v>0</v>
      </c>
      <c r="AW324">
        <v>0</v>
      </c>
      <c r="AX324">
        <v>0</v>
      </c>
      <c r="AY324">
        <v>1</v>
      </c>
      <c r="AZ324">
        <v>1</v>
      </c>
      <c r="BA324">
        <v>1</v>
      </c>
      <c r="BB324" t="s">
        <v>66</v>
      </c>
      <c r="BC324">
        <v>36.9</v>
      </c>
      <c r="BD324">
        <v>52.5</v>
      </c>
      <c r="BE324">
        <v>42.276422760000003</v>
      </c>
      <c r="BF324">
        <v>0</v>
      </c>
      <c r="BG324">
        <v>52.5</v>
      </c>
      <c r="BH324">
        <v>42.276422760000003</v>
      </c>
      <c r="BI324">
        <v>264</v>
      </c>
      <c r="BJ324">
        <v>21.1</v>
      </c>
      <c r="BK324">
        <v>8</v>
      </c>
      <c r="BL324">
        <v>224</v>
      </c>
      <c r="BM324">
        <v>70</v>
      </c>
      <c r="BN324">
        <v>54</v>
      </c>
      <c r="BO324">
        <f t="shared" si="52"/>
        <v>62</v>
      </c>
      <c r="BP324">
        <v>4</v>
      </c>
      <c r="BQ324">
        <v>1</v>
      </c>
      <c r="BS324">
        <v>0</v>
      </c>
      <c r="BT324">
        <f t="shared" si="53"/>
        <v>57.196969696969703</v>
      </c>
      <c r="BU324">
        <f t="shared" si="54"/>
        <v>47.867298578199055</v>
      </c>
      <c r="BV324">
        <f t="shared" si="55"/>
        <v>50.446428571428569</v>
      </c>
      <c r="BW324">
        <f t="shared" si="56"/>
        <v>22.58064516129032</v>
      </c>
    </row>
    <row r="325" spans="1:75" x14ac:dyDescent="0.2">
      <c r="A325" t="s">
        <v>60</v>
      </c>
      <c r="B325" t="s">
        <v>105</v>
      </c>
      <c r="C325" t="s">
        <v>106</v>
      </c>
      <c r="D325" t="s">
        <v>342</v>
      </c>
      <c r="E325" t="s">
        <v>373</v>
      </c>
      <c r="F325" t="s">
        <v>398</v>
      </c>
      <c r="G325">
        <v>1.25</v>
      </c>
      <c r="H325">
        <v>2.85</v>
      </c>
      <c r="I325">
        <v>3.35</v>
      </c>
      <c r="J325">
        <v>2.4500000000000002</v>
      </c>
      <c r="K325">
        <v>9.9</v>
      </c>
      <c r="L325">
        <v>4.96</v>
      </c>
      <c r="M325">
        <v>125</v>
      </c>
      <c r="N325">
        <v>190</v>
      </c>
      <c r="O325">
        <v>65</v>
      </c>
      <c r="P325">
        <v>245</v>
      </c>
      <c r="Q325">
        <v>120</v>
      </c>
      <c r="R325">
        <v>60</v>
      </c>
      <c r="S325">
        <v>167.1</v>
      </c>
      <c r="T325">
        <v>96</v>
      </c>
      <c r="U325">
        <v>28.94736842</v>
      </c>
      <c r="V325">
        <v>11</v>
      </c>
      <c r="W325">
        <v>16</v>
      </c>
      <c r="X325">
        <v>18</v>
      </c>
      <c r="Y325">
        <v>7</v>
      </c>
      <c r="Z325">
        <v>63.636363639999999</v>
      </c>
      <c r="AA325" t="s">
        <v>66</v>
      </c>
      <c r="AB325">
        <v>5</v>
      </c>
      <c r="AC325">
        <v>7</v>
      </c>
      <c r="AD325" t="s">
        <v>66</v>
      </c>
      <c r="AE325">
        <v>151</v>
      </c>
      <c r="AF325">
        <v>199</v>
      </c>
      <c r="AG325" t="s">
        <v>66</v>
      </c>
      <c r="AH325">
        <v>65</v>
      </c>
      <c r="AI325">
        <v>75</v>
      </c>
      <c r="AJ325" t="s">
        <v>66</v>
      </c>
      <c r="AK325">
        <v>47</v>
      </c>
      <c r="AL325">
        <v>43</v>
      </c>
      <c r="AM325">
        <v>56</v>
      </c>
      <c r="AN325">
        <v>59</v>
      </c>
      <c r="AO325">
        <v>5.3571428570000004</v>
      </c>
      <c r="AP325">
        <v>31.78807947</v>
      </c>
      <c r="AQ325">
        <v>2.6964285710000002</v>
      </c>
      <c r="AR325">
        <v>3.3728813560000002</v>
      </c>
      <c r="AS325">
        <v>0.67645278499999995</v>
      </c>
      <c r="AT325">
        <v>0</v>
      </c>
      <c r="AU325" t="s">
        <v>66</v>
      </c>
      <c r="AV325">
        <v>1</v>
      </c>
      <c r="AW325">
        <v>1</v>
      </c>
      <c r="AX325">
        <v>0</v>
      </c>
      <c r="AY325">
        <v>1</v>
      </c>
      <c r="AZ325">
        <v>1</v>
      </c>
      <c r="BA325">
        <v>1</v>
      </c>
      <c r="BB325" t="s">
        <v>66</v>
      </c>
      <c r="BC325">
        <v>44.5</v>
      </c>
      <c r="BD325">
        <v>51</v>
      </c>
      <c r="BE325">
        <v>14.606741570000001</v>
      </c>
      <c r="BF325">
        <v>0</v>
      </c>
      <c r="BG325">
        <v>51</v>
      </c>
      <c r="BH325">
        <v>14.606741570000001</v>
      </c>
      <c r="BI325">
        <v>282</v>
      </c>
      <c r="BJ325">
        <v>24.3</v>
      </c>
      <c r="BK325">
        <v>12.1</v>
      </c>
      <c r="BL325">
        <f>282-77</f>
        <v>205</v>
      </c>
      <c r="BM325">
        <v>72</v>
      </c>
      <c r="BN325">
        <v>70</v>
      </c>
      <c r="BO325">
        <f t="shared" si="52"/>
        <v>71</v>
      </c>
      <c r="BP325">
        <v>4</v>
      </c>
      <c r="BQ325">
        <v>1</v>
      </c>
      <c r="BS325">
        <v>0</v>
      </c>
      <c r="BT325">
        <f t="shared" si="53"/>
        <v>55.673758865248224</v>
      </c>
      <c r="BU325">
        <f t="shared" si="54"/>
        <v>54.732510288065853</v>
      </c>
      <c r="BV325">
        <f t="shared" si="55"/>
        <v>26.341463414634148</v>
      </c>
      <c r="BW325">
        <f t="shared" si="56"/>
        <v>21.12676056338028</v>
      </c>
    </row>
    <row r="326" spans="1:75" x14ac:dyDescent="0.2">
      <c r="A326" t="s">
        <v>60</v>
      </c>
      <c r="B326" t="s">
        <v>105</v>
      </c>
      <c r="C326" t="s">
        <v>106</v>
      </c>
      <c r="D326" t="s">
        <v>342</v>
      </c>
      <c r="E326" t="s">
        <v>377</v>
      </c>
      <c r="F326" t="s">
        <v>400</v>
      </c>
      <c r="G326">
        <v>1.25</v>
      </c>
      <c r="H326">
        <v>2.85</v>
      </c>
      <c r="I326">
        <v>3.35</v>
      </c>
      <c r="J326">
        <v>2.4500000000000002</v>
      </c>
      <c r="K326">
        <v>9.9</v>
      </c>
      <c r="L326">
        <v>4.96</v>
      </c>
      <c r="M326">
        <v>134</v>
      </c>
      <c r="N326">
        <v>165</v>
      </c>
      <c r="O326">
        <v>31</v>
      </c>
      <c r="P326">
        <v>216</v>
      </c>
      <c r="Q326">
        <v>82</v>
      </c>
      <c r="R326">
        <v>41</v>
      </c>
      <c r="S326">
        <v>129.1</v>
      </c>
      <c r="T326">
        <v>61.19402985</v>
      </c>
      <c r="U326">
        <v>30.90909091</v>
      </c>
      <c r="V326">
        <v>11</v>
      </c>
      <c r="W326">
        <v>16</v>
      </c>
      <c r="X326">
        <v>19</v>
      </c>
      <c r="Y326">
        <v>8</v>
      </c>
      <c r="Z326">
        <v>72.727272729999996</v>
      </c>
      <c r="AA326" t="s">
        <v>66</v>
      </c>
      <c r="AB326">
        <v>3</v>
      </c>
      <c r="AC326">
        <v>6</v>
      </c>
      <c r="AD326" t="s">
        <v>66</v>
      </c>
      <c r="AE326">
        <v>143</v>
      </c>
      <c r="AF326">
        <v>182</v>
      </c>
      <c r="AG326" t="s">
        <v>66</v>
      </c>
      <c r="AH326">
        <v>59</v>
      </c>
      <c r="AI326">
        <v>51</v>
      </c>
      <c r="AJ326" t="s">
        <v>66</v>
      </c>
      <c r="AK326">
        <v>44</v>
      </c>
      <c r="AL326">
        <v>51</v>
      </c>
      <c r="AM326">
        <v>51.5</v>
      </c>
      <c r="AN326">
        <v>51</v>
      </c>
      <c r="AO326">
        <v>-0.97087378599999996</v>
      </c>
      <c r="AP326">
        <v>27.272727270000001</v>
      </c>
      <c r="AQ326">
        <v>2.776699029</v>
      </c>
      <c r="AR326">
        <v>3.5686274509999998</v>
      </c>
      <c r="AS326">
        <v>0.79192842200000002</v>
      </c>
      <c r="AT326">
        <v>0</v>
      </c>
      <c r="AU326" t="s">
        <v>66</v>
      </c>
      <c r="AV326">
        <v>1</v>
      </c>
      <c r="AW326">
        <v>1</v>
      </c>
      <c r="AX326">
        <v>0</v>
      </c>
      <c r="AY326">
        <v>1</v>
      </c>
      <c r="AZ326">
        <v>1</v>
      </c>
      <c r="BA326">
        <v>1</v>
      </c>
      <c r="BB326" t="s">
        <v>66</v>
      </c>
      <c r="BC326">
        <v>44.3</v>
      </c>
      <c r="BD326">
        <v>75.099999999999994</v>
      </c>
      <c r="BE326">
        <v>69.525959369999995</v>
      </c>
      <c r="BF326">
        <v>0</v>
      </c>
      <c r="BG326">
        <v>75.099999999999994</v>
      </c>
      <c r="BH326">
        <v>69.525959369999995</v>
      </c>
      <c r="BI326">
        <v>271</v>
      </c>
      <c r="BJ326">
        <v>26.2</v>
      </c>
      <c r="BK326">
        <v>11</v>
      </c>
      <c r="BL326">
        <v>251</v>
      </c>
      <c r="BM326">
        <v>65</v>
      </c>
      <c r="BN326">
        <v>63</v>
      </c>
      <c r="BO326">
        <f t="shared" si="52"/>
        <v>64</v>
      </c>
      <c r="BP326">
        <v>4</v>
      </c>
      <c r="BQ326">
        <v>1</v>
      </c>
      <c r="BS326">
        <v>0</v>
      </c>
      <c r="BT326">
        <f t="shared" si="53"/>
        <v>50.553505535055351</v>
      </c>
      <c r="BU326">
        <f t="shared" si="54"/>
        <v>58.015267175572518</v>
      </c>
      <c r="BV326">
        <f t="shared" si="55"/>
        <v>43.027888446215137</v>
      </c>
      <c r="BW326">
        <f t="shared" si="56"/>
        <v>19.53125</v>
      </c>
    </row>
    <row r="327" spans="1:75" x14ac:dyDescent="0.2">
      <c r="A327" t="s">
        <v>60</v>
      </c>
      <c r="B327" t="s">
        <v>105</v>
      </c>
      <c r="C327" t="s">
        <v>106</v>
      </c>
      <c r="D327" t="s">
        <v>342</v>
      </c>
      <c r="E327" t="s">
        <v>379</v>
      </c>
      <c r="F327" t="s">
        <v>401</v>
      </c>
      <c r="G327">
        <v>1.25</v>
      </c>
      <c r="H327">
        <v>2.85</v>
      </c>
      <c r="I327">
        <v>3.35</v>
      </c>
      <c r="J327">
        <v>2.4500000000000002</v>
      </c>
      <c r="K327">
        <v>9.9</v>
      </c>
      <c r="L327">
        <v>4.96</v>
      </c>
      <c r="M327">
        <v>107</v>
      </c>
      <c r="N327">
        <v>136</v>
      </c>
      <c r="O327">
        <v>29</v>
      </c>
      <c r="P327">
        <v>178</v>
      </c>
      <c r="Q327">
        <v>71</v>
      </c>
      <c r="R327">
        <v>35.5</v>
      </c>
      <c r="S327">
        <v>118.1</v>
      </c>
      <c r="T327">
        <v>66.35514019</v>
      </c>
      <c r="U327">
        <v>30.882352940000001</v>
      </c>
      <c r="V327">
        <v>9</v>
      </c>
      <c r="W327">
        <v>16</v>
      </c>
      <c r="X327">
        <v>19</v>
      </c>
      <c r="Y327">
        <v>10</v>
      </c>
      <c r="Z327">
        <v>111.1111111</v>
      </c>
      <c r="AA327" t="s">
        <v>66</v>
      </c>
      <c r="AB327" t="s">
        <v>66</v>
      </c>
      <c r="AC327">
        <v>4</v>
      </c>
      <c r="AD327" t="s">
        <v>66</v>
      </c>
      <c r="AE327">
        <v>118</v>
      </c>
      <c r="AF327">
        <v>161</v>
      </c>
      <c r="AG327" t="s">
        <v>66</v>
      </c>
      <c r="AH327">
        <v>44</v>
      </c>
      <c r="AI327">
        <v>54</v>
      </c>
      <c r="AJ327" t="s">
        <v>66</v>
      </c>
      <c r="AK327">
        <v>39</v>
      </c>
      <c r="AL327">
        <v>40</v>
      </c>
      <c r="AM327">
        <v>41.5</v>
      </c>
      <c r="AN327">
        <v>47</v>
      </c>
      <c r="AO327">
        <v>13.253012050000001</v>
      </c>
      <c r="AP327">
        <v>36.440677970000003</v>
      </c>
      <c r="AQ327">
        <v>2.8433734940000002</v>
      </c>
      <c r="AR327">
        <v>3.4255319150000001</v>
      </c>
      <c r="AS327">
        <v>0.58215842100000004</v>
      </c>
      <c r="AT327">
        <v>0</v>
      </c>
      <c r="AU327" t="s">
        <v>66</v>
      </c>
      <c r="AV327">
        <v>0</v>
      </c>
      <c r="AW327">
        <v>1</v>
      </c>
      <c r="AX327">
        <v>0</v>
      </c>
      <c r="AY327">
        <v>1</v>
      </c>
      <c r="AZ327">
        <v>1</v>
      </c>
      <c r="BA327">
        <v>1</v>
      </c>
      <c r="BB327" t="s">
        <v>66</v>
      </c>
      <c r="BC327">
        <v>41.5</v>
      </c>
      <c r="BD327">
        <v>60</v>
      </c>
      <c r="BE327">
        <v>44.578313250000001</v>
      </c>
      <c r="BF327">
        <v>0</v>
      </c>
      <c r="BG327">
        <v>60</v>
      </c>
      <c r="BH327">
        <v>44.578313250000001</v>
      </c>
      <c r="BI327">
        <v>243</v>
      </c>
      <c r="BJ327">
        <v>22.6</v>
      </c>
      <c r="BK327">
        <v>13.5</v>
      </c>
      <c r="BL327">
        <f>243-18</f>
        <v>225</v>
      </c>
      <c r="BM327">
        <v>85</v>
      </c>
      <c r="BN327">
        <v>52</v>
      </c>
      <c r="BO327">
        <f t="shared" si="52"/>
        <v>68.5</v>
      </c>
      <c r="BP327">
        <v>4</v>
      </c>
      <c r="BQ327">
        <v>1</v>
      </c>
      <c r="BS327">
        <v>0</v>
      </c>
      <c r="BT327">
        <f t="shared" si="53"/>
        <v>55.967078189300409</v>
      </c>
      <c r="BU327">
        <f t="shared" si="54"/>
        <v>60.176991150442483</v>
      </c>
      <c r="BV327">
        <f t="shared" si="55"/>
        <v>47.555555555555557</v>
      </c>
      <c r="BW327">
        <f t="shared" si="56"/>
        <v>39.416058394160586</v>
      </c>
    </row>
    <row r="328" spans="1:75" x14ac:dyDescent="0.2">
      <c r="A328" t="s">
        <v>60</v>
      </c>
      <c r="B328" t="s">
        <v>105</v>
      </c>
      <c r="C328" t="s">
        <v>106</v>
      </c>
      <c r="D328" t="s">
        <v>342</v>
      </c>
      <c r="E328" t="s">
        <v>381</v>
      </c>
      <c r="F328" t="s">
        <v>402</v>
      </c>
      <c r="G328">
        <v>1.25</v>
      </c>
      <c r="H328">
        <v>2.85</v>
      </c>
      <c r="I328">
        <v>3.35</v>
      </c>
      <c r="J328">
        <v>2.4500000000000002</v>
      </c>
      <c r="K328">
        <v>9.9</v>
      </c>
      <c r="L328">
        <v>4.96</v>
      </c>
      <c r="M328">
        <v>110</v>
      </c>
      <c r="N328">
        <v>177</v>
      </c>
      <c r="O328">
        <v>67</v>
      </c>
      <c r="P328">
        <v>178</v>
      </c>
      <c r="Q328">
        <v>68</v>
      </c>
      <c r="R328">
        <v>34</v>
      </c>
      <c r="S328">
        <v>115.1</v>
      </c>
      <c r="T328">
        <v>61.81818182</v>
      </c>
      <c r="U328">
        <v>0.56497175099999997</v>
      </c>
      <c r="V328">
        <v>11</v>
      </c>
      <c r="W328">
        <v>15</v>
      </c>
      <c r="X328">
        <v>17</v>
      </c>
      <c r="Y328">
        <v>6</v>
      </c>
      <c r="Z328">
        <v>54.545454550000002</v>
      </c>
      <c r="AA328" t="s">
        <v>66</v>
      </c>
      <c r="AB328" t="s">
        <v>66</v>
      </c>
      <c r="AC328">
        <v>3</v>
      </c>
      <c r="AD328" t="s">
        <v>66</v>
      </c>
      <c r="AE328">
        <v>149</v>
      </c>
      <c r="AF328">
        <v>150</v>
      </c>
      <c r="AG328" t="s">
        <v>66</v>
      </c>
      <c r="AH328">
        <v>81</v>
      </c>
      <c r="AI328">
        <v>65</v>
      </c>
      <c r="AJ328" t="s">
        <v>66</v>
      </c>
      <c r="AK328">
        <v>59</v>
      </c>
      <c r="AL328">
        <v>44</v>
      </c>
      <c r="AM328">
        <v>70</v>
      </c>
      <c r="AN328">
        <v>54.5</v>
      </c>
      <c r="AO328">
        <v>-22.14285714</v>
      </c>
      <c r="AP328">
        <v>0.67114094000000002</v>
      </c>
      <c r="AQ328">
        <v>2.128571429</v>
      </c>
      <c r="AR328">
        <v>2.7522935780000002</v>
      </c>
      <c r="AS328">
        <v>0.623722149</v>
      </c>
      <c r="AT328">
        <v>0</v>
      </c>
      <c r="AU328" t="s">
        <v>66</v>
      </c>
      <c r="AV328">
        <v>1</v>
      </c>
      <c r="AW328">
        <v>1</v>
      </c>
      <c r="AX328">
        <v>0</v>
      </c>
      <c r="AY328">
        <v>1</v>
      </c>
      <c r="AZ328">
        <v>1</v>
      </c>
      <c r="BA328">
        <v>1</v>
      </c>
      <c r="BB328" t="s">
        <v>66</v>
      </c>
      <c r="BC328">
        <v>56.8</v>
      </c>
      <c r="BD328">
        <v>66.400000000000006</v>
      </c>
      <c r="BE328">
        <v>16.901408450000002</v>
      </c>
      <c r="BF328">
        <v>0</v>
      </c>
      <c r="BG328">
        <v>66.400000000000006</v>
      </c>
      <c r="BH328">
        <v>16.901408450000002</v>
      </c>
      <c r="BI328">
        <v>283</v>
      </c>
      <c r="BJ328">
        <v>23.9</v>
      </c>
      <c r="BK328">
        <v>10</v>
      </c>
      <c r="BL328">
        <f>283-46</f>
        <v>237</v>
      </c>
      <c r="BM328">
        <v>90</v>
      </c>
      <c r="BN328">
        <v>63</v>
      </c>
      <c r="BO328">
        <f t="shared" si="52"/>
        <v>76.5</v>
      </c>
      <c r="BP328">
        <v>4</v>
      </c>
      <c r="BQ328">
        <v>1</v>
      </c>
      <c r="BS328">
        <v>0</v>
      </c>
      <c r="BT328">
        <f t="shared" si="53"/>
        <v>61.130742049469966</v>
      </c>
      <c r="BU328">
        <f t="shared" si="54"/>
        <v>53.97489539748954</v>
      </c>
      <c r="BV328">
        <f t="shared" si="55"/>
        <v>37.130801687763714</v>
      </c>
      <c r="BW328">
        <f t="shared" si="56"/>
        <v>8.4967320261437909</v>
      </c>
    </row>
    <row r="329" spans="1:75" x14ac:dyDescent="0.2">
      <c r="A329" t="s">
        <v>60</v>
      </c>
      <c r="B329" t="s">
        <v>105</v>
      </c>
      <c r="C329" t="s">
        <v>106</v>
      </c>
      <c r="D329" t="s">
        <v>342</v>
      </c>
      <c r="E329" t="s">
        <v>345</v>
      </c>
      <c r="F329" t="s">
        <v>384</v>
      </c>
      <c r="G329">
        <v>1.25</v>
      </c>
      <c r="H329">
        <v>2.85</v>
      </c>
      <c r="I329">
        <v>3.35</v>
      </c>
      <c r="J329">
        <v>2.4500000000000002</v>
      </c>
      <c r="K329">
        <v>9.9</v>
      </c>
      <c r="L329">
        <v>4.96</v>
      </c>
      <c r="M329">
        <v>142</v>
      </c>
      <c r="N329">
        <v>219</v>
      </c>
      <c r="O329">
        <v>77</v>
      </c>
      <c r="P329">
        <v>278</v>
      </c>
      <c r="Q329">
        <v>136</v>
      </c>
      <c r="R329">
        <v>68</v>
      </c>
      <c r="S329">
        <v>183.1</v>
      </c>
      <c r="T329">
        <v>95.774647889999997</v>
      </c>
      <c r="U329">
        <v>26.940639269999998</v>
      </c>
      <c r="V329">
        <v>14</v>
      </c>
      <c r="W329">
        <v>23</v>
      </c>
      <c r="X329">
        <v>24</v>
      </c>
      <c r="Y329">
        <v>10</v>
      </c>
      <c r="Z329">
        <v>71.428571430000005</v>
      </c>
      <c r="AA329" t="s">
        <v>66</v>
      </c>
      <c r="AB329">
        <v>6</v>
      </c>
      <c r="AC329">
        <v>9</v>
      </c>
      <c r="AD329" t="s">
        <v>66</v>
      </c>
      <c r="AE329">
        <v>176</v>
      </c>
      <c r="AF329">
        <v>221</v>
      </c>
      <c r="AG329" t="s">
        <v>66</v>
      </c>
      <c r="AH329">
        <v>71</v>
      </c>
      <c r="AI329">
        <v>83</v>
      </c>
      <c r="AJ329" t="s">
        <v>66</v>
      </c>
      <c r="AK329">
        <v>38</v>
      </c>
      <c r="AL329">
        <v>46</v>
      </c>
      <c r="AM329">
        <v>54.5</v>
      </c>
      <c r="AN329">
        <v>64.5</v>
      </c>
      <c r="AO329">
        <v>18.348623849999999</v>
      </c>
      <c r="AP329">
        <v>25.56818182</v>
      </c>
      <c r="AQ329">
        <v>3.2293577980000001</v>
      </c>
      <c r="AR329">
        <v>3.4263565890000001</v>
      </c>
      <c r="AS329">
        <v>0.19699879100000001</v>
      </c>
      <c r="AT329">
        <v>0</v>
      </c>
      <c r="AU329" t="s">
        <v>66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 t="s">
        <v>66</v>
      </c>
      <c r="BC329">
        <v>57.7</v>
      </c>
      <c r="BD329">
        <v>69.099999999999994</v>
      </c>
      <c r="BE329">
        <v>19.757365679999999</v>
      </c>
      <c r="BF329">
        <v>0</v>
      </c>
      <c r="BG329">
        <v>69.099999999999994</v>
      </c>
      <c r="BH329">
        <v>19.757365679999999</v>
      </c>
      <c r="BI329">
        <v>328</v>
      </c>
      <c r="BJ329">
        <v>30.7</v>
      </c>
      <c r="BK329">
        <v>13.5</v>
      </c>
      <c r="BL329">
        <f>328-77</f>
        <v>251</v>
      </c>
      <c r="BM329">
        <v>80</v>
      </c>
      <c r="BN329">
        <v>35</v>
      </c>
      <c r="BO329">
        <f t="shared" si="52"/>
        <v>57.5</v>
      </c>
      <c r="BP329">
        <v>4</v>
      </c>
      <c r="BQ329">
        <v>1</v>
      </c>
      <c r="BS329">
        <v>0</v>
      </c>
      <c r="BT329">
        <f t="shared" si="53"/>
        <v>56.707317073170728</v>
      </c>
      <c r="BU329">
        <f t="shared" si="54"/>
        <v>54.397394136807819</v>
      </c>
      <c r="BV329">
        <f t="shared" si="55"/>
        <v>29.880478087649404</v>
      </c>
      <c r="BW329">
        <f t="shared" si="56"/>
        <v>5.2173913043478262</v>
      </c>
    </row>
    <row r="330" spans="1:75" x14ac:dyDescent="0.2">
      <c r="A330" t="s">
        <v>60</v>
      </c>
      <c r="B330" t="s">
        <v>105</v>
      </c>
      <c r="C330" t="s">
        <v>106</v>
      </c>
      <c r="D330" t="s">
        <v>342</v>
      </c>
      <c r="E330" t="s">
        <v>355</v>
      </c>
      <c r="F330" t="s">
        <v>389</v>
      </c>
      <c r="G330">
        <v>1.25</v>
      </c>
      <c r="H330">
        <v>2.85</v>
      </c>
      <c r="I330">
        <v>3.35</v>
      </c>
      <c r="J330">
        <v>2.4500000000000002</v>
      </c>
      <c r="K330">
        <v>9.9</v>
      </c>
      <c r="L330">
        <v>4.96</v>
      </c>
      <c r="M330">
        <v>136</v>
      </c>
      <c r="N330">
        <v>232</v>
      </c>
      <c r="O330">
        <v>96</v>
      </c>
      <c r="P330">
        <v>232</v>
      </c>
      <c r="Q330">
        <v>96</v>
      </c>
      <c r="R330">
        <v>48</v>
      </c>
      <c r="S330">
        <v>143.1</v>
      </c>
      <c r="T330">
        <v>70.58823529</v>
      </c>
      <c r="U330">
        <v>0</v>
      </c>
      <c r="V330">
        <v>11</v>
      </c>
      <c r="W330">
        <v>18</v>
      </c>
      <c r="X330">
        <v>20</v>
      </c>
      <c r="Y330">
        <v>9</v>
      </c>
      <c r="Z330">
        <v>81.818181820000007</v>
      </c>
      <c r="AA330" t="s">
        <v>66</v>
      </c>
      <c r="AB330">
        <v>6</v>
      </c>
      <c r="AC330">
        <v>5</v>
      </c>
      <c r="AD330" t="s">
        <v>66</v>
      </c>
      <c r="AE330">
        <v>208</v>
      </c>
      <c r="AF330">
        <v>208</v>
      </c>
      <c r="AG330" t="s">
        <v>66</v>
      </c>
      <c r="AH330">
        <v>77</v>
      </c>
      <c r="AI330">
        <v>82</v>
      </c>
      <c r="AJ330" t="s">
        <v>66</v>
      </c>
      <c r="AK330">
        <v>68</v>
      </c>
      <c r="AL330">
        <v>60</v>
      </c>
      <c r="AM330">
        <v>72.5</v>
      </c>
      <c r="AN330">
        <v>71</v>
      </c>
      <c r="AO330">
        <v>-2.0689655170000001</v>
      </c>
      <c r="AP330">
        <v>0</v>
      </c>
      <c r="AQ330">
        <v>2.8689655169999999</v>
      </c>
      <c r="AR330">
        <v>2.9295774649999999</v>
      </c>
      <c r="AS330">
        <v>6.0611947999999999E-2</v>
      </c>
      <c r="AT330">
        <v>0</v>
      </c>
      <c r="AU330" t="s">
        <v>66</v>
      </c>
      <c r="AV330">
        <v>1</v>
      </c>
      <c r="AW330">
        <v>2</v>
      </c>
      <c r="AX330">
        <v>1</v>
      </c>
      <c r="AY330">
        <v>1</v>
      </c>
      <c r="AZ330">
        <v>1</v>
      </c>
      <c r="BA330">
        <v>1</v>
      </c>
      <c r="BB330" t="s">
        <v>66</v>
      </c>
      <c r="BC330">
        <v>52.4</v>
      </c>
      <c r="BD330">
        <v>62.9</v>
      </c>
      <c r="BE330">
        <v>20.038167940000001</v>
      </c>
      <c r="BF330">
        <v>0</v>
      </c>
      <c r="BG330">
        <v>62.9</v>
      </c>
      <c r="BH330">
        <v>20.038167940000001</v>
      </c>
      <c r="BI330">
        <v>386</v>
      </c>
      <c r="BJ330">
        <v>32.1</v>
      </c>
      <c r="BK330">
        <v>17.7</v>
      </c>
      <c r="BL330">
        <f>386-83</f>
        <v>303</v>
      </c>
      <c r="BM330">
        <v>94</v>
      </c>
      <c r="BN330">
        <v>57</v>
      </c>
      <c r="BO330">
        <f t="shared" si="52"/>
        <v>75.5</v>
      </c>
      <c r="BP330">
        <v>4</v>
      </c>
      <c r="BQ330">
        <v>1</v>
      </c>
      <c r="BS330">
        <v>0</v>
      </c>
      <c r="BT330">
        <f t="shared" si="53"/>
        <v>64.766839378238345</v>
      </c>
      <c r="BU330">
        <f t="shared" si="54"/>
        <v>65.732087227414326</v>
      </c>
      <c r="BV330">
        <f t="shared" si="55"/>
        <v>31.353135313531354</v>
      </c>
      <c r="BW330">
        <f t="shared" si="56"/>
        <v>3.9735099337748347</v>
      </c>
    </row>
    <row r="331" spans="1:75" x14ac:dyDescent="0.2">
      <c r="A331" t="s">
        <v>60</v>
      </c>
      <c r="B331" t="s">
        <v>105</v>
      </c>
      <c r="C331" t="s">
        <v>106</v>
      </c>
      <c r="D331" t="s">
        <v>342</v>
      </c>
      <c r="E331" t="s">
        <v>359</v>
      </c>
      <c r="F331" t="s">
        <v>391</v>
      </c>
      <c r="G331">
        <v>1.25</v>
      </c>
      <c r="H331">
        <v>2.85</v>
      </c>
      <c r="I331">
        <v>3.35</v>
      </c>
      <c r="J331">
        <v>2.4500000000000002</v>
      </c>
      <c r="K331">
        <v>9.9</v>
      </c>
      <c r="L331">
        <v>4.96</v>
      </c>
      <c r="M331">
        <v>132</v>
      </c>
      <c r="N331">
        <v>164</v>
      </c>
      <c r="O331">
        <v>32</v>
      </c>
      <c r="P331">
        <v>199</v>
      </c>
      <c r="Q331">
        <v>67</v>
      </c>
      <c r="R331">
        <v>33.5</v>
      </c>
      <c r="S331">
        <v>114.1</v>
      </c>
      <c r="T331">
        <v>50.757575760000002</v>
      </c>
      <c r="U331">
        <v>21.341463409999999</v>
      </c>
      <c r="V331">
        <v>13</v>
      </c>
      <c r="W331">
        <v>19</v>
      </c>
      <c r="X331">
        <v>29</v>
      </c>
      <c r="Y331">
        <v>16</v>
      </c>
      <c r="Z331">
        <v>123.0769231</v>
      </c>
      <c r="AA331" t="s">
        <v>66</v>
      </c>
      <c r="AB331">
        <v>3</v>
      </c>
      <c r="AC331">
        <v>7</v>
      </c>
      <c r="AD331" t="s">
        <v>66</v>
      </c>
      <c r="AE331">
        <v>132</v>
      </c>
      <c r="AF331">
        <v>173</v>
      </c>
      <c r="AG331" t="s">
        <v>66</v>
      </c>
      <c r="AH331">
        <v>65</v>
      </c>
      <c r="AI331">
        <v>77</v>
      </c>
      <c r="AJ331" t="s">
        <v>66</v>
      </c>
      <c r="AK331">
        <v>49</v>
      </c>
      <c r="AL331">
        <v>66</v>
      </c>
      <c r="AM331">
        <v>57</v>
      </c>
      <c r="AN331">
        <v>71.5</v>
      </c>
      <c r="AO331">
        <v>25.438596489999998</v>
      </c>
      <c r="AP331">
        <v>31.060606060000001</v>
      </c>
      <c r="AQ331">
        <v>2.3157894739999998</v>
      </c>
      <c r="AR331">
        <v>2.41958042</v>
      </c>
      <c r="AS331">
        <v>0.103790946</v>
      </c>
      <c r="AT331">
        <v>0</v>
      </c>
      <c r="AU331" t="s">
        <v>66</v>
      </c>
      <c r="AV331">
        <v>2</v>
      </c>
      <c r="AW331">
        <v>3</v>
      </c>
      <c r="AX331">
        <v>1</v>
      </c>
      <c r="AY331">
        <v>1</v>
      </c>
      <c r="AZ331">
        <v>1</v>
      </c>
      <c r="BA331">
        <v>1</v>
      </c>
      <c r="BB331" t="s">
        <v>66</v>
      </c>
      <c r="BC331">
        <v>40.9</v>
      </c>
      <c r="BD331">
        <v>54.9</v>
      </c>
      <c r="BE331">
        <v>34.229828849999997</v>
      </c>
      <c r="BF331">
        <v>0</v>
      </c>
      <c r="BG331">
        <v>54.9</v>
      </c>
      <c r="BH331">
        <v>34.229828849999997</v>
      </c>
      <c r="BI331">
        <v>295</v>
      </c>
      <c r="BJ331">
        <v>26.6</v>
      </c>
      <c r="BK331">
        <v>12.1</v>
      </c>
      <c r="BL331">
        <f>295-43</f>
        <v>252</v>
      </c>
      <c r="BM331">
        <v>82</v>
      </c>
      <c r="BN331">
        <v>75</v>
      </c>
      <c r="BO331">
        <f t="shared" si="52"/>
        <v>78.5</v>
      </c>
      <c r="BP331">
        <v>4</v>
      </c>
      <c r="BQ331">
        <v>1</v>
      </c>
      <c r="BS331">
        <v>0</v>
      </c>
      <c r="BT331">
        <f t="shared" si="53"/>
        <v>55.254237288135585</v>
      </c>
      <c r="BU331">
        <f t="shared" si="54"/>
        <v>51.127819548872175</v>
      </c>
      <c r="BV331">
        <f t="shared" si="55"/>
        <v>47.619047619047613</v>
      </c>
      <c r="BW331">
        <f t="shared" si="56"/>
        <v>27.388535031847134</v>
      </c>
    </row>
    <row r="332" spans="1:75" x14ac:dyDescent="0.2">
      <c r="A332" t="s">
        <v>60</v>
      </c>
      <c r="B332" t="s">
        <v>105</v>
      </c>
      <c r="C332" t="s">
        <v>106</v>
      </c>
      <c r="D332" t="s">
        <v>342</v>
      </c>
      <c r="E332" t="s">
        <v>363</v>
      </c>
      <c r="F332" t="s">
        <v>393</v>
      </c>
      <c r="G332">
        <v>1.25</v>
      </c>
      <c r="H332">
        <v>2.85</v>
      </c>
      <c r="I332">
        <v>3.35</v>
      </c>
      <c r="J332">
        <v>2.4500000000000002</v>
      </c>
      <c r="K332">
        <v>9.9</v>
      </c>
      <c r="L332">
        <v>4.96</v>
      </c>
      <c r="M332">
        <v>170</v>
      </c>
      <c r="N332">
        <v>260</v>
      </c>
      <c r="O332">
        <v>90</v>
      </c>
      <c r="P332">
        <v>323</v>
      </c>
      <c r="Q332">
        <v>153</v>
      </c>
      <c r="R332">
        <v>76.5</v>
      </c>
      <c r="S332">
        <v>200.1</v>
      </c>
      <c r="T332">
        <v>90</v>
      </c>
      <c r="U332">
        <v>24.23076923</v>
      </c>
      <c r="V332">
        <v>26</v>
      </c>
      <c r="W332">
        <v>40</v>
      </c>
      <c r="X332">
        <v>39</v>
      </c>
      <c r="Y332">
        <v>13</v>
      </c>
      <c r="Z332">
        <v>50</v>
      </c>
      <c r="AA332">
        <v>7</v>
      </c>
      <c r="AB332">
        <v>13</v>
      </c>
      <c r="AC332">
        <v>18</v>
      </c>
      <c r="AD332" t="s">
        <v>66</v>
      </c>
      <c r="AE332">
        <v>230</v>
      </c>
      <c r="AF332">
        <v>285</v>
      </c>
      <c r="AG332" t="s">
        <v>66</v>
      </c>
      <c r="AH332">
        <v>130</v>
      </c>
      <c r="AI332">
        <v>150</v>
      </c>
      <c r="AJ332" t="s">
        <v>66</v>
      </c>
      <c r="AK332">
        <v>110</v>
      </c>
      <c r="AL332">
        <v>148</v>
      </c>
      <c r="AM332">
        <v>120</v>
      </c>
      <c r="AN332">
        <v>149</v>
      </c>
      <c r="AO332">
        <v>24.166666670000001</v>
      </c>
      <c r="AP332">
        <v>23.913043479999999</v>
      </c>
      <c r="AQ332">
        <v>1.9166666670000001</v>
      </c>
      <c r="AR332">
        <v>1.912751678</v>
      </c>
      <c r="AS332">
        <v>-3.9149889999999998E-3</v>
      </c>
      <c r="AT332">
        <v>0</v>
      </c>
      <c r="AU332" t="s">
        <v>66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 t="s">
        <v>66</v>
      </c>
      <c r="BC332">
        <v>57.2</v>
      </c>
      <c r="BD332">
        <v>75.5</v>
      </c>
      <c r="BE332">
        <v>31.993006990000001</v>
      </c>
      <c r="BF332">
        <v>0</v>
      </c>
      <c r="BG332">
        <v>75.5</v>
      </c>
      <c r="BH332">
        <v>31.993006990000001</v>
      </c>
      <c r="BI332">
        <v>405</v>
      </c>
      <c r="BJ332">
        <v>48</v>
      </c>
      <c r="BK332">
        <v>27.6</v>
      </c>
      <c r="BL332">
        <f>405-70</f>
        <v>335</v>
      </c>
      <c r="BM332">
        <v>232</v>
      </c>
      <c r="BN332">
        <v>192</v>
      </c>
      <c r="BO332">
        <f t="shared" si="52"/>
        <v>212</v>
      </c>
      <c r="BP332">
        <v>4</v>
      </c>
      <c r="BQ332">
        <v>1</v>
      </c>
      <c r="BS332">
        <v>0</v>
      </c>
      <c r="BT332">
        <f t="shared" si="53"/>
        <v>58.024691358024697</v>
      </c>
      <c r="BU332">
        <f t="shared" si="54"/>
        <v>45.833333333333329</v>
      </c>
      <c r="BV332">
        <f t="shared" si="55"/>
        <v>31.343283582089555</v>
      </c>
      <c r="BW332">
        <f t="shared" si="56"/>
        <v>43.39622641509434</v>
      </c>
    </row>
    <row r="333" spans="1:75" x14ac:dyDescent="0.2">
      <c r="A333" t="s">
        <v>60</v>
      </c>
      <c r="B333" t="s">
        <v>105</v>
      </c>
      <c r="C333" t="s">
        <v>106</v>
      </c>
      <c r="D333" t="s">
        <v>342</v>
      </c>
      <c r="E333" t="s">
        <v>371</v>
      </c>
      <c r="F333" t="s">
        <v>397</v>
      </c>
      <c r="G333">
        <v>1.25</v>
      </c>
      <c r="H333">
        <v>2.85</v>
      </c>
      <c r="I333">
        <v>3.35</v>
      </c>
      <c r="J333">
        <v>2.4500000000000002</v>
      </c>
      <c r="K333">
        <v>9.9</v>
      </c>
      <c r="L333">
        <v>4.96</v>
      </c>
      <c r="M333">
        <v>140</v>
      </c>
      <c r="N333">
        <v>215</v>
      </c>
      <c r="O333">
        <v>75</v>
      </c>
      <c r="P333">
        <v>254</v>
      </c>
      <c r="Q333">
        <v>114</v>
      </c>
      <c r="R333">
        <v>57</v>
      </c>
      <c r="S333">
        <v>161.1</v>
      </c>
      <c r="T333">
        <v>81.428571430000005</v>
      </c>
      <c r="U333">
        <v>18.139534879999999</v>
      </c>
      <c r="V333">
        <v>24</v>
      </c>
      <c r="W333">
        <v>30</v>
      </c>
      <c r="X333">
        <v>37</v>
      </c>
      <c r="Y333">
        <v>13</v>
      </c>
      <c r="Z333">
        <v>54.166666669999998</v>
      </c>
      <c r="AA333" t="s">
        <v>66</v>
      </c>
      <c r="AB333">
        <v>7</v>
      </c>
      <c r="AC333">
        <v>11</v>
      </c>
      <c r="AD333" t="s">
        <v>66</v>
      </c>
      <c r="AE333">
        <v>283</v>
      </c>
      <c r="AF333">
        <v>214</v>
      </c>
      <c r="AG333" t="s">
        <v>66</v>
      </c>
      <c r="AH333">
        <v>139</v>
      </c>
      <c r="AI333">
        <v>134</v>
      </c>
      <c r="AJ333" t="s">
        <v>66</v>
      </c>
      <c r="AK333">
        <v>91</v>
      </c>
      <c r="AL333">
        <v>100</v>
      </c>
      <c r="AM333">
        <v>115</v>
      </c>
      <c r="AN333">
        <v>117</v>
      </c>
      <c r="AO333">
        <v>1.7391304350000001</v>
      </c>
      <c r="AP333">
        <v>-24.381625440000001</v>
      </c>
      <c r="AQ333">
        <v>2.4608695649999999</v>
      </c>
      <c r="AR333">
        <v>1.829059829</v>
      </c>
      <c r="AS333">
        <v>-0.63180973600000001</v>
      </c>
      <c r="AT333">
        <v>0</v>
      </c>
      <c r="AU333" t="s">
        <v>66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 t="s">
        <v>66</v>
      </c>
      <c r="BC333">
        <v>42.4</v>
      </c>
      <c r="BD333">
        <v>61.5</v>
      </c>
      <c r="BE333">
        <v>45.04716981</v>
      </c>
      <c r="BF333">
        <v>0</v>
      </c>
      <c r="BG333">
        <v>61.5</v>
      </c>
      <c r="BH333">
        <v>45.04716981</v>
      </c>
      <c r="BI333">
        <v>337</v>
      </c>
      <c r="BJ333">
        <v>45.5</v>
      </c>
      <c r="BK333">
        <v>20</v>
      </c>
      <c r="BL333">
        <f>337-51</f>
        <v>286</v>
      </c>
      <c r="BM333">
        <v>135</v>
      </c>
      <c r="BN333">
        <v>116</v>
      </c>
      <c r="BO333">
        <f t="shared" si="52"/>
        <v>125.5</v>
      </c>
      <c r="BP333">
        <v>4</v>
      </c>
      <c r="BQ333">
        <v>1</v>
      </c>
      <c r="BS333">
        <v>0</v>
      </c>
      <c r="BT333">
        <f t="shared" si="53"/>
        <v>58.456973293768542</v>
      </c>
      <c r="BU333">
        <f t="shared" si="54"/>
        <v>47.252747252747248</v>
      </c>
      <c r="BV333">
        <f t="shared" si="55"/>
        <v>1.048951048951049</v>
      </c>
      <c r="BW333">
        <f t="shared" si="56"/>
        <v>8.3665338645418323</v>
      </c>
    </row>
    <row r="334" spans="1:75" x14ac:dyDescent="0.2">
      <c r="A334" t="s">
        <v>60</v>
      </c>
      <c r="B334" t="s">
        <v>105</v>
      </c>
      <c r="C334" t="s">
        <v>106</v>
      </c>
      <c r="D334" t="s">
        <v>342</v>
      </c>
      <c r="E334" t="s">
        <v>375</v>
      </c>
      <c r="F334" t="s">
        <v>399</v>
      </c>
      <c r="G334">
        <v>1.25</v>
      </c>
      <c r="H334">
        <v>2.85</v>
      </c>
      <c r="I334">
        <v>3.35</v>
      </c>
      <c r="J334">
        <v>2.4500000000000002</v>
      </c>
      <c r="K334">
        <v>9.9</v>
      </c>
      <c r="L334">
        <v>4.96</v>
      </c>
      <c r="M334">
        <v>160</v>
      </c>
      <c r="N334">
        <v>189</v>
      </c>
      <c r="O334">
        <v>29</v>
      </c>
      <c r="P334">
        <v>272</v>
      </c>
      <c r="Q334">
        <v>112</v>
      </c>
      <c r="R334">
        <v>56</v>
      </c>
      <c r="S334">
        <v>159.1</v>
      </c>
      <c r="T334">
        <v>70</v>
      </c>
      <c r="U334">
        <v>43.915343919999998</v>
      </c>
      <c r="V334">
        <v>14</v>
      </c>
      <c r="W334">
        <v>20</v>
      </c>
      <c r="X334">
        <v>27</v>
      </c>
      <c r="Y334">
        <v>13</v>
      </c>
      <c r="Z334">
        <v>92.857142859999996</v>
      </c>
      <c r="AA334">
        <v>3</v>
      </c>
      <c r="AB334">
        <v>7</v>
      </c>
      <c r="AC334">
        <v>10</v>
      </c>
      <c r="AD334" t="s">
        <v>66</v>
      </c>
      <c r="AE334">
        <v>174</v>
      </c>
      <c r="AF334">
        <v>237</v>
      </c>
      <c r="AG334" t="s">
        <v>66</v>
      </c>
      <c r="AH334">
        <v>83</v>
      </c>
      <c r="AI334">
        <v>108</v>
      </c>
      <c r="AJ334" t="s">
        <v>66</v>
      </c>
      <c r="AK334">
        <v>73</v>
      </c>
      <c r="AL334">
        <v>87</v>
      </c>
      <c r="AM334">
        <v>78</v>
      </c>
      <c r="AN334">
        <v>97.5</v>
      </c>
      <c r="AO334">
        <v>25</v>
      </c>
      <c r="AP334">
        <v>36.206896550000003</v>
      </c>
      <c r="AQ334">
        <v>2.230769231</v>
      </c>
      <c r="AR334">
        <v>2.4307692310000002</v>
      </c>
      <c r="AS334">
        <v>0.2</v>
      </c>
      <c r="AT334">
        <v>0</v>
      </c>
      <c r="AU334" t="s">
        <v>66</v>
      </c>
      <c r="AV334">
        <v>1</v>
      </c>
      <c r="AW334">
        <v>2</v>
      </c>
      <c r="AX334">
        <v>1</v>
      </c>
      <c r="AY334">
        <v>1</v>
      </c>
      <c r="AZ334">
        <v>1</v>
      </c>
      <c r="BA334">
        <v>1</v>
      </c>
      <c r="BB334" t="s">
        <v>66</v>
      </c>
      <c r="BC334">
        <v>47.7</v>
      </c>
      <c r="BD334">
        <v>65.900000000000006</v>
      </c>
      <c r="BE334">
        <v>38.15513627</v>
      </c>
      <c r="BF334">
        <v>0</v>
      </c>
      <c r="BG334">
        <v>65.900000000000006</v>
      </c>
      <c r="BH334">
        <v>38.15513627</v>
      </c>
      <c r="BI334">
        <v>396</v>
      </c>
      <c r="BJ334">
        <v>36.1</v>
      </c>
      <c r="BK334">
        <v>9.3000000000000007</v>
      </c>
      <c r="BL334">
        <f>396-31</f>
        <v>365</v>
      </c>
      <c r="BM334">
        <v>120</v>
      </c>
      <c r="BN334">
        <v>92</v>
      </c>
      <c r="BO334">
        <f t="shared" si="52"/>
        <v>106</v>
      </c>
      <c r="BP334">
        <v>4</v>
      </c>
      <c r="BQ334">
        <v>1</v>
      </c>
      <c r="BS334">
        <v>0</v>
      </c>
      <c r="BT334">
        <f t="shared" si="53"/>
        <v>59.595959595959592</v>
      </c>
      <c r="BU334">
        <f t="shared" si="54"/>
        <v>61.218836565096957</v>
      </c>
      <c r="BV334">
        <f t="shared" si="55"/>
        <v>52.328767123287669</v>
      </c>
      <c r="BW334">
        <f t="shared" si="56"/>
        <v>26.415094339622641</v>
      </c>
    </row>
    <row r="335" spans="1:75" x14ac:dyDescent="0.2">
      <c r="A335" t="s">
        <v>127</v>
      </c>
      <c r="B335" t="s">
        <v>149</v>
      </c>
      <c r="C335" t="s">
        <v>106</v>
      </c>
      <c r="D335" t="s">
        <v>342</v>
      </c>
      <c r="E335" t="s">
        <v>351</v>
      </c>
      <c r="F335" t="s">
        <v>427</v>
      </c>
      <c r="G335">
        <v>2.95</v>
      </c>
      <c r="H335">
        <v>10.5</v>
      </c>
      <c r="I335">
        <v>2.2999999999999998</v>
      </c>
      <c r="J335">
        <v>1.05</v>
      </c>
      <c r="K335">
        <v>16.8</v>
      </c>
      <c r="L335">
        <v>4.3389830509999996</v>
      </c>
      <c r="M335">
        <v>100</v>
      </c>
      <c r="N335">
        <v>145</v>
      </c>
      <c r="O335">
        <v>45</v>
      </c>
      <c r="P335">
        <v>185</v>
      </c>
      <c r="Q335">
        <v>85</v>
      </c>
      <c r="R335">
        <v>42.5</v>
      </c>
      <c r="S335">
        <v>132.1</v>
      </c>
      <c r="T335">
        <v>85</v>
      </c>
      <c r="U335">
        <v>27.586206900000001</v>
      </c>
      <c r="V335">
        <v>9</v>
      </c>
      <c r="W335">
        <v>16</v>
      </c>
      <c r="X335">
        <v>15</v>
      </c>
      <c r="Y335">
        <v>6</v>
      </c>
      <c r="Z335">
        <v>66.666666669999998</v>
      </c>
      <c r="AA335" t="s">
        <v>66</v>
      </c>
      <c r="AB335">
        <v>1</v>
      </c>
      <c r="AC335">
        <v>5</v>
      </c>
      <c r="AD335" t="s">
        <v>66</v>
      </c>
      <c r="AE335">
        <v>118</v>
      </c>
      <c r="AF335">
        <v>134</v>
      </c>
      <c r="AG335" t="s">
        <v>66</v>
      </c>
      <c r="AH335">
        <v>60</v>
      </c>
      <c r="AI335">
        <v>72</v>
      </c>
      <c r="AJ335" t="s">
        <v>66</v>
      </c>
      <c r="AK335">
        <v>55</v>
      </c>
      <c r="AL335">
        <v>49</v>
      </c>
      <c r="AM335">
        <v>57.5</v>
      </c>
      <c r="AN335">
        <v>60.5</v>
      </c>
      <c r="AO335">
        <v>5.2173913040000004</v>
      </c>
      <c r="AP335">
        <v>13.559322030000001</v>
      </c>
      <c r="AQ335">
        <v>2.0521739129999998</v>
      </c>
      <c r="AR335">
        <v>2.2148760329999999</v>
      </c>
      <c r="AS335">
        <v>0.16270212000000001</v>
      </c>
      <c r="AT335">
        <v>0</v>
      </c>
      <c r="AU335" t="s">
        <v>66</v>
      </c>
      <c r="AV335">
        <v>1</v>
      </c>
      <c r="AW335">
        <v>1</v>
      </c>
      <c r="AX335">
        <v>0</v>
      </c>
      <c r="AY335">
        <v>1</v>
      </c>
      <c r="AZ335">
        <v>1</v>
      </c>
      <c r="BA335">
        <v>1</v>
      </c>
      <c r="BB335" t="s">
        <v>66</v>
      </c>
      <c r="BC335">
        <v>43.3</v>
      </c>
      <c r="BD335">
        <v>59.2</v>
      </c>
      <c r="BE335">
        <v>36.720554270000001</v>
      </c>
      <c r="BF335">
        <v>0</v>
      </c>
      <c r="BG335">
        <v>59.2</v>
      </c>
      <c r="BH335">
        <v>36.720554270000001</v>
      </c>
      <c r="BI335">
        <v>306</v>
      </c>
      <c r="BJ335">
        <v>18.5</v>
      </c>
      <c r="BK335">
        <v>10.3</v>
      </c>
      <c r="BL335">
        <f>306-80</f>
        <v>226</v>
      </c>
      <c r="BM335">
        <v>65</v>
      </c>
      <c r="BN335">
        <v>60</v>
      </c>
      <c r="BO335">
        <f t="shared" si="52"/>
        <v>62.5</v>
      </c>
      <c r="BP335">
        <v>4</v>
      </c>
      <c r="BQ335">
        <v>1</v>
      </c>
      <c r="BS335">
        <v>0</v>
      </c>
      <c r="BT335">
        <f t="shared" si="53"/>
        <v>67.320261437908499</v>
      </c>
      <c r="BU335">
        <f t="shared" si="54"/>
        <v>51.351351351351347</v>
      </c>
      <c r="BV335">
        <f t="shared" si="55"/>
        <v>47.787610619469028</v>
      </c>
      <c r="BW335">
        <f t="shared" si="56"/>
        <v>8</v>
      </c>
    </row>
    <row r="336" spans="1:75" x14ac:dyDescent="0.2">
      <c r="A336" t="s">
        <v>127</v>
      </c>
      <c r="B336" t="s">
        <v>149</v>
      </c>
      <c r="C336" t="s">
        <v>106</v>
      </c>
      <c r="D336" t="s">
        <v>342</v>
      </c>
      <c r="E336" t="s">
        <v>355</v>
      </c>
      <c r="F336" t="s">
        <v>429</v>
      </c>
      <c r="G336">
        <v>2.95</v>
      </c>
      <c r="H336">
        <v>10.5</v>
      </c>
      <c r="I336">
        <v>2.2999999999999998</v>
      </c>
      <c r="J336">
        <v>1.05</v>
      </c>
      <c r="K336">
        <v>16.8</v>
      </c>
      <c r="L336">
        <v>4.3389830509999996</v>
      </c>
      <c r="M336">
        <v>130</v>
      </c>
      <c r="N336">
        <v>168</v>
      </c>
      <c r="O336">
        <v>38</v>
      </c>
      <c r="P336">
        <v>188</v>
      </c>
      <c r="Q336">
        <v>58</v>
      </c>
      <c r="R336">
        <v>29</v>
      </c>
      <c r="S336">
        <v>105.1</v>
      </c>
      <c r="T336">
        <v>44.61538462</v>
      </c>
      <c r="U336">
        <v>11.9047619</v>
      </c>
      <c r="V336">
        <v>10</v>
      </c>
      <c r="W336">
        <v>14</v>
      </c>
      <c r="X336">
        <v>15</v>
      </c>
      <c r="Y336">
        <v>5</v>
      </c>
      <c r="Z336">
        <v>50</v>
      </c>
      <c r="AA336" t="s">
        <v>66</v>
      </c>
      <c r="AB336">
        <v>3</v>
      </c>
      <c r="AC336">
        <v>4</v>
      </c>
      <c r="AD336" t="s">
        <v>66</v>
      </c>
      <c r="AE336">
        <v>119</v>
      </c>
      <c r="AF336">
        <v>144</v>
      </c>
      <c r="AG336" t="s">
        <v>66</v>
      </c>
      <c r="AH336">
        <v>51</v>
      </c>
      <c r="AI336">
        <v>48</v>
      </c>
      <c r="AJ336" t="s">
        <v>66</v>
      </c>
      <c r="AK336">
        <v>30</v>
      </c>
      <c r="AL336">
        <v>36</v>
      </c>
      <c r="AM336">
        <v>40.5</v>
      </c>
      <c r="AN336">
        <v>42</v>
      </c>
      <c r="AO336">
        <v>3.703703704</v>
      </c>
      <c r="AP336">
        <v>21.008403359999999</v>
      </c>
      <c r="AQ336">
        <v>2.9382716050000002</v>
      </c>
      <c r="AR336">
        <v>3.4285714289999998</v>
      </c>
      <c r="AS336">
        <v>0.490299824</v>
      </c>
      <c r="AT336">
        <v>0</v>
      </c>
      <c r="AU336" t="s">
        <v>66</v>
      </c>
      <c r="AV336">
        <v>0</v>
      </c>
      <c r="AW336">
        <v>2</v>
      </c>
      <c r="AX336">
        <v>0</v>
      </c>
      <c r="AY336">
        <v>1</v>
      </c>
      <c r="AZ336">
        <v>1</v>
      </c>
      <c r="BA336">
        <v>1</v>
      </c>
      <c r="BB336" t="s">
        <v>66</v>
      </c>
      <c r="BC336">
        <v>48.3</v>
      </c>
      <c r="BD336">
        <v>64.5</v>
      </c>
      <c r="BE336">
        <v>33.540372669999996</v>
      </c>
      <c r="BF336">
        <v>0</v>
      </c>
      <c r="BG336">
        <v>64.5</v>
      </c>
      <c r="BH336">
        <v>33.540372669999996</v>
      </c>
      <c r="BI336">
        <v>241</v>
      </c>
      <c r="BJ336">
        <v>6.4</v>
      </c>
      <c r="BK336">
        <v>6.5</v>
      </c>
      <c r="BL336">
        <f>241-57</f>
        <v>184</v>
      </c>
      <c r="BM336">
        <v>42</v>
      </c>
      <c r="BN336">
        <v>32</v>
      </c>
      <c r="BO336">
        <f t="shared" si="52"/>
        <v>37</v>
      </c>
      <c r="BP336">
        <v>4</v>
      </c>
      <c r="BQ336">
        <v>1</v>
      </c>
      <c r="BS336">
        <v>0</v>
      </c>
      <c r="BT336">
        <f t="shared" si="53"/>
        <v>46.058091286307054</v>
      </c>
      <c r="BU336">
        <f t="shared" si="54"/>
        <v>-56.249999999999986</v>
      </c>
      <c r="BV336">
        <f t="shared" si="55"/>
        <v>35.326086956521742</v>
      </c>
      <c r="BW336">
        <f t="shared" si="56"/>
        <v>-9.4594594594594597</v>
      </c>
    </row>
    <row r="337" spans="1:75" x14ac:dyDescent="0.2">
      <c r="A337" t="s">
        <v>127</v>
      </c>
      <c r="B337" t="s">
        <v>149</v>
      </c>
      <c r="C337" t="s">
        <v>106</v>
      </c>
      <c r="D337" t="s">
        <v>342</v>
      </c>
      <c r="E337" t="s">
        <v>357</v>
      </c>
      <c r="F337" t="s">
        <v>430</v>
      </c>
      <c r="G337">
        <v>2.95</v>
      </c>
      <c r="H337">
        <v>10.5</v>
      </c>
      <c r="I337">
        <v>2.2999999999999998</v>
      </c>
      <c r="J337">
        <v>1.05</v>
      </c>
      <c r="K337">
        <v>16.8</v>
      </c>
      <c r="L337">
        <v>4.3389830509999996</v>
      </c>
      <c r="M337">
        <v>135</v>
      </c>
      <c r="N337">
        <v>208</v>
      </c>
      <c r="O337">
        <v>73</v>
      </c>
      <c r="P337">
        <v>220</v>
      </c>
      <c r="Q337">
        <v>85</v>
      </c>
      <c r="R337">
        <v>42.5</v>
      </c>
      <c r="S337">
        <v>132.1</v>
      </c>
      <c r="T337">
        <v>62.962962959999999</v>
      </c>
      <c r="U337">
        <v>5.769230769</v>
      </c>
      <c r="V337">
        <v>12</v>
      </c>
      <c r="W337">
        <v>18</v>
      </c>
      <c r="X337">
        <v>17</v>
      </c>
      <c r="Y337">
        <v>5</v>
      </c>
      <c r="Z337">
        <v>41.666666669999998</v>
      </c>
      <c r="AA337" t="s">
        <v>66</v>
      </c>
      <c r="AB337">
        <v>5</v>
      </c>
      <c r="AC337">
        <v>7</v>
      </c>
      <c r="AD337" t="s">
        <v>66</v>
      </c>
      <c r="AE337">
        <v>146</v>
      </c>
      <c r="AF337">
        <v>146</v>
      </c>
      <c r="AG337" t="s">
        <v>66</v>
      </c>
      <c r="AH337">
        <v>77</v>
      </c>
      <c r="AI337">
        <v>60</v>
      </c>
      <c r="AJ337" t="s">
        <v>66</v>
      </c>
      <c r="AK337">
        <v>55</v>
      </c>
      <c r="AL337">
        <v>51</v>
      </c>
      <c r="AM337">
        <v>66</v>
      </c>
      <c r="AN337">
        <v>55.5</v>
      </c>
      <c r="AO337">
        <v>-15.90909091</v>
      </c>
      <c r="AP337">
        <v>0</v>
      </c>
      <c r="AQ337">
        <v>2.212121212</v>
      </c>
      <c r="AR337">
        <v>2.6306306309999998</v>
      </c>
      <c r="AS337">
        <v>0.41850941899999999</v>
      </c>
      <c r="AT337">
        <v>0</v>
      </c>
      <c r="AU337" t="s">
        <v>66</v>
      </c>
      <c r="AV337">
        <v>0</v>
      </c>
      <c r="AW337">
        <v>1</v>
      </c>
      <c r="AX337">
        <v>0</v>
      </c>
      <c r="AY337">
        <v>1</v>
      </c>
      <c r="AZ337">
        <v>1</v>
      </c>
      <c r="BA337">
        <v>1</v>
      </c>
      <c r="BB337" t="s">
        <v>66</v>
      </c>
      <c r="BC337">
        <v>47</v>
      </c>
      <c r="BD337">
        <v>54.6</v>
      </c>
      <c r="BE337">
        <v>16.170212769999999</v>
      </c>
      <c r="BF337">
        <v>0</v>
      </c>
      <c r="BG337">
        <v>54.6</v>
      </c>
      <c r="BH337">
        <v>16.170212769999999</v>
      </c>
      <c r="BI337">
        <v>256</v>
      </c>
      <c r="BJ337">
        <v>18.5</v>
      </c>
      <c r="BK337">
        <v>8.3000000000000007</v>
      </c>
      <c r="BL337">
        <f>256-137</f>
        <v>119</v>
      </c>
      <c r="BM337">
        <v>72</v>
      </c>
      <c r="BN337">
        <v>35</v>
      </c>
      <c r="BO337">
        <f t="shared" si="52"/>
        <v>53.5</v>
      </c>
      <c r="BP337">
        <v>4</v>
      </c>
      <c r="BQ337">
        <v>1</v>
      </c>
      <c r="BS337">
        <v>0</v>
      </c>
      <c r="BT337">
        <f t="shared" si="53"/>
        <v>47.265625</v>
      </c>
      <c r="BU337">
        <f t="shared" si="54"/>
        <v>35.135135135135137</v>
      </c>
      <c r="BV337">
        <f t="shared" si="55"/>
        <v>-22.689075630252102</v>
      </c>
      <c r="BW337">
        <f t="shared" si="56"/>
        <v>-23.364485981308412</v>
      </c>
    </row>
    <row r="338" spans="1:75" x14ac:dyDescent="0.2">
      <c r="A338" t="s">
        <v>127</v>
      </c>
      <c r="B338" t="s">
        <v>149</v>
      </c>
      <c r="C338" t="s">
        <v>106</v>
      </c>
      <c r="D338" t="s">
        <v>342</v>
      </c>
      <c r="E338" t="s">
        <v>359</v>
      </c>
      <c r="F338" t="s">
        <v>431</v>
      </c>
      <c r="G338">
        <v>2.95</v>
      </c>
      <c r="H338">
        <v>10.5</v>
      </c>
      <c r="I338">
        <v>2.2999999999999998</v>
      </c>
      <c r="J338">
        <v>1.05</v>
      </c>
      <c r="K338">
        <v>16.8</v>
      </c>
      <c r="L338">
        <v>4.3389830509999996</v>
      </c>
      <c r="M338">
        <v>120</v>
      </c>
      <c r="N338">
        <v>169</v>
      </c>
      <c r="O338">
        <v>49</v>
      </c>
      <c r="P338">
        <v>178</v>
      </c>
      <c r="Q338">
        <v>58</v>
      </c>
      <c r="R338">
        <v>29</v>
      </c>
      <c r="S338">
        <v>105.1</v>
      </c>
      <c r="T338">
        <v>48.333333330000002</v>
      </c>
      <c r="U338">
        <v>5.3254437870000002</v>
      </c>
      <c r="V338">
        <v>12</v>
      </c>
      <c r="W338">
        <v>15</v>
      </c>
      <c r="X338">
        <v>15</v>
      </c>
      <c r="Y338">
        <v>3</v>
      </c>
      <c r="Z338">
        <v>25</v>
      </c>
      <c r="AA338" t="s">
        <v>66</v>
      </c>
      <c r="AB338">
        <v>4</v>
      </c>
      <c r="AC338">
        <v>5</v>
      </c>
      <c r="AD338" t="s">
        <v>66</v>
      </c>
      <c r="AE338">
        <v>120</v>
      </c>
      <c r="AF338">
        <v>73</v>
      </c>
      <c r="AG338" t="s">
        <v>66</v>
      </c>
      <c r="AH338">
        <v>56</v>
      </c>
      <c r="AI338">
        <v>45</v>
      </c>
      <c r="AJ338" t="s">
        <v>66</v>
      </c>
      <c r="AK338">
        <v>39</v>
      </c>
      <c r="AL338">
        <v>43</v>
      </c>
      <c r="AM338">
        <v>47.5</v>
      </c>
      <c r="AN338">
        <v>44</v>
      </c>
      <c r="AO338">
        <v>-7.3684210529999996</v>
      </c>
      <c r="AP338">
        <v>-39.166666669999998</v>
      </c>
      <c r="AQ338">
        <v>2.5263157889999999</v>
      </c>
      <c r="AR338">
        <v>1.6590909089999999</v>
      </c>
      <c r="AS338">
        <v>-0.86722487999999998</v>
      </c>
      <c r="AT338">
        <v>0</v>
      </c>
      <c r="AU338" t="s">
        <v>66</v>
      </c>
      <c r="AV338">
        <v>1</v>
      </c>
      <c r="AW338">
        <v>1</v>
      </c>
      <c r="AX338">
        <v>0</v>
      </c>
      <c r="AY338">
        <v>1</v>
      </c>
      <c r="AZ338">
        <v>1</v>
      </c>
      <c r="BA338">
        <v>1</v>
      </c>
      <c r="BB338" t="s">
        <v>66</v>
      </c>
      <c r="BC338">
        <v>51.2</v>
      </c>
      <c r="BD338">
        <v>61</v>
      </c>
      <c r="BE338">
        <v>19.140625</v>
      </c>
      <c r="BF338">
        <v>0</v>
      </c>
      <c r="BG338">
        <v>61</v>
      </c>
      <c r="BH338">
        <v>19.140625</v>
      </c>
      <c r="BI338">
        <v>226</v>
      </c>
      <c r="BJ338">
        <v>12.7</v>
      </c>
      <c r="BK338">
        <v>5.6</v>
      </c>
      <c r="BL338">
        <f>226-87</f>
        <v>139</v>
      </c>
      <c r="BM338">
        <v>72</v>
      </c>
      <c r="BN338">
        <v>35</v>
      </c>
      <c r="BO338">
        <f t="shared" si="52"/>
        <v>53.5</v>
      </c>
      <c r="BP338">
        <v>4</v>
      </c>
      <c r="BQ338">
        <v>1</v>
      </c>
      <c r="BS338">
        <v>0</v>
      </c>
      <c r="BT338">
        <f t="shared" si="53"/>
        <v>46.902654867256636</v>
      </c>
      <c r="BU338">
        <f t="shared" si="54"/>
        <v>5.5118110236220419</v>
      </c>
      <c r="BV338">
        <f t="shared" si="55"/>
        <v>13.669064748201439</v>
      </c>
      <c r="BW338">
        <f t="shared" si="56"/>
        <v>11.214953271028037</v>
      </c>
    </row>
    <row r="339" spans="1:75" x14ac:dyDescent="0.2">
      <c r="A339" t="s">
        <v>127</v>
      </c>
      <c r="B339" t="s">
        <v>149</v>
      </c>
      <c r="C339" t="s">
        <v>106</v>
      </c>
      <c r="D339" t="s">
        <v>342</v>
      </c>
      <c r="E339" t="s">
        <v>361</v>
      </c>
      <c r="F339" t="s">
        <v>432</v>
      </c>
      <c r="G339">
        <v>2.95</v>
      </c>
      <c r="H339">
        <v>10.5</v>
      </c>
      <c r="I339">
        <v>2.2999999999999998</v>
      </c>
      <c r="J339">
        <v>1.05</v>
      </c>
      <c r="K339">
        <v>16.8</v>
      </c>
      <c r="L339">
        <v>4.3389830509999996</v>
      </c>
      <c r="M339">
        <v>130</v>
      </c>
      <c r="N339">
        <v>190</v>
      </c>
      <c r="O339">
        <v>60</v>
      </c>
      <c r="P339">
        <v>219</v>
      </c>
      <c r="Q339">
        <v>89</v>
      </c>
      <c r="R339">
        <v>44.5</v>
      </c>
      <c r="S339">
        <v>136.1</v>
      </c>
      <c r="T339">
        <v>68.46153846</v>
      </c>
      <c r="U339">
        <v>15.26315789</v>
      </c>
      <c r="V339">
        <v>12</v>
      </c>
      <c r="W339">
        <v>19</v>
      </c>
      <c r="X339">
        <v>18</v>
      </c>
      <c r="Y339">
        <v>6</v>
      </c>
      <c r="Z339">
        <v>50</v>
      </c>
      <c r="AA339" t="s">
        <v>66</v>
      </c>
      <c r="AB339">
        <v>5</v>
      </c>
      <c r="AC339">
        <v>6</v>
      </c>
      <c r="AD339" t="s">
        <v>66</v>
      </c>
      <c r="AE339">
        <v>164</v>
      </c>
      <c r="AF339">
        <v>164</v>
      </c>
      <c r="AG339" t="s">
        <v>66</v>
      </c>
      <c r="AH339">
        <v>55</v>
      </c>
      <c r="AI339">
        <v>63</v>
      </c>
      <c r="AJ339" t="s">
        <v>66</v>
      </c>
      <c r="AK339">
        <v>22</v>
      </c>
      <c r="AL339">
        <v>31</v>
      </c>
      <c r="AM339">
        <v>38.5</v>
      </c>
      <c r="AN339">
        <v>47</v>
      </c>
      <c r="AO339">
        <v>22.07792208</v>
      </c>
      <c r="AP339">
        <v>0</v>
      </c>
      <c r="AQ339">
        <v>4.2597402600000001</v>
      </c>
      <c r="AR339">
        <v>3.4893617020000001</v>
      </c>
      <c r="AS339">
        <v>-0.77037855799999999</v>
      </c>
      <c r="AT339">
        <v>0</v>
      </c>
      <c r="AU339" t="s">
        <v>66</v>
      </c>
      <c r="AV339">
        <v>2</v>
      </c>
      <c r="AW339">
        <v>2</v>
      </c>
      <c r="AX339">
        <v>0</v>
      </c>
      <c r="AY339">
        <v>1</v>
      </c>
      <c r="AZ339">
        <v>1</v>
      </c>
      <c r="BA339">
        <v>1</v>
      </c>
      <c r="BB339" t="s">
        <v>66</v>
      </c>
      <c r="BC339">
        <v>46.3</v>
      </c>
      <c r="BD339">
        <v>54.5</v>
      </c>
      <c r="BE339">
        <v>17.710583150000001</v>
      </c>
      <c r="BF339">
        <v>0</v>
      </c>
      <c r="BG339">
        <v>54.5</v>
      </c>
      <c r="BH339">
        <v>17.710583150000001</v>
      </c>
      <c r="BI339">
        <v>292</v>
      </c>
      <c r="BJ339">
        <v>32</v>
      </c>
      <c r="BK339">
        <v>9.1999999999999993</v>
      </c>
      <c r="BL339">
        <f>292-80</f>
        <v>212</v>
      </c>
      <c r="BM339">
        <v>70</v>
      </c>
      <c r="BN339">
        <v>60</v>
      </c>
      <c r="BO339">
        <f t="shared" si="52"/>
        <v>65</v>
      </c>
      <c r="BP339">
        <v>4</v>
      </c>
      <c r="BQ339">
        <v>1</v>
      </c>
      <c r="BS339">
        <v>0</v>
      </c>
      <c r="BT339">
        <f t="shared" si="53"/>
        <v>55.479452054794521</v>
      </c>
      <c r="BU339">
        <f t="shared" si="54"/>
        <v>62.5</v>
      </c>
      <c r="BV339">
        <f t="shared" si="55"/>
        <v>22.641509433962266</v>
      </c>
      <c r="BW339">
        <f t="shared" si="56"/>
        <v>40.769230769230766</v>
      </c>
    </row>
    <row r="340" spans="1:75" x14ac:dyDescent="0.2">
      <c r="A340" t="s">
        <v>127</v>
      </c>
      <c r="B340" t="s">
        <v>149</v>
      </c>
      <c r="C340" t="s">
        <v>106</v>
      </c>
      <c r="D340" t="s">
        <v>342</v>
      </c>
      <c r="E340" t="s">
        <v>377</v>
      </c>
      <c r="F340" t="s">
        <v>440</v>
      </c>
      <c r="G340">
        <v>2.95</v>
      </c>
      <c r="H340">
        <v>10.5</v>
      </c>
      <c r="I340">
        <v>2.2999999999999998</v>
      </c>
      <c r="J340">
        <v>1.05</v>
      </c>
      <c r="K340">
        <v>16.8</v>
      </c>
      <c r="L340">
        <v>4.3389830509999996</v>
      </c>
      <c r="M340">
        <v>82</v>
      </c>
      <c r="N340">
        <v>90</v>
      </c>
      <c r="O340">
        <v>8</v>
      </c>
      <c r="P340">
        <v>91</v>
      </c>
      <c r="Q340">
        <v>9</v>
      </c>
      <c r="R340">
        <v>4.5</v>
      </c>
      <c r="S340">
        <v>56.1</v>
      </c>
      <c r="T340">
        <v>10.975609759999999</v>
      </c>
      <c r="U340">
        <v>1.111111111</v>
      </c>
      <c r="V340">
        <v>5</v>
      </c>
      <c r="W340">
        <v>8</v>
      </c>
      <c r="X340">
        <v>8</v>
      </c>
      <c r="Y340">
        <v>3</v>
      </c>
      <c r="Z340">
        <v>60</v>
      </c>
      <c r="AA340" t="s">
        <v>66</v>
      </c>
      <c r="AB340" t="s">
        <v>66</v>
      </c>
      <c r="AC340" t="s">
        <v>66</v>
      </c>
      <c r="AD340" t="s">
        <v>66</v>
      </c>
      <c r="AE340">
        <v>67</v>
      </c>
      <c r="AF340">
        <v>50</v>
      </c>
      <c r="AG340" t="s">
        <v>66</v>
      </c>
      <c r="AH340">
        <v>43</v>
      </c>
      <c r="AI340">
        <v>38</v>
      </c>
      <c r="AJ340" t="s">
        <v>66</v>
      </c>
      <c r="AK340">
        <v>20</v>
      </c>
      <c r="AL340">
        <v>17</v>
      </c>
      <c r="AM340">
        <v>31.5</v>
      </c>
      <c r="AN340">
        <v>27.5</v>
      </c>
      <c r="AO340">
        <v>-12.6984127</v>
      </c>
      <c r="AP340">
        <v>-25.373134329999999</v>
      </c>
      <c r="AQ340">
        <v>2.1269841270000001</v>
      </c>
      <c r="AR340">
        <v>1.818181818</v>
      </c>
      <c r="AS340">
        <v>-0.308802309</v>
      </c>
      <c r="AT340">
        <v>0</v>
      </c>
      <c r="AU340" t="s">
        <v>66</v>
      </c>
      <c r="AV340">
        <v>1</v>
      </c>
      <c r="AW340">
        <v>3</v>
      </c>
      <c r="AX340">
        <v>0</v>
      </c>
      <c r="AY340">
        <v>1</v>
      </c>
      <c r="AZ340">
        <v>1</v>
      </c>
      <c r="BA340">
        <v>1</v>
      </c>
      <c r="BB340" t="s">
        <v>66</v>
      </c>
      <c r="BC340">
        <v>56.8</v>
      </c>
      <c r="BD340">
        <v>74.7</v>
      </c>
      <c r="BE340">
        <v>31.51408451</v>
      </c>
      <c r="BF340">
        <v>0</v>
      </c>
      <c r="BG340">
        <v>74.7</v>
      </c>
      <c r="BH340">
        <v>31.51408451</v>
      </c>
      <c r="BI340">
        <v>100</v>
      </c>
      <c r="BJ340">
        <v>10</v>
      </c>
      <c r="BK340" t="s">
        <v>66</v>
      </c>
      <c r="BL340">
        <v>46</v>
      </c>
      <c r="BM340">
        <v>50</v>
      </c>
      <c r="BN340">
        <v>15</v>
      </c>
      <c r="BO340">
        <f t="shared" si="52"/>
        <v>32.5</v>
      </c>
      <c r="BP340">
        <v>4</v>
      </c>
      <c r="BQ340">
        <v>1</v>
      </c>
      <c r="BS340">
        <v>0</v>
      </c>
      <c r="BT340">
        <f t="shared" si="53"/>
        <v>18</v>
      </c>
      <c r="BU340">
        <f t="shared" si="54"/>
        <v>50</v>
      </c>
      <c r="BV340">
        <f t="shared" si="55"/>
        <v>-45.652173913043477</v>
      </c>
      <c r="BW340">
        <f t="shared" si="56"/>
        <v>3.0769230769230771</v>
      </c>
    </row>
    <row r="341" spans="1:75" x14ac:dyDescent="0.2">
      <c r="A341" t="s">
        <v>127</v>
      </c>
      <c r="B341" t="s">
        <v>149</v>
      </c>
      <c r="C341" t="s">
        <v>106</v>
      </c>
      <c r="D341" t="s">
        <v>342</v>
      </c>
      <c r="E341" t="s">
        <v>379</v>
      </c>
      <c r="F341" t="s">
        <v>441</v>
      </c>
      <c r="G341">
        <v>2.95</v>
      </c>
      <c r="H341">
        <v>10.5</v>
      </c>
      <c r="I341">
        <v>2.2999999999999998</v>
      </c>
      <c r="J341">
        <v>1.05</v>
      </c>
      <c r="K341">
        <v>16.8</v>
      </c>
      <c r="L341">
        <v>4.3389830509999996</v>
      </c>
      <c r="M341">
        <v>100</v>
      </c>
      <c r="N341">
        <v>150</v>
      </c>
      <c r="O341">
        <v>50</v>
      </c>
      <c r="P341">
        <v>196</v>
      </c>
      <c r="Q341">
        <v>96</v>
      </c>
      <c r="R341">
        <v>48</v>
      </c>
      <c r="S341">
        <v>143.1</v>
      </c>
      <c r="T341">
        <v>96</v>
      </c>
      <c r="U341">
        <v>30.666666670000001</v>
      </c>
      <c r="V341">
        <v>9</v>
      </c>
      <c r="W341">
        <v>13</v>
      </c>
      <c r="X341">
        <v>12</v>
      </c>
      <c r="Y341">
        <v>3</v>
      </c>
      <c r="Z341">
        <v>33.333333330000002</v>
      </c>
      <c r="AA341" t="s">
        <v>66</v>
      </c>
      <c r="AB341">
        <v>2</v>
      </c>
      <c r="AC341">
        <v>3</v>
      </c>
      <c r="AD341" t="s">
        <v>66</v>
      </c>
      <c r="AE341">
        <v>118</v>
      </c>
      <c r="AF341">
        <v>148</v>
      </c>
      <c r="AG341" t="s">
        <v>66</v>
      </c>
      <c r="AH341">
        <v>62</v>
      </c>
      <c r="AI341">
        <v>50</v>
      </c>
      <c r="AJ341" t="s">
        <v>66</v>
      </c>
      <c r="AK341">
        <v>50</v>
      </c>
      <c r="AL341">
        <v>39</v>
      </c>
      <c r="AM341">
        <v>56</v>
      </c>
      <c r="AN341">
        <v>44.5</v>
      </c>
      <c r="AO341">
        <v>-20.535714290000001</v>
      </c>
      <c r="AP341">
        <v>25.42372881</v>
      </c>
      <c r="AQ341">
        <v>2.1071428569999999</v>
      </c>
      <c r="AR341">
        <v>3.3258426970000001</v>
      </c>
      <c r="AS341">
        <v>1.21869984</v>
      </c>
      <c r="AT341">
        <v>0</v>
      </c>
      <c r="AU341" t="s">
        <v>66</v>
      </c>
      <c r="AV341">
        <v>1</v>
      </c>
      <c r="AW341">
        <v>1</v>
      </c>
      <c r="AX341">
        <v>0</v>
      </c>
      <c r="AY341">
        <v>1</v>
      </c>
      <c r="AZ341">
        <v>1</v>
      </c>
      <c r="BA341">
        <v>1</v>
      </c>
      <c r="BB341" t="s">
        <v>66</v>
      </c>
      <c r="BC341">
        <v>60</v>
      </c>
      <c r="BD341">
        <v>67.400000000000006</v>
      </c>
      <c r="BE341">
        <v>12.33333333</v>
      </c>
      <c r="BF341">
        <v>0</v>
      </c>
      <c r="BG341">
        <v>67.400000000000006</v>
      </c>
      <c r="BH341">
        <v>12.33333333</v>
      </c>
      <c r="BI341">
        <v>262</v>
      </c>
      <c r="BJ341">
        <v>15.4</v>
      </c>
      <c r="BK341">
        <v>7.2</v>
      </c>
      <c r="BL341">
        <f>262-56</f>
        <v>206</v>
      </c>
      <c r="BM341">
        <v>65</v>
      </c>
      <c r="BN341">
        <v>35</v>
      </c>
      <c r="BO341">
        <f t="shared" si="52"/>
        <v>50</v>
      </c>
      <c r="BP341">
        <v>4</v>
      </c>
      <c r="BQ341">
        <v>1</v>
      </c>
      <c r="BS341">
        <v>0</v>
      </c>
      <c r="BT341">
        <f t="shared" si="53"/>
        <v>61.832061068702295</v>
      </c>
      <c r="BU341">
        <f t="shared" si="54"/>
        <v>41.558441558441558</v>
      </c>
      <c r="BV341">
        <f t="shared" si="55"/>
        <v>42.718446601941743</v>
      </c>
      <c r="BW341">
        <f t="shared" si="56"/>
        <v>-12</v>
      </c>
    </row>
    <row r="342" spans="1:75" x14ac:dyDescent="0.2">
      <c r="A342" t="s">
        <v>127</v>
      </c>
      <c r="B342" t="s">
        <v>149</v>
      </c>
      <c r="C342" t="s">
        <v>106</v>
      </c>
      <c r="D342" t="s">
        <v>342</v>
      </c>
      <c r="E342" t="s">
        <v>381</v>
      </c>
      <c r="F342" t="s">
        <v>442</v>
      </c>
      <c r="G342">
        <v>2.95</v>
      </c>
      <c r="H342">
        <v>10.5</v>
      </c>
      <c r="I342">
        <v>2.2999999999999998</v>
      </c>
      <c r="J342">
        <v>1.05</v>
      </c>
      <c r="K342">
        <v>16.8</v>
      </c>
      <c r="L342">
        <v>4.3389830509999996</v>
      </c>
      <c r="M342">
        <v>128</v>
      </c>
      <c r="N342">
        <v>190</v>
      </c>
      <c r="O342">
        <v>62</v>
      </c>
      <c r="P342">
        <v>222</v>
      </c>
      <c r="Q342">
        <v>94</v>
      </c>
      <c r="R342">
        <v>47</v>
      </c>
      <c r="S342">
        <v>141.1</v>
      </c>
      <c r="T342">
        <v>73.4375</v>
      </c>
      <c r="U342">
        <v>16.84210526</v>
      </c>
      <c r="V342">
        <v>11</v>
      </c>
      <c r="W342">
        <v>19</v>
      </c>
      <c r="X342">
        <v>18</v>
      </c>
      <c r="Y342">
        <v>7</v>
      </c>
      <c r="Z342">
        <v>63.636363639999999</v>
      </c>
      <c r="AA342" t="s">
        <v>66</v>
      </c>
      <c r="AB342">
        <v>5</v>
      </c>
      <c r="AC342">
        <v>7</v>
      </c>
      <c r="AD342" t="s">
        <v>66</v>
      </c>
      <c r="AE342">
        <v>180</v>
      </c>
      <c r="AF342">
        <v>199</v>
      </c>
      <c r="AG342" t="s">
        <v>66</v>
      </c>
      <c r="AH342">
        <v>91</v>
      </c>
      <c r="AI342">
        <v>75</v>
      </c>
      <c r="AJ342" t="s">
        <v>66</v>
      </c>
      <c r="AK342">
        <v>35</v>
      </c>
      <c r="AL342">
        <v>56</v>
      </c>
      <c r="AM342">
        <v>63</v>
      </c>
      <c r="AN342">
        <v>65.5</v>
      </c>
      <c r="AO342">
        <v>3.968253968</v>
      </c>
      <c r="AP342">
        <v>10.55555556</v>
      </c>
      <c r="AQ342">
        <v>2.8571428569999999</v>
      </c>
      <c r="AR342">
        <v>3.038167939</v>
      </c>
      <c r="AS342">
        <v>0.181025082</v>
      </c>
      <c r="AT342">
        <v>0</v>
      </c>
      <c r="AU342" t="s">
        <v>66</v>
      </c>
      <c r="AV342">
        <v>3</v>
      </c>
      <c r="AW342">
        <v>2</v>
      </c>
      <c r="AX342">
        <v>0</v>
      </c>
      <c r="AY342">
        <v>1</v>
      </c>
      <c r="AZ342">
        <v>1</v>
      </c>
      <c r="BA342">
        <v>1</v>
      </c>
      <c r="BB342" t="s">
        <v>66</v>
      </c>
      <c r="BC342">
        <v>52.9</v>
      </c>
      <c r="BD342">
        <v>68.599999999999994</v>
      </c>
      <c r="BE342">
        <v>29.678638939999999</v>
      </c>
      <c r="BF342">
        <v>0</v>
      </c>
      <c r="BG342">
        <v>68.599999999999994</v>
      </c>
      <c r="BH342">
        <v>29.678638939999999</v>
      </c>
      <c r="BI342">
        <v>363</v>
      </c>
      <c r="BJ342">
        <v>26.4</v>
      </c>
      <c r="BK342">
        <v>11.1</v>
      </c>
      <c r="BL342">
        <v>353</v>
      </c>
      <c r="BM342">
        <v>109</v>
      </c>
      <c r="BN342">
        <v>83</v>
      </c>
      <c r="BO342">
        <f t="shared" si="52"/>
        <v>96</v>
      </c>
      <c r="BP342">
        <v>4</v>
      </c>
      <c r="BQ342">
        <v>1</v>
      </c>
      <c r="BS342">
        <v>0</v>
      </c>
      <c r="BT342">
        <f t="shared" si="53"/>
        <v>64.738292011019283</v>
      </c>
      <c r="BU342">
        <f t="shared" si="54"/>
        <v>58.333333333333329</v>
      </c>
      <c r="BV342">
        <f t="shared" si="55"/>
        <v>49.008498583569406</v>
      </c>
      <c r="BW342">
        <f t="shared" si="56"/>
        <v>34.375</v>
      </c>
    </row>
    <row r="343" spans="1:75" x14ac:dyDescent="0.2">
      <c r="A343" t="s">
        <v>127</v>
      </c>
      <c r="B343" t="s">
        <v>149</v>
      </c>
      <c r="C343" t="s">
        <v>106</v>
      </c>
      <c r="D343" t="s">
        <v>342</v>
      </c>
      <c r="E343" t="s">
        <v>343</v>
      </c>
      <c r="F343" t="s">
        <v>423</v>
      </c>
      <c r="G343">
        <v>2.95</v>
      </c>
      <c r="H343">
        <v>10.5</v>
      </c>
      <c r="I343">
        <v>2.2999999999999998</v>
      </c>
      <c r="J343">
        <v>1.05</v>
      </c>
      <c r="K343">
        <v>16.8</v>
      </c>
      <c r="L343">
        <v>4.3389830509999996</v>
      </c>
      <c r="M343">
        <v>179</v>
      </c>
      <c r="N343">
        <v>232</v>
      </c>
      <c r="O343">
        <v>53</v>
      </c>
      <c r="P343">
        <v>249</v>
      </c>
      <c r="Q343">
        <v>70</v>
      </c>
      <c r="R343">
        <v>35</v>
      </c>
      <c r="S343">
        <v>117.1</v>
      </c>
      <c r="T343">
        <v>39.106145249999997</v>
      </c>
      <c r="U343">
        <v>7.3275862070000004</v>
      </c>
      <c r="V343">
        <v>19</v>
      </c>
      <c r="W343">
        <v>22</v>
      </c>
      <c r="X343">
        <v>23</v>
      </c>
      <c r="Y343">
        <v>4</v>
      </c>
      <c r="Z343">
        <v>21.05263158</v>
      </c>
      <c r="AA343">
        <v>7</v>
      </c>
      <c r="AB343">
        <v>10</v>
      </c>
      <c r="AC343">
        <v>11</v>
      </c>
      <c r="AD343" t="s">
        <v>66</v>
      </c>
      <c r="AE343">
        <v>168</v>
      </c>
      <c r="AF343">
        <v>187</v>
      </c>
      <c r="AG343" t="s">
        <v>66</v>
      </c>
      <c r="AH343">
        <v>78</v>
      </c>
      <c r="AI343">
        <v>64</v>
      </c>
      <c r="AJ343" t="s">
        <v>66</v>
      </c>
      <c r="AK343">
        <v>38</v>
      </c>
      <c r="AL343">
        <v>53</v>
      </c>
      <c r="AM343">
        <v>58</v>
      </c>
      <c r="AN343">
        <v>58.5</v>
      </c>
      <c r="AO343">
        <v>0.86206896600000005</v>
      </c>
      <c r="AP343">
        <v>11.30952381</v>
      </c>
      <c r="AQ343">
        <v>2.896551724</v>
      </c>
      <c r="AR343">
        <v>3.196581197</v>
      </c>
      <c r="AS343">
        <v>0.30002947299999999</v>
      </c>
      <c r="AT343">
        <v>0</v>
      </c>
      <c r="AU343" t="s">
        <v>66</v>
      </c>
      <c r="AV343">
        <v>0</v>
      </c>
      <c r="AW343">
        <v>1</v>
      </c>
      <c r="AX343">
        <v>1</v>
      </c>
      <c r="AY343">
        <v>1</v>
      </c>
      <c r="AZ343">
        <v>1</v>
      </c>
      <c r="BA343">
        <v>1</v>
      </c>
      <c r="BB343" t="s">
        <v>66</v>
      </c>
      <c r="BC343">
        <v>53.2</v>
      </c>
      <c r="BD343">
        <v>65.2</v>
      </c>
      <c r="BE343">
        <v>22.55639098</v>
      </c>
      <c r="BF343">
        <v>0</v>
      </c>
      <c r="BG343">
        <v>65.2</v>
      </c>
      <c r="BH343">
        <v>22.55639098</v>
      </c>
      <c r="BI343">
        <v>290</v>
      </c>
      <c r="BJ343">
        <v>25.4</v>
      </c>
      <c r="BK343">
        <v>13.5</v>
      </c>
      <c r="BL343">
        <f>290-65</f>
        <v>225</v>
      </c>
      <c r="BM343">
        <v>92</v>
      </c>
      <c r="BN343">
        <v>70</v>
      </c>
      <c r="BO343">
        <f t="shared" si="52"/>
        <v>81</v>
      </c>
      <c r="BP343">
        <v>4</v>
      </c>
      <c r="BQ343">
        <v>1</v>
      </c>
      <c r="BS343">
        <v>0</v>
      </c>
      <c r="BT343">
        <f t="shared" si="53"/>
        <v>38.275862068965516</v>
      </c>
      <c r="BU343">
        <f t="shared" si="54"/>
        <v>25.196850393700782</v>
      </c>
      <c r="BV343">
        <f t="shared" si="55"/>
        <v>25.333333333333336</v>
      </c>
      <c r="BW343">
        <f t="shared" si="56"/>
        <v>28.39506172839506</v>
      </c>
    </row>
    <row r="344" spans="1:75" x14ac:dyDescent="0.2">
      <c r="A344" t="s">
        <v>127</v>
      </c>
      <c r="B344" t="s">
        <v>149</v>
      </c>
      <c r="C344" t="s">
        <v>106</v>
      </c>
      <c r="D344" t="s">
        <v>342</v>
      </c>
      <c r="E344" t="s">
        <v>345</v>
      </c>
      <c r="F344" t="s">
        <v>424</v>
      </c>
      <c r="G344">
        <v>2.95</v>
      </c>
      <c r="H344">
        <v>10.5</v>
      </c>
      <c r="I344">
        <v>2.2999999999999998</v>
      </c>
      <c r="J344">
        <v>1.05</v>
      </c>
      <c r="K344">
        <v>16.8</v>
      </c>
      <c r="L344">
        <v>4.3389830509999996</v>
      </c>
      <c r="M344">
        <v>140</v>
      </c>
      <c r="N344">
        <v>213</v>
      </c>
      <c r="O344">
        <v>73</v>
      </c>
      <c r="P344">
        <v>239</v>
      </c>
      <c r="Q344">
        <v>99</v>
      </c>
      <c r="R344">
        <v>49.5</v>
      </c>
      <c r="S344">
        <v>146.1</v>
      </c>
      <c r="T344">
        <v>70.714285709999999</v>
      </c>
      <c r="U344">
        <v>12.206572769999999</v>
      </c>
      <c r="V344">
        <v>14</v>
      </c>
      <c r="W344">
        <v>21</v>
      </c>
      <c r="X344">
        <v>18</v>
      </c>
      <c r="Y344">
        <v>4</v>
      </c>
      <c r="Z344">
        <v>28.571428569999998</v>
      </c>
      <c r="AA344" t="s">
        <v>66</v>
      </c>
      <c r="AB344">
        <v>7</v>
      </c>
      <c r="AC344">
        <v>9</v>
      </c>
      <c r="AD344" t="s">
        <v>66</v>
      </c>
      <c r="AE344">
        <v>153</v>
      </c>
      <c r="AF344">
        <v>161</v>
      </c>
      <c r="AG344" t="s">
        <v>66</v>
      </c>
      <c r="AH344">
        <v>55</v>
      </c>
      <c r="AI344">
        <v>68</v>
      </c>
      <c r="AJ344" t="s">
        <v>66</v>
      </c>
      <c r="AK344">
        <v>52</v>
      </c>
      <c r="AL344">
        <v>52</v>
      </c>
      <c r="AM344">
        <v>53.5</v>
      </c>
      <c r="AN344">
        <v>60</v>
      </c>
      <c r="AO344">
        <v>12.149532710000001</v>
      </c>
      <c r="AP344">
        <v>5.2287581699999999</v>
      </c>
      <c r="AQ344">
        <v>2.8598130839999998</v>
      </c>
      <c r="AR344">
        <v>2.6833333330000002</v>
      </c>
      <c r="AS344">
        <v>-0.17647975099999999</v>
      </c>
      <c r="AT344">
        <v>0</v>
      </c>
      <c r="AU344" t="s">
        <v>66</v>
      </c>
      <c r="AV344">
        <v>2</v>
      </c>
      <c r="AW344">
        <v>2</v>
      </c>
      <c r="AX344">
        <v>1</v>
      </c>
      <c r="AY344">
        <v>1</v>
      </c>
      <c r="AZ344">
        <v>1</v>
      </c>
      <c r="BA344">
        <v>1</v>
      </c>
      <c r="BB344" t="s">
        <v>66</v>
      </c>
      <c r="BC344">
        <v>52.8</v>
      </c>
      <c r="BD344">
        <v>64.900000000000006</v>
      </c>
      <c r="BE344">
        <v>22.916666670000001</v>
      </c>
      <c r="BF344">
        <v>0</v>
      </c>
      <c r="BG344">
        <v>64.900000000000006</v>
      </c>
      <c r="BH344">
        <v>22.916666670000001</v>
      </c>
      <c r="BI344">
        <v>335</v>
      </c>
      <c r="BJ344">
        <v>21.9</v>
      </c>
      <c r="BK344">
        <v>12.1</v>
      </c>
      <c r="BL344">
        <f>335-120</f>
        <v>215</v>
      </c>
      <c r="BM344">
        <v>69</v>
      </c>
      <c r="BN344">
        <v>65</v>
      </c>
      <c r="BO344">
        <f t="shared" si="52"/>
        <v>67</v>
      </c>
      <c r="BP344">
        <v>4</v>
      </c>
      <c r="BQ344">
        <v>1</v>
      </c>
      <c r="BS344">
        <v>0</v>
      </c>
      <c r="BT344">
        <f t="shared" si="53"/>
        <v>58.208955223880601</v>
      </c>
      <c r="BU344">
        <f t="shared" si="54"/>
        <v>36.073059360730589</v>
      </c>
      <c r="BV344">
        <f t="shared" si="55"/>
        <v>28.837209302325583</v>
      </c>
      <c r="BW344">
        <f t="shared" si="56"/>
        <v>20.149253731343283</v>
      </c>
    </row>
    <row r="345" spans="1:75" x14ac:dyDescent="0.2">
      <c r="A345" t="s">
        <v>127</v>
      </c>
      <c r="B345" t="s">
        <v>149</v>
      </c>
      <c r="C345" t="s">
        <v>106</v>
      </c>
      <c r="D345" t="s">
        <v>342</v>
      </c>
      <c r="E345" t="s">
        <v>347</v>
      </c>
      <c r="F345" t="s">
        <v>425</v>
      </c>
      <c r="G345">
        <v>2.95</v>
      </c>
      <c r="H345">
        <v>10.5</v>
      </c>
      <c r="I345">
        <v>2.2999999999999998</v>
      </c>
      <c r="J345">
        <v>1.05</v>
      </c>
      <c r="K345">
        <v>16.8</v>
      </c>
      <c r="L345">
        <v>4.3389830509999996</v>
      </c>
      <c r="M345">
        <v>270</v>
      </c>
      <c r="N345">
        <v>378</v>
      </c>
      <c r="O345">
        <v>108</v>
      </c>
      <c r="P345">
        <v>413</v>
      </c>
      <c r="Q345">
        <v>143</v>
      </c>
      <c r="R345">
        <v>71.5</v>
      </c>
      <c r="S345">
        <v>190.1</v>
      </c>
      <c r="T345">
        <v>52.962962959999999</v>
      </c>
      <c r="U345">
        <v>9.2592592590000002</v>
      </c>
      <c r="V345">
        <v>30</v>
      </c>
      <c r="W345">
        <v>63</v>
      </c>
      <c r="X345">
        <v>94</v>
      </c>
      <c r="Y345">
        <v>64</v>
      </c>
      <c r="Z345">
        <v>213.33333329999999</v>
      </c>
      <c r="AA345">
        <v>15</v>
      </c>
      <c r="AB345">
        <v>23</v>
      </c>
      <c r="AC345">
        <v>26</v>
      </c>
      <c r="AD345" t="s">
        <v>66</v>
      </c>
      <c r="AE345">
        <v>367</v>
      </c>
      <c r="AF345">
        <v>376</v>
      </c>
      <c r="AG345" t="s">
        <v>66</v>
      </c>
      <c r="AH345">
        <v>150</v>
      </c>
      <c r="AI345">
        <v>145</v>
      </c>
      <c r="AJ345" t="s">
        <v>66</v>
      </c>
      <c r="AK345">
        <v>82</v>
      </c>
      <c r="AL345">
        <v>126</v>
      </c>
      <c r="AM345">
        <v>116</v>
      </c>
      <c r="AN345">
        <v>135.5</v>
      </c>
      <c r="AO345">
        <v>16.810344829999998</v>
      </c>
      <c r="AP345">
        <v>2.4523160759999998</v>
      </c>
      <c r="AQ345">
        <v>3.1637931030000002</v>
      </c>
      <c r="AR345">
        <v>2.774907749</v>
      </c>
      <c r="AS345">
        <v>-0.38888535400000002</v>
      </c>
      <c r="AT345">
        <v>0</v>
      </c>
      <c r="AU345" t="s">
        <v>66</v>
      </c>
      <c r="AV345">
        <v>1</v>
      </c>
      <c r="AW345">
        <v>2</v>
      </c>
      <c r="AX345">
        <v>1</v>
      </c>
      <c r="AY345">
        <v>1</v>
      </c>
      <c r="AZ345">
        <v>1</v>
      </c>
      <c r="BA345">
        <v>1</v>
      </c>
      <c r="BB345" t="s">
        <v>66</v>
      </c>
      <c r="BC345">
        <v>50.8</v>
      </c>
      <c r="BD345">
        <v>58</v>
      </c>
      <c r="BE345">
        <v>14.17322835</v>
      </c>
      <c r="BF345">
        <v>0</v>
      </c>
      <c r="BG345">
        <v>58</v>
      </c>
      <c r="BH345">
        <v>14.17322835</v>
      </c>
      <c r="BI345">
        <v>570</v>
      </c>
      <c r="BJ345">
        <v>69.8</v>
      </c>
      <c r="BK345">
        <v>39.799999999999997</v>
      </c>
      <c r="BL345">
        <f>570-59</f>
        <v>511</v>
      </c>
      <c r="BM345">
        <v>200</v>
      </c>
      <c r="BN345">
        <v>160</v>
      </c>
      <c r="BO345">
        <f t="shared" si="52"/>
        <v>180</v>
      </c>
      <c r="BP345">
        <v>4</v>
      </c>
      <c r="BQ345">
        <v>1</v>
      </c>
      <c r="BS345">
        <v>0</v>
      </c>
      <c r="BT345">
        <f t="shared" si="53"/>
        <v>52.631578947368418</v>
      </c>
      <c r="BU345">
        <f t="shared" si="54"/>
        <v>57.020057306590253</v>
      </c>
      <c r="BV345">
        <f t="shared" si="55"/>
        <v>28.180039138943247</v>
      </c>
      <c r="BW345">
        <f t="shared" si="56"/>
        <v>35.555555555555557</v>
      </c>
    </row>
    <row r="346" spans="1:75" x14ac:dyDescent="0.2">
      <c r="A346" t="s">
        <v>127</v>
      </c>
      <c r="B346" t="s">
        <v>149</v>
      </c>
      <c r="C346" t="s">
        <v>106</v>
      </c>
      <c r="D346" t="s">
        <v>342</v>
      </c>
      <c r="E346" t="s">
        <v>349</v>
      </c>
      <c r="F346" t="s">
        <v>426</v>
      </c>
      <c r="G346">
        <v>2.95</v>
      </c>
      <c r="H346">
        <v>10.5</v>
      </c>
      <c r="I346">
        <v>2.2999999999999998</v>
      </c>
      <c r="J346">
        <v>1.05</v>
      </c>
      <c r="K346">
        <v>16.8</v>
      </c>
      <c r="L346">
        <v>4.3389830509999996</v>
      </c>
      <c r="M346">
        <v>165</v>
      </c>
      <c r="N346">
        <v>265</v>
      </c>
      <c r="O346">
        <v>100</v>
      </c>
      <c r="P346">
        <v>301</v>
      </c>
      <c r="Q346">
        <v>136</v>
      </c>
      <c r="R346">
        <v>68</v>
      </c>
      <c r="S346">
        <v>183.1</v>
      </c>
      <c r="T346">
        <v>82.424242419999999</v>
      </c>
      <c r="U346">
        <v>13.58490566</v>
      </c>
      <c r="V346">
        <v>20</v>
      </c>
      <c r="W346">
        <v>43</v>
      </c>
      <c r="X346">
        <v>36</v>
      </c>
      <c r="Y346">
        <v>16</v>
      </c>
      <c r="Z346">
        <v>80</v>
      </c>
      <c r="AA346">
        <v>7</v>
      </c>
      <c r="AB346">
        <v>9</v>
      </c>
      <c r="AC346">
        <v>16</v>
      </c>
      <c r="AD346" t="s">
        <v>66</v>
      </c>
      <c r="AE346">
        <v>238</v>
      </c>
      <c r="AF346">
        <v>273</v>
      </c>
      <c r="AG346" t="s">
        <v>66</v>
      </c>
      <c r="AH346">
        <v>144</v>
      </c>
      <c r="AI346">
        <v>118</v>
      </c>
      <c r="AJ346" t="s">
        <v>66</v>
      </c>
      <c r="AK346">
        <v>90</v>
      </c>
      <c r="AL346">
        <v>92</v>
      </c>
      <c r="AM346">
        <v>117</v>
      </c>
      <c r="AN346">
        <v>105</v>
      </c>
      <c r="AO346">
        <v>-10.256410259999999</v>
      </c>
      <c r="AP346">
        <v>14.70588235</v>
      </c>
      <c r="AQ346">
        <v>2.034188034</v>
      </c>
      <c r="AR346">
        <v>2.6</v>
      </c>
      <c r="AS346">
        <v>0.56581196600000006</v>
      </c>
      <c r="AT346">
        <v>0</v>
      </c>
      <c r="AU346" t="s">
        <v>66</v>
      </c>
      <c r="AV346">
        <v>1</v>
      </c>
      <c r="AW346">
        <v>2</v>
      </c>
      <c r="AX346">
        <v>1</v>
      </c>
      <c r="AY346">
        <v>1</v>
      </c>
      <c r="AZ346">
        <v>1</v>
      </c>
      <c r="BA346">
        <v>1</v>
      </c>
      <c r="BB346" t="s">
        <v>66</v>
      </c>
      <c r="BC346">
        <v>51.5</v>
      </c>
      <c r="BD346">
        <v>53.8</v>
      </c>
      <c r="BE346">
        <v>4.466019417</v>
      </c>
      <c r="BF346">
        <v>0</v>
      </c>
      <c r="BG346">
        <v>53.8</v>
      </c>
      <c r="BH346">
        <v>4.466019417</v>
      </c>
      <c r="BI346">
        <v>408</v>
      </c>
      <c r="BJ346">
        <v>42.3</v>
      </c>
      <c r="BK346">
        <v>26.5</v>
      </c>
      <c r="BL346">
        <f>408-47</f>
        <v>361</v>
      </c>
      <c r="BM346">
        <v>110</v>
      </c>
      <c r="BN346">
        <v>130</v>
      </c>
      <c r="BO346">
        <f t="shared" si="52"/>
        <v>120</v>
      </c>
      <c r="BP346">
        <v>4</v>
      </c>
      <c r="BQ346">
        <v>1</v>
      </c>
      <c r="BS346">
        <v>0</v>
      </c>
      <c r="BT346">
        <f t="shared" si="53"/>
        <v>59.558823529411761</v>
      </c>
      <c r="BU346">
        <f t="shared" si="54"/>
        <v>52.718676122931441</v>
      </c>
      <c r="BV346">
        <f t="shared" si="55"/>
        <v>34.072022160664822</v>
      </c>
      <c r="BW346">
        <f t="shared" si="56"/>
        <v>2.5</v>
      </c>
    </row>
    <row r="347" spans="1:75" x14ac:dyDescent="0.2">
      <c r="A347" t="s">
        <v>127</v>
      </c>
      <c r="B347" t="s">
        <v>149</v>
      </c>
      <c r="C347" t="s">
        <v>106</v>
      </c>
      <c r="D347" t="s">
        <v>342</v>
      </c>
      <c r="E347" t="s">
        <v>353</v>
      </c>
      <c r="F347" t="s">
        <v>428</v>
      </c>
      <c r="G347">
        <v>2.95</v>
      </c>
      <c r="H347">
        <v>10.5</v>
      </c>
      <c r="I347">
        <v>2.2999999999999998</v>
      </c>
      <c r="J347">
        <v>1.05</v>
      </c>
      <c r="K347">
        <v>16.8</v>
      </c>
      <c r="L347">
        <v>4.3389830509999996</v>
      </c>
      <c r="M347">
        <v>205</v>
      </c>
      <c r="N347">
        <v>193</v>
      </c>
      <c r="O347">
        <v>-12</v>
      </c>
      <c r="P347">
        <v>337</v>
      </c>
      <c r="Q347">
        <v>132</v>
      </c>
      <c r="R347">
        <v>66</v>
      </c>
      <c r="S347">
        <v>179.1</v>
      </c>
      <c r="T347">
        <v>64.390243900000002</v>
      </c>
      <c r="U347">
        <v>74.611398960000002</v>
      </c>
      <c r="V347">
        <v>19</v>
      </c>
      <c r="W347">
        <v>29</v>
      </c>
      <c r="X347">
        <v>29</v>
      </c>
      <c r="Y347">
        <v>10</v>
      </c>
      <c r="Z347">
        <v>52.631578949999998</v>
      </c>
      <c r="AA347">
        <v>6</v>
      </c>
      <c r="AB347">
        <v>1</v>
      </c>
      <c r="AC347">
        <v>13</v>
      </c>
      <c r="AD347" t="s">
        <v>66</v>
      </c>
      <c r="AE347">
        <v>158</v>
      </c>
      <c r="AF347">
        <v>278</v>
      </c>
      <c r="AG347" t="s">
        <v>66</v>
      </c>
      <c r="AH347">
        <v>109</v>
      </c>
      <c r="AI347">
        <v>95</v>
      </c>
      <c r="AJ347" t="s">
        <v>66</v>
      </c>
      <c r="AK347">
        <v>90</v>
      </c>
      <c r="AL347">
        <v>76</v>
      </c>
      <c r="AM347">
        <v>99.5</v>
      </c>
      <c r="AN347">
        <v>85.5</v>
      </c>
      <c r="AO347">
        <v>-14.070351759999999</v>
      </c>
      <c r="AP347">
        <v>75.949367089999996</v>
      </c>
      <c r="AQ347">
        <v>1.587939698</v>
      </c>
      <c r="AR347">
        <v>3.251461988</v>
      </c>
      <c r="AS347">
        <v>1.66352229</v>
      </c>
      <c r="AT347">
        <v>0</v>
      </c>
      <c r="AU347" t="s">
        <v>66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 t="s">
        <v>66</v>
      </c>
      <c r="BC347">
        <v>37.700000000000003</v>
      </c>
      <c r="BD347">
        <v>53.4</v>
      </c>
      <c r="BE347">
        <v>41.644562329999999</v>
      </c>
      <c r="BF347">
        <v>0</v>
      </c>
      <c r="BG347">
        <v>53.4</v>
      </c>
      <c r="BH347">
        <v>41.644562329999999</v>
      </c>
      <c r="BI347">
        <v>436</v>
      </c>
      <c r="BJ347">
        <v>35.1</v>
      </c>
      <c r="BK347">
        <v>19.8</v>
      </c>
      <c r="BL347">
        <f>436-72</f>
        <v>364</v>
      </c>
      <c r="BM347">
        <v>110</v>
      </c>
      <c r="BN347">
        <v>70</v>
      </c>
      <c r="BO347">
        <f t="shared" ref="BO347:BO378" si="57">AVERAGE(BM347,BN347)</f>
        <v>90</v>
      </c>
      <c r="BP347">
        <v>4</v>
      </c>
      <c r="BQ347">
        <v>1</v>
      </c>
      <c r="BS347">
        <v>0</v>
      </c>
      <c r="BT347">
        <f t="shared" ref="BT347:BT374" si="58">(BI347-M347)/BI347*100</f>
        <v>52.981651376146786</v>
      </c>
      <c r="BU347">
        <f t="shared" ref="BU347:BU374" si="59">(BJ347-V347)/BJ347*100</f>
        <v>45.868945868945872</v>
      </c>
      <c r="BV347">
        <f t="shared" ref="BV347:BV374" si="60">(BL347-AE347)/BL347*100</f>
        <v>56.593406593406591</v>
      </c>
      <c r="BW347">
        <f t="shared" ref="BW347:BW374" si="61">(BO347-AM347)/BO347*100</f>
        <v>-10.555555555555555</v>
      </c>
    </row>
    <row r="348" spans="1:75" x14ac:dyDescent="0.2">
      <c r="A348" t="s">
        <v>127</v>
      </c>
      <c r="B348" t="s">
        <v>149</v>
      </c>
      <c r="C348" t="s">
        <v>106</v>
      </c>
      <c r="D348" t="s">
        <v>342</v>
      </c>
      <c r="E348" t="s">
        <v>363</v>
      </c>
      <c r="F348" t="s">
        <v>433</v>
      </c>
      <c r="G348">
        <v>2.95</v>
      </c>
      <c r="H348">
        <v>10.5</v>
      </c>
      <c r="I348">
        <v>2.2999999999999998</v>
      </c>
      <c r="J348">
        <v>1.05</v>
      </c>
      <c r="K348">
        <v>16.8</v>
      </c>
      <c r="L348">
        <v>4.3389830509999996</v>
      </c>
      <c r="M348">
        <v>260</v>
      </c>
      <c r="N348">
        <v>336</v>
      </c>
      <c r="O348">
        <v>76</v>
      </c>
      <c r="P348">
        <v>340</v>
      </c>
      <c r="Q348">
        <v>80</v>
      </c>
      <c r="R348">
        <v>40</v>
      </c>
      <c r="S348">
        <v>127.1</v>
      </c>
      <c r="T348">
        <v>30.76923077</v>
      </c>
      <c r="U348">
        <v>1.19047619</v>
      </c>
      <c r="V348">
        <v>20</v>
      </c>
      <c r="W348">
        <v>31</v>
      </c>
      <c r="X348">
        <v>27</v>
      </c>
      <c r="Y348">
        <v>7</v>
      </c>
      <c r="Z348">
        <v>35</v>
      </c>
      <c r="AA348">
        <v>11</v>
      </c>
      <c r="AB348">
        <v>13</v>
      </c>
      <c r="AC348">
        <v>14</v>
      </c>
      <c r="AD348" t="s">
        <v>66</v>
      </c>
      <c r="AE348">
        <v>276</v>
      </c>
      <c r="AF348">
        <v>218</v>
      </c>
      <c r="AG348" t="s">
        <v>66</v>
      </c>
      <c r="AH348">
        <v>90</v>
      </c>
      <c r="AI348">
        <v>103</v>
      </c>
      <c r="AJ348" t="s">
        <v>66</v>
      </c>
      <c r="AK348">
        <v>65</v>
      </c>
      <c r="AL348">
        <v>57</v>
      </c>
      <c r="AM348">
        <v>77.5</v>
      </c>
      <c r="AN348">
        <v>80</v>
      </c>
      <c r="AO348">
        <v>3.225806452</v>
      </c>
      <c r="AP348">
        <v>-21.014492749999999</v>
      </c>
      <c r="AQ348">
        <v>3.5612903230000001</v>
      </c>
      <c r="AR348">
        <v>2.7250000000000001</v>
      </c>
      <c r="AS348">
        <v>-0.83629032299999995</v>
      </c>
      <c r="AT348">
        <v>0</v>
      </c>
      <c r="AU348" t="s">
        <v>66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 t="s">
        <v>66</v>
      </c>
      <c r="BC348">
        <v>45.7</v>
      </c>
      <c r="BD348">
        <v>58</v>
      </c>
      <c r="BE348">
        <v>26.914660829999999</v>
      </c>
      <c r="BF348">
        <v>0</v>
      </c>
      <c r="BG348">
        <v>58</v>
      </c>
      <c r="BH348">
        <v>26.914660829999999</v>
      </c>
      <c r="BI348">
        <v>398</v>
      </c>
      <c r="BJ348">
        <v>31.1</v>
      </c>
      <c r="BK348">
        <v>17.8</v>
      </c>
      <c r="BL348">
        <f>398-144</f>
        <v>254</v>
      </c>
      <c r="BM348">
        <v>80</v>
      </c>
      <c r="BN348">
        <v>60</v>
      </c>
      <c r="BO348">
        <f t="shared" si="57"/>
        <v>70</v>
      </c>
      <c r="BP348">
        <v>3</v>
      </c>
      <c r="BQ348">
        <v>1</v>
      </c>
      <c r="BS348">
        <v>0</v>
      </c>
      <c r="BT348">
        <f t="shared" si="58"/>
        <v>34.673366834170857</v>
      </c>
      <c r="BU348">
        <f t="shared" si="59"/>
        <v>35.69131832797428</v>
      </c>
      <c r="BV348">
        <f t="shared" si="60"/>
        <v>-8.6614173228346463</v>
      </c>
      <c r="BW348">
        <f t="shared" si="61"/>
        <v>-10.714285714285714</v>
      </c>
    </row>
    <row r="349" spans="1:75" x14ac:dyDescent="0.2">
      <c r="A349" t="s">
        <v>127</v>
      </c>
      <c r="B349" t="s">
        <v>149</v>
      </c>
      <c r="C349" t="s">
        <v>106</v>
      </c>
      <c r="D349" t="s">
        <v>342</v>
      </c>
      <c r="E349" t="s">
        <v>365</v>
      </c>
      <c r="F349" t="s">
        <v>434</v>
      </c>
      <c r="G349">
        <v>2.95</v>
      </c>
      <c r="H349">
        <v>10.5</v>
      </c>
      <c r="I349">
        <v>2.2999999999999998</v>
      </c>
      <c r="J349">
        <v>1.05</v>
      </c>
      <c r="K349">
        <v>16.8</v>
      </c>
      <c r="L349">
        <v>4.3389830509999996</v>
      </c>
      <c r="M349">
        <v>162</v>
      </c>
      <c r="N349">
        <v>232</v>
      </c>
      <c r="O349">
        <v>70</v>
      </c>
      <c r="P349">
        <v>263</v>
      </c>
      <c r="Q349">
        <v>101</v>
      </c>
      <c r="R349">
        <v>50.5</v>
      </c>
      <c r="S349">
        <v>148.1</v>
      </c>
      <c r="T349">
        <v>62.345679009999998</v>
      </c>
      <c r="U349">
        <v>13.362068969999999</v>
      </c>
      <c r="V349">
        <v>5</v>
      </c>
      <c r="W349">
        <v>22</v>
      </c>
      <c r="X349">
        <v>27</v>
      </c>
      <c r="Y349">
        <v>22</v>
      </c>
      <c r="Z349">
        <v>440</v>
      </c>
      <c r="AA349">
        <v>4</v>
      </c>
      <c r="AB349">
        <v>8</v>
      </c>
      <c r="AC349">
        <v>11</v>
      </c>
      <c r="AD349" t="s">
        <v>66</v>
      </c>
      <c r="AE349">
        <v>198</v>
      </c>
      <c r="AF349">
        <v>224</v>
      </c>
      <c r="AG349" t="s">
        <v>66</v>
      </c>
      <c r="AH349">
        <v>87</v>
      </c>
      <c r="AI349">
        <v>105</v>
      </c>
      <c r="AJ349" t="s">
        <v>66</v>
      </c>
      <c r="AK349">
        <v>58</v>
      </c>
      <c r="AL349">
        <v>69</v>
      </c>
      <c r="AM349">
        <v>72.5</v>
      </c>
      <c r="AN349">
        <v>87</v>
      </c>
      <c r="AO349">
        <v>20</v>
      </c>
      <c r="AP349">
        <v>13.131313130000001</v>
      </c>
      <c r="AQ349">
        <v>2.7310344830000002</v>
      </c>
      <c r="AR349">
        <v>2.5747126439999999</v>
      </c>
      <c r="AS349">
        <v>-0.15632183899999999</v>
      </c>
      <c r="AT349">
        <v>0</v>
      </c>
      <c r="AU349" t="s">
        <v>66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 t="s">
        <v>66</v>
      </c>
      <c r="BC349">
        <v>51.2</v>
      </c>
      <c r="BD349">
        <v>71.599999999999994</v>
      </c>
      <c r="BE349">
        <v>39.84375</v>
      </c>
      <c r="BF349">
        <v>0</v>
      </c>
      <c r="BG349">
        <v>71.599999999999994</v>
      </c>
      <c r="BH349">
        <v>39.84375</v>
      </c>
      <c r="BI349">
        <f>210+153</f>
        <v>363</v>
      </c>
      <c r="BJ349">
        <v>34.9</v>
      </c>
      <c r="BK349">
        <v>19.2</v>
      </c>
      <c r="BL349">
        <f>363-115</f>
        <v>248</v>
      </c>
      <c r="BM349">
        <v>148</v>
      </c>
      <c r="BN349">
        <v>70</v>
      </c>
      <c r="BO349">
        <f t="shared" si="57"/>
        <v>109</v>
      </c>
      <c r="BP349">
        <v>4</v>
      </c>
      <c r="BQ349">
        <v>1</v>
      </c>
      <c r="BS349">
        <v>0</v>
      </c>
      <c r="BT349">
        <f t="shared" si="58"/>
        <v>55.371900826446286</v>
      </c>
      <c r="BU349">
        <f t="shared" si="59"/>
        <v>85.673352435530077</v>
      </c>
      <c r="BV349">
        <f t="shared" si="60"/>
        <v>20.161290322580644</v>
      </c>
      <c r="BW349">
        <f t="shared" si="61"/>
        <v>33.486238532110093</v>
      </c>
    </row>
    <row r="350" spans="1:75" x14ac:dyDescent="0.2">
      <c r="A350" t="s">
        <v>127</v>
      </c>
      <c r="B350" t="s">
        <v>149</v>
      </c>
      <c r="C350" t="s">
        <v>106</v>
      </c>
      <c r="D350" t="s">
        <v>342</v>
      </c>
      <c r="E350" t="s">
        <v>367</v>
      </c>
      <c r="F350" t="s">
        <v>435</v>
      </c>
      <c r="G350">
        <v>2.95</v>
      </c>
      <c r="H350">
        <v>10.5</v>
      </c>
      <c r="I350">
        <v>2.2999999999999998</v>
      </c>
      <c r="J350">
        <v>1.05</v>
      </c>
      <c r="K350">
        <v>16.8</v>
      </c>
      <c r="L350">
        <v>4.3389830509999996</v>
      </c>
      <c r="M350">
        <v>165</v>
      </c>
      <c r="N350">
        <v>243</v>
      </c>
      <c r="O350">
        <v>78</v>
      </c>
      <c r="P350">
        <v>173</v>
      </c>
      <c r="Q350">
        <v>8</v>
      </c>
      <c r="R350">
        <v>4</v>
      </c>
      <c r="S350">
        <v>55.1</v>
      </c>
      <c r="T350">
        <v>4.848484848</v>
      </c>
      <c r="U350">
        <v>-28.806584359999999</v>
      </c>
      <c r="V350">
        <v>14</v>
      </c>
      <c r="W350">
        <v>22</v>
      </c>
      <c r="X350">
        <v>19</v>
      </c>
      <c r="Y350">
        <v>5</v>
      </c>
      <c r="Z350">
        <v>35.714285709999999</v>
      </c>
      <c r="AA350">
        <v>4</v>
      </c>
      <c r="AB350">
        <v>5</v>
      </c>
      <c r="AC350">
        <v>8</v>
      </c>
      <c r="AD350" t="s">
        <v>66</v>
      </c>
      <c r="AE350">
        <v>224</v>
      </c>
      <c r="AF350">
        <v>143</v>
      </c>
      <c r="AG350" t="s">
        <v>66</v>
      </c>
      <c r="AH350">
        <v>76</v>
      </c>
      <c r="AI350">
        <v>81</v>
      </c>
      <c r="AJ350" t="s">
        <v>66</v>
      </c>
      <c r="AK350">
        <v>60</v>
      </c>
      <c r="AL350">
        <v>76</v>
      </c>
      <c r="AM350">
        <v>68</v>
      </c>
      <c r="AN350">
        <v>78.5</v>
      </c>
      <c r="AO350">
        <v>15.44117647</v>
      </c>
      <c r="AP350">
        <v>-36.160714290000001</v>
      </c>
      <c r="AQ350">
        <v>3.2941176470000002</v>
      </c>
      <c r="AR350">
        <v>1.8216560509999999</v>
      </c>
      <c r="AS350">
        <v>-1.472461596</v>
      </c>
      <c r="AT350">
        <v>0</v>
      </c>
      <c r="AU350" t="s">
        <v>66</v>
      </c>
      <c r="AV350">
        <v>2</v>
      </c>
      <c r="AW350">
        <v>2</v>
      </c>
      <c r="AX350">
        <v>1</v>
      </c>
      <c r="AY350">
        <v>1</v>
      </c>
      <c r="AZ350">
        <v>1</v>
      </c>
      <c r="BA350">
        <v>1</v>
      </c>
      <c r="BB350" t="s">
        <v>66</v>
      </c>
      <c r="BC350">
        <v>48.8</v>
      </c>
      <c r="BD350">
        <v>50</v>
      </c>
      <c r="BE350">
        <v>2.4590163930000002</v>
      </c>
      <c r="BF350">
        <v>0</v>
      </c>
      <c r="BG350">
        <v>50</v>
      </c>
      <c r="BH350">
        <v>2.4590163930000002</v>
      </c>
      <c r="BI350">
        <v>339</v>
      </c>
      <c r="BJ350">
        <v>21.4</v>
      </c>
      <c r="BK350">
        <v>9.6999999999999993</v>
      </c>
      <c r="BL350">
        <f>339-74</f>
        <v>265</v>
      </c>
      <c r="BM350">
        <v>85</v>
      </c>
      <c r="BN350">
        <v>55</v>
      </c>
      <c r="BO350">
        <f t="shared" si="57"/>
        <v>70</v>
      </c>
      <c r="BP350">
        <v>4</v>
      </c>
      <c r="BQ350">
        <v>1</v>
      </c>
      <c r="BS350">
        <v>0</v>
      </c>
      <c r="BT350">
        <f t="shared" si="58"/>
        <v>51.327433628318587</v>
      </c>
      <c r="BU350">
        <f t="shared" si="59"/>
        <v>34.579439252336449</v>
      </c>
      <c r="BV350">
        <f t="shared" si="60"/>
        <v>15.471698113207546</v>
      </c>
      <c r="BW350">
        <f t="shared" si="61"/>
        <v>2.8571428571428572</v>
      </c>
    </row>
    <row r="351" spans="1:75" x14ac:dyDescent="0.2">
      <c r="A351" t="s">
        <v>127</v>
      </c>
      <c r="B351" t="s">
        <v>149</v>
      </c>
      <c r="C351" t="s">
        <v>106</v>
      </c>
      <c r="D351" t="s">
        <v>342</v>
      </c>
      <c r="E351" t="s">
        <v>369</v>
      </c>
      <c r="F351" t="s">
        <v>436</v>
      </c>
      <c r="G351">
        <v>2.95</v>
      </c>
      <c r="H351">
        <v>10.5</v>
      </c>
      <c r="I351">
        <v>2.2999999999999998</v>
      </c>
      <c r="J351">
        <v>1.05</v>
      </c>
      <c r="K351">
        <v>16.8</v>
      </c>
      <c r="L351">
        <v>4.3389830509999996</v>
      </c>
      <c r="M351">
        <v>148</v>
      </c>
      <c r="N351">
        <v>150</v>
      </c>
      <c r="O351">
        <v>2</v>
      </c>
      <c r="P351">
        <v>173</v>
      </c>
      <c r="Q351">
        <v>25</v>
      </c>
      <c r="R351">
        <v>12.5</v>
      </c>
      <c r="S351">
        <v>72.099999999999994</v>
      </c>
      <c r="T351">
        <v>16.89189189</v>
      </c>
      <c r="U351">
        <v>15.33333333</v>
      </c>
      <c r="V351">
        <v>14</v>
      </c>
      <c r="W351">
        <v>19</v>
      </c>
      <c r="X351">
        <v>19</v>
      </c>
      <c r="Y351">
        <v>5</v>
      </c>
      <c r="Z351">
        <v>35.714285709999999</v>
      </c>
      <c r="AA351">
        <v>5</v>
      </c>
      <c r="AB351">
        <v>3</v>
      </c>
      <c r="AC351">
        <v>4</v>
      </c>
      <c r="AD351" t="s">
        <v>66</v>
      </c>
      <c r="AE351">
        <v>85</v>
      </c>
      <c r="AF351">
        <v>96</v>
      </c>
      <c r="AG351" t="s">
        <v>66</v>
      </c>
      <c r="AH351">
        <v>70</v>
      </c>
      <c r="AI351">
        <v>93</v>
      </c>
      <c r="AJ351" t="s">
        <v>66</v>
      </c>
      <c r="AK351">
        <v>62</v>
      </c>
      <c r="AL351">
        <v>49</v>
      </c>
      <c r="AM351">
        <v>66</v>
      </c>
      <c r="AN351">
        <v>71</v>
      </c>
      <c r="AO351">
        <v>7.575757576</v>
      </c>
      <c r="AP351">
        <v>12.94117647</v>
      </c>
      <c r="AQ351">
        <v>1.287878788</v>
      </c>
      <c r="AR351">
        <v>1.352112676</v>
      </c>
      <c r="AS351">
        <v>6.4233888000000003E-2</v>
      </c>
      <c r="AT351">
        <v>0</v>
      </c>
      <c r="AU351" t="s">
        <v>66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 t="s">
        <v>66</v>
      </c>
      <c r="BC351">
        <v>61.2</v>
      </c>
      <c r="BD351">
        <v>87.6</v>
      </c>
      <c r="BE351">
        <v>43.137254900000002</v>
      </c>
      <c r="BF351">
        <v>0</v>
      </c>
      <c r="BG351">
        <v>87.6</v>
      </c>
      <c r="BH351">
        <v>43.137254900000002</v>
      </c>
      <c r="BI351">
        <v>215</v>
      </c>
      <c r="BJ351">
        <v>21</v>
      </c>
      <c r="BK351">
        <v>7.7</v>
      </c>
      <c r="BL351">
        <f>215-82</f>
        <v>133</v>
      </c>
      <c r="BM351">
        <v>102</v>
      </c>
      <c r="BN351">
        <v>54</v>
      </c>
      <c r="BO351">
        <f t="shared" si="57"/>
        <v>78</v>
      </c>
      <c r="BP351">
        <v>4</v>
      </c>
      <c r="BQ351">
        <v>1</v>
      </c>
      <c r="BS351">
        <v>0</v>
      </c>
      <c r="BT351">
        <f t="shared" si="58"/>
        <v>31.162790697674421</v>
      </c>
      <c r="BU351">
        <f t="shared" si="59"/>
        <v>33.333333333333329</v>
      </c>
      <c r="BV351">
        <f t="shared" si="60"/>
        <v>36.090225563909769</v>
      </c>
      <c r="BW351">
        <f t="shared" si="61"/>
        <v>15.384615384615385</v>
      </c>
    </row>
    <row r="352" spans="1:75" x14ac:dyDescent="0.2">
      <c r="A352" t="s">
        <v>127</v>
      </c>
      <c r="B352" t="s">
        <v>149</v>
      </c>
      <c r="C352" t="s">
        <v>106</v>
      </c>
      <c r="D352" t="s">
        <v>342</v>
      </c>
      <c r="E352" t="s">
        <v>371</v>
      </c>
      <c r="F352" t="s">
        <v>437</v>
      </c>
      <c r="G352">
        <v>2.95</v>
      </c>
      <c r="H352">
        <v>10.5</v>
      </c>
      <c r="I352">
        <v>2.2999999999999998</v>
      </c>
      <c r="J352">
        <v>1.05</v>
      </c>
      <c r="K352">
        <v>16.8</v>
      </c>
      <c r="L352">
        <v>4.3389830509999996</v>
      </c>
      <c r="M352">
        <v>300</v>
      </c>
      <c r="N352">
        <v>450</v>
      </c>
      <c r="O352">
        <v>150</v>
      </c>
      <c r="P352">
        <v>485</v>
      </c>
      <c r="Q352">
        <v>185</v>
      </c>
      <c r="R352">
        <v>92.5</v>
      </c>
      <c r="S352">
        <v>232.1</v>
      </c>
      <c r="T352">
        <v>61.666666669999998</v>
      </c>
      <c r="U352">
        <v>7.7777777779999999</v>
      </c>
      <c r="V352">
        <v>37</v>
      </c>
      <c r="W352">
        <v>66</v>
      </c>
      <c r="X352">
        <v>58</v>
      </c>
      <c r="Y352">
        <v>21</v>
      </c>
      <c r="Z352">
        <v>56.756756760000002</v>
      </c>
      <c r="AA352">
        <v>20</v>
      </c>
      <c r="AB352">
        <v>25</v>
      </c>
      <c r="AC352">
        <v>30</v>
      </c>
      <c r="AD352" t="s">
        <v>66</v>
      </c>
      <c r="AE352">
        <v>369</v>
      </c>
      <c r="AF352">
        <v>369</v>
      </c>
      <c r="AG352" t="s">
        <v>66</v>
      </c>
      <c r="AH352">
        <v>175</v>
      </c>
      <c r="AI352">
        <v>124</v>
      </c>
      <c r="AJ352" t="s">
        <v>66</v>
      </c>
      <c r="AK352">
        <v>148</v>
      </c>
      <c r="AL352">
        <v>115</v>
      </c>
      <c r="AM352">
        <v>161.5</v>
      </c>
      <c r="AN352">
        <v>119.5</v>
      </c>
      <c r="AO352">
        <v>-26.006191950000002</v>
      </c>
      <c r="AP352">
        <v>0</v>
      </c>
      <c r="AQ352">
        <v>2.2848297209999999</v>
      </c>
      <c r="AR352">
        <v>3.0878661090000001</v>
      </c>
      <c r="AS352">
        <v>0.80303638799999999</v>
      </c>
      <c r="AT352">
        <v>0</v>
      </c>
      <c r="AU352" t="s">
        <v>66</v>
      </c>
      <c r="AV352">
        <v>2</v>
      </c>
      <c r="AW352">
        <v>1</v>
      </c>
      <c r="AX352">
        <v>1</v>
      </c>
      <c r="AY352">
        <v>1</v>
      </c>
      <c r="AZ352">
        <v>1</v>
      </c>
      <c r="BA352">
        <v>1</v>
      </c>
      <c r="BB352" t="s">
        <v>66</v>
      </c>
      <c r="BC352">
        <v>49.2</v>
      </c>
      <c r="BD352">
        <v>65.3</v>
      </c>
      <c r="BE352">
        <v>32.723577239999997</v>
      </c>
      <c r="BF352">
        <v>0</v>
      </c>
      <c r="BG352">
        <v>65.3</v>
      </c>
      <c r="BH352">
        <v>32.723577239999997</v>
      </c>
      <c r="BI352">
        <f>468+169</f>
        <v>637</v>
      </c>
      <c r="BJ352">
        <v>81.900000000000006</v>
      </c>
      <c r="BK352">
        <v>44.7</v>
      </c>
      <c r="BL352">
        <f>637-155</f>
        <v>482</v>
      </c>
      <c r="BM352">
        <v>210</v>
      </c>
      <c r="BN352">
        <v>200</v>
      </c>
      <c r="BO352">
        <f t="shared" si="57"/>
        <v>205</v>
      </c>
      <c r="BP352">
        <v>3</v>
      </c>
      <c r="BQ352">
        <v>1</v>
      </c>
      <c r="BS352">
        <v>0</v>
      </c>
      <c r="BT352">
        <f t="shared" si="58"/>
        <v>52.904238618524332</v>
      </c>
      <c r="BU352">
        <f t="shared" si="59"/>
        <v>54.822954822954827</v>
      </c>
      <c r="BV352">
        <f t="shared" si="60"/>
        <v>23.443983402489625</v>
      </c>
      <c r="BW352">
        <f t="shared" si="61"/>
        <v>21.219512195121951</v>
      </c>
    </row>
    <row r="353" spans="1:75" x14ac:dyDescent="0.2">
      <c r="A353" t="s">
        <v>127</v>
      </c>
      <c r="B353" t="s">
        <v>149</v>
      </c>
      <c r="C353" t="s">
        <v>106</v>
      </c>
      <c r="D353" t="s">
        <v>342</v>
      </c>
      <c r="E353" t="s">
        <v>373</v>
      </c>
      <c r="F353" t="s">
        <v>438</v>
      </c>
      <c r="G353">
        <v>2.95</v>
      </c>
      <c r="H353">
        <v>10.5</v>
      </c>
      <c r="I353">
        <v>2.2999999999999998</v>
      </c>
      <c r="J353">
        <v>1.05</v>
      </c>
      <c r="K353">
        <v>16.8</v>
      </c>
      <c r="L353">
        <v>4.3389830509999996</v>
      </c>
      <c r="M353">
        <v>260</v>
      </c>
      <c r="N353">
        <v>336</v>
      </c>
      <c r="O353">
        <v>76</v>
      </c>
      <c r="P353">
        <v>345</v>
      </c>
      <c r="Q353">
        <v>85</v>
      </c>
      <c r="R353">
        <v>42.5</v>
      </c>
      <c r="S353">
        <v>132.1</v>
      </c>
      <c r="T353">
        <v>32.69230769</v>
      </c>
      <c r="U353">
        <v>2.6785714289999998</v>
      </c>
      <c r="V353">
        <v>19</v>
      </c>
      <c r="W353">
        <v>23</v>
      </c>
      <c r="X353">
        <v>32</v>
      </c>
      <c r="Y353">
        <v>13</v>
      </c>
      <c r="Z353">
        <v>68.421052630000005</v>
      </c>
      <c r="AA353">
        <v>10</v>
      </c>
      <c r="AB353">
        <v>14</v>
      </c>
      <c r="AC353">
        <v>15</v>
      </c>
      <c r="AD353" t="s">
        <v>66</v>
      </c>
      <c r="AE353">
        <v>259</v>
      </c>
      <c r="AF353">
        <v>267</v>
      </c>
      <c r="AG353" t="s">
        <v>66</v>
      </c>
      <c r="AH353">
        <v>70</v>
      </c>
      <c r="AI353">
        <v>94</v>
      </c>
      <c r="AJ353" t="s">
        <v>66</v>
      </c>
      <c r="AK353">
        <v>32</v>
      </c>
      <c r="AL353">
        <v>66</v>
      </c>
      <c r="AM353">
        <v>51</v>
      </c>
      <c r="AN353">
        <v>80</v>
      </c>
      <c r="AO353">
        <v>56.862745099999998</v>
      </c>
      <c r="AP353">
        <v>3.0888030889999998</v>
      </c>
      <c r="AQ353">
        <v>5.0784313729999999</v>
      </c>
      <c r="AR353">
        <v>3.3374999999999999</v>
      </c>
      <c r="AS353">
        <v>-1.740931373</v>
      </c>
      <c r="AT353">
        <v>0</v>
      </c>
      <c r="AU353" t="s">
        <v>66</v>
      </c>
      <c r="AV353">
        <v>2</v>
      </c>
      <c r="AW353">
        <v>1</v>
      </c>
      <c r="AX353">
        <v>1</v>
      </c>
      <c r="AY353">
        <v>1</v>
      </c>
      <c r="AZ353">
        <v>1</v>
      </c>
      <c r="BA353">
        <v>1</v>
      </c>
      <c r="BB353" t="s">
        <v>66</v>
      </c>
      <c r="BC353">
        <v>50.4</v>
      </c>
      <c r="BD353">
        <v>64.099999999999994</v>
      </c>
      <c r="BE353">
        <v>27.182539680000001</v>
      </c>
      <c r="BF353">
        <v>0</v>
      </c>
      <c r="BG353">
        <v>64.099999999999994</v>
      </c>
      <c r="BH353">
        <v>27.182539680000001</v>
      </c>
      <c r="BI353">
        <v>420</v>
      </c>
      <c r="BJ353">
        <v>36.4</v>
      </c>
      <c r="BK353">
        <v>21</v>
      </c>
      <c r="BL353">
        <f>420-166</f>
        <v>254</v>
      </c>
      <c r="BM353">
        <v>136</v>
      </c>
      <c r="BN353">
        <v>98</v>
      </c>
      <c r="BO353">
        <f t="shared" si="57"/>
        <v>117</v>
      </c>
      <c r="BP353">
        <v>4</v>
      </c>
      <c r="BQ353">
        <v>1</v>
      </c>
      <c r="BS353">
        <v>0</v>
      </c>
      <c r="BT353">
        <f t="shared" si="58"/>
        <v>38.095238095238095</v>
      </c>
      <c r="BU353">
        <f t="shared" si="59"/>
        <v>47.802197802197796</v>
      </c>
      <c r="BV353">
        <f t="shared" si="60"/>
        <v>-1.9685039370078741</v>
      </c>
      <c r="BW353">
        <f t="shared" si="61"/>
        <v>56.410256410256409</v>
      </c>
    </row>
    <row r="354" spans="1:75" x14ac:dyDescent="0.2">
      <c r="A354" t="s">
        <v>127</v>
      </c>
      <c r="B354" t="s">
        <v>149</v>
      </c>
      <c r="C354" t="s">
        <v>106</v>
      </c>
      <c r="D354" t="s">
        <v>342</v>
      </c>
      <c r="E354" t="s">
        <v>375</v>
      </c>
      <c r="F354" t="s">
        <v>439</v>
      </c>
      <c r="G354">
        <v>2.95</v>
      </c>
      <c r="H354">
        <v>10.5</v>
      </c>
      <c r="I354">
        <v>2.2999999999999998</v>
      </c>
      <c r="J354">
        <v>1.05</v>
      </c>
      <c r="K354">
        <v>16.8</v>
      </c>
      <c r="L354">
        <v>4.3389830509999996</v>
      </c>
      <c r="M354">
        <v>280</v>
      </c>
      <c r="N354">
        <v>385</v>
      </c>
      <c r="O354">
        <v>105</v>
      </c>
      <c r="P354">
        <v>413</v>
      </c>
      <c r="Q354">
        <v>133</v>
      </c>
      <c r="R354">
        <v>66.5</v>
      </c>
      <c r="S354">
        <v>180.1</v>
      </c>
      <c r="T354">
        <v>47.5</v>
      </c>
      <c r="U354">
        <v>7.2727272730000001</v>
      </c>
      <c r="V354">
        <v>17</v>
      </c>
      <c r="W354">
        <v>52</v>
      </c>
      <c r="X354">
        <v>45</v>
      </c>
      <c r="Y354">
        <v>28</v>
      </c>
      <c r="Z354">
        <v>164.70588240000001</v>
      </c>
      <c r="AA354">
        <v>13</v>
      </c>
      <c r="AB354">
        <v>20</v>
      </c>
      <c r="AC354">
        <v>23</v>
      </c>
      <c r="AD354" t="s">
        <v>66</v>
      </c>
      <c r="AE354">
        <v>315</v>
      </c>
      <c r="AF354">
        <v>338</v>
      </c>
      <c r="AG354" t="s">
        <v>66</v>
      </c>
      <c r="AH354">
        <v>130</v>
      </c>
      <c r="AI354">
        <v>170</v>
      </c>
      <c r="AJ354" t="s">
        <v>66</v>
      </c>
      <c r="AK354">
        <v>125</v>
      </c>
      <c r="AL354">
        <v>108</v>
      </c>
      <c r="AM354">
        <v>127.5</v>
      </c>
      <c r="AN354">
        <v>139</v>
      </c>
      <c r="AO354">
        <v>9.0196078429999993</v>
      </c>
      <c r="AP354">
        <v>7.3015873019999997</v>
      </c>
      <c r="AQ354">
        <v>2.4705882350000001</v>
      </c>
      <c r="AR354">
        <v>2.431654676</v>
      </c>
      <c r="AS354">
        <v>-3.8933559E-2</v>
      </c>
      <c r="AT354">
        <v>0</v>
      </c>
      <c r="AU354" t="s">
        <v>66</v>
      </c>
      <c r="AV354">
        <v>2</v>
      </c>
      <c r="AW354">
        <v>2</v>
      </c>
      <c r="AX354">
        <v>1</v>
      </c>
      <c r="AY354">
        <v>1</v>
      </c>
      <c r="AZ354">
        <v>1</v>
      </c>
      <c r="BA354">
        <v>1</v>
      </c>
      <c r="BB354" t="s">
        <v>66</v>
      </c>
      <c r="BC354">
        <v>42</v>
      </c>
      <c r="BD354">
        <v>57.7</v>
      </c>
      <c r="BE354">
        <v>37.380952379999997</v>
      </c>
      <c r="BF354">
        <v>0</v>
      </c>
      <c r="BG354">
        <v>57.7</v>
      </c>
      <c r="BH354">
        <v>37.380952379999997</v>
      </c>
      <c r="BI354">
        <v>486</v>
      </c>
      <c r="BJ354">
        <v>54</v>
      </c>
      <c r="BK354">
        <v>31.5</v>
      </c>
      <c r="BL354">
        <f>486+146</f>
        <v>632</v>
      </c>
      <c r="BM354">
        <v>160</v>
      </c>
      <c r="BN354">
        <v>141</v>
      </c>
      <c r="BO354">
        <f t="shared" si="57"/>
        <v>150.5</v>
      </c>
      <c r="BP354">
        <v>4</v>
      </c>
      <c r="BQ354">
        <v>1</v>
      </c>
      <c r="BS354">
        <v>0</v>
      </c>
      <c r="BT354">
        <f t="shared" si="58"/>
        <v>42.386831275720169</v>
      </c>
      <c r="BU354">
        <f t="shared" si="59"/>
        <v>68.518518518518519</v>
      </c>
      <c r="BV354">
        <f t="shared" si="60"/>
        <v>50.158227848101269</v>
      </c>
      <c r="BW354">
        <f t="shared" si="61"/>
        <v>15.282392026578073</v>
      </c>
    </row>
    <row r="355" spans="1:75" x14ac:dyDescent="0.2">
      <c r="A355" t="s">
        <v>170</v>
      </c>
      <c r="B355" t="s">
        <v>192</v>
      </c>
      <c r="C355" t="s">
        <v>106</v>
      </c>
      <c r="D355" t="s">
        <v>342</v>
      </c>
      <c r="E355" t="s">
        <v>343</v>
      </c>
      <c r="F355" t="s">
        <v>463</v>
      </c>
      <c r="G355">
        <v>2.2000000000000002</v>
      </c>
      <c r="H355">
        <v>17.2</v>
      </c>
      <c r="I355">
        <v>18.149999999999999</v>
      </c>
      <c r="J355">
        <v>3.95</v>
      </c>
      <c r="K355">
        <v>41.5</v>
      </c>
      <c r="L355">
        <v>16.06818182</v>
      </c>
      <c r="M355">
        <v>138</v>
      </c>
      <c r="N355">
        <v>190</v>
      </c>
      <c r="O355">
        <v>52</v>
      </c>
      <c r="P355">
        <v>218</v>
      </c>
      <c r="Q355">
        <v>80</v>
      </c>
      <c r="R355">
        <v>40</v>
      </c>
      <c r="S355">
        <v>127.1</v>
      </c>
      <c r="T355">
        <v>57.971014490000002</v>
      </c>
      <c r="U355">
        <v>14.73684211</v>
      </c>
      <c r="V355">
        <v>13</v>
      </c>
      <c r="W355">
        <v>23</v>
      </c>
      <c r="X355">
        <v>33</v>
      </c>
      <c r="Y355">
        <v>20</v>
      </c>
      <c r="Z355">
        <v>153.8461538</v>
      </c>
      <c r="AA355" t="s">
        <v>66</v>
      </c>
      <c r="AB355">
        <v>7</v>
      </c>
      <c r="AC355">
        <v>8</v>
      </c>
      <c r="AD355" t="s">
        <v>66</v>
      </c>
      <c r="AE355">
        <v>162</v>
      </c>
      <c r="AF355">
        <v>186</v>
      </c>
      <c r="AG355" t="s">
        <v>66</v>
      </c>
      <c r="AH355">
        <v>96</v>
      </c>
      <c r="AI355">
        <v>95</v>
      </c>
      <c r="AJ355" t="s">
        <v>66</v>
      </c>
      <c r="AK355">
        <v>68</v>
      </c>
      <c r="AL355">
        <v>81</v>
      </c>
      <c r="AM355">
        <v>82</v>
      </c>
      <c r="AN355">
        <v>88</v>
      </c>
      <c r="AO355">
        <v>7.3170731709999997</v>
      </c>
      <c r="AP355">
        <v>14.81481481</v>
      </c>
      <c r="AQ355">
        <v>1.9756097560000001</v>
      </c>
      <c r="AR355">
        <v>2.113636364</v>
      </c>
      <c r="AS355">
        <v>0.138026608</v>
      </c>
      <c r="AT355">
        <v>0</v>
      </c>
      <c r="AU355" t="s">
        <v>66</v>
      </c>
      <c r="AV355">
        <v>2</v>
      </c>
      <c r="AW355">
        <v>1</v>
      </c>
      <c r="AX355">
        <v>0</v>
      </c>
      <c r="AY355">
        <v>1</v>
      </c>
      <c r="AZ355">
        <v>1</v>
      </c>
      <c r="BA355">
        <v>1</v>
      </c>
      <c r="BB355" t="s">
        <v>66</v>
      </c>
      <c r="BC355">
        <v>41.5</v>
      </c>
      <c r="BD355">
        <v>52.8</v>
      </c>
      <c r="BE355">
        <v>27.228915659999998</v>
      </c>
      <c r="BF355">
        <v>0</v>
      </c>
      <c r="BG355">
        <v>52.8</v>
      </c>
      <c r="BH355">
        <v>27.228915659999998</v>
      </c>
      <c r="BI355">
        <v>285</v>
      </c>
      <c r="BJ355">
        <v>14.2</v>
      </c>
      <c r="BK355">
        <v>8.9</v>
      </c>
      <c r="BL355">
        <f>285-106</f>
        <v>179</v>
      </c>
      <c r="BM355">
        <v>33</v>
      </c>
      <c r="BN355">
        <v>23</v>
      </c>
      <c r="BO355">
        <f t="shared" si="57"/>
        <v>28</v>
      </c>
      <c r="BP355">
        <v>3</v>
      </c>
      <c r="BQ355">
        <v>1</v>
      </c>
      <c r="BS355">
        <v>0</v>
      </c>
      <c r="BT355">
        <f t="shared" si="58"/>
        <v>51.578947368421055</v>
      </c>
      <c r="BU355">
        <f t="shared" si="59"/>
        <v>8.4507042253521085</v>
      </c>
      <c r="BV355">
        <f t="shared" si="60"/>
        <v>9.4972067039106136</v>
      </c>
      <c r="BW355">
        <f t="shared" si="61"/>
        <v>-192.85714285714286</v>
      </c>
    </row>
    <row r="356" spans="1:75" x14ac:dyDescent="0.2">
      <c r="A356" t="s">
        <v>170</v>
      </c>
      <c r="B356" t="s">
        <v>192</v>
      </c>
      <c r="C356" t="s">
        <v>106</v>
      </c>
      <c r="D356" t="s">
        <v>342</v>
      </c>
      <c r="E356" t="s">
        <v>355</v>
      </c>
      <c r="F356" t="s">
        <v>469</v>
      </c>
      <c r="G356">
        <v>2.2000000000000002</v>
      </c>
      <c r="H356">
        <v>17.2</v>
      </c>
      <c r="I356">
        <v>18.149999999999999</v>
      </c>
      <c r="J356">
        <v>3.95</v>
      </c>
      <c r="K356">
        <v>41.5</v>
      </c>
      <c r="L356">
        <v>16.06818182</v>
      </c>
      <c r="M356">
        <v>66</v>
      </c>
      <c r="N356">
        <v>79</v>
      </c>
      <c r="O356">
        <v>13</v>
      </c>
      <c r="P356">
        <v>81</v>
      </c>
      <c r="Q356">
        <v>15</v>
      </c>
      <c r="R356">
        <v>7.5</v>
      </c>
      <c r="S356">
        <v>62.1</v>
      </c>
      <c r="T356">
        <v>22.727272729999999</v>
      </c>
      <c r="U356">
        <v>2.5316455699999998</v>
      </c>
      <c r="V356">
        <v>7</v>
      </c>
      <c r="W356">
        <v>77</v>
      </c>
      <c r="X356">
        <v>8</v>
      </c>
      <c r="Y356">
        <v>1</v>
      </c>
      <c r="Z356">
        <v>14.28571429</v>
      </c>
      <c r="AA356" t="s">
        <v>66</v>
      </c>
      <c r="AB356" t="s">
        <v>66</v>
      </c>
      <c r="AC356" t="s">
        <v>66</v>
      </c>
      <c r="AD356" t="s">
        <v>66</v>
      </c>
      <c r="AE356">
        <v>64</v>
      </c>
      <c r="AF356">
        <v>49</v>
      </c>
      <c r="AG356" t="s">
        <v>66</v>
      </c>
      <c r="AH356">
        <v>16</v>
      </c>
      <c r="AI356">
        <v>17</v>
      </c>
      <c r="AJ356" t="s">
        <v>66</v>
      </c>
      <c r="AK356">
        <v>15</v>
      </c>
      <c r="AL356">
        <v>11</v>
      </c>
      <c r="AM356">
        <v>15.5</v>
      </c>
      <c r="AN356">
        <v>14</v>
      </c>
      <c r="AO356">
        <v>-9.6774193549999996</v>
      </c>
      <c r="AP356">
        <v>-23.4375</v>
      </c>
      <c r="AQ356">
        <v>4.1290322579999996</v>
      </c>
      <c r="AR356">
        <v>3.5</v>
      </c>
      <c r="AS356">
        <v>-0.62903225799999996</v>
      </c>
      <c r="AT356">
        <v>0</v>
      </c>
      <c r="AU356" t="s">
        <v>66</v>
      </c>
      <c r="AV356">
        <v>3</v>
      </c>
      <c r="AW356">
        <v>2</v>
      </c>
      <c r="AX356">
        <v>0</v>
      </c>
      <c r="AY356">
        <v>1</v>
      </c>
      <c r="AZ356">
        <v>1</v>
      </c>
      <c r="BA356">
        <v>1</v>
      </c>
      <c r="BB356" t="s">
        <v>66</v>
      </c>
      <c r="BC356">
        <v>34.5</v>
      </c>
      <c r="BD356">
        <v>37.1</v>
      </c>
      <c r="BE356">
        <v>7.5362318840000002</v>
      </c>
      <c r="BF356">
        <v>0</v>
      </c>
      <c r="BG356">
        <v>37.1</v>
      </c>
      <c r="BH356">
        <v>7.5362318840000002</v>
      </c>
      <c r="BI356">
        <v>100</v>
      </c>
      <c r="BJ356">
        <v>9.3000000000000007</v>
      </c>
      <c r="BK356" t="s">
        <v>66</v>
      </c>
      <c r="BL356">
        <f>100-41</f>
        <v>59</v>
      </c>
      <c r="BM356">
        <v>27</v>
      </c>
      <c r="BN356">
        <v>18</v>
      </c>
      <c r="BO356">
        <f t="shared" si="57"/>
        <v>22.5</v>
      </c>
      <c r="BP356">
        <v>4</v>
      </c>
      <c r="BQ356">
        <v>1</v>
      </c>
      <c r="BS356">
        <v>0</v>
      </c>
      <c r="BT356">
        <f t="shared" si="58"/>
        <v>34</v>
      </c>
      <c r="BU356">
        <f t="shared" si="59"/>
        <v>24.731182795698931</v>
      </c>
      <c r="BV356">
        <f t="shared" si="60"/>
        <v>-8.4745762711864394</v>
      </c>
      <c r="BW356">
        <f t="shared" si="61"/>
        <v>31.111111111111111</v>
      </c>
    </row>
    <row r="357" spans="1:75" x14ac:dyDescent="0.2">
      <c r="A357" t="s">
        <v>170</v>
      </c>
      <c r="B357" t="s">
        <v>192</v>
      </c>
      <c r="C357" t="s">
        <v>106</v>
      </c>
      <c r="D357" t="s">
        <v>342</v>
      </c>
      <c r="E357" t="s">
        <v>361</v>
      </c>
      <c r="F357" t="s">
        <v>472</v>
      </c>
      <c r="G357">
        <v>2.2000000000000002</v>
      </c>
      <c r="H357">
        <v>17.2</v>
      </c>
      <c r="I357">
        <v>18.149999999999999</v>
      </c>
      <c r="J357">
        <v>3.95</v>
      </c>
      <c r="K357">
        <v>41.5</v>
      </c>
      <c r="L357">
        <v>16.06818182</v>
      </c>
      <c r="M357">
        <v>109</v>
      </c>
      <c r="N357">
        <v>139</v>
      </c>
      <c r="O357">
        <v>30</v>
      </c>
      <c r="P357">
        <v>138</v>
      </c>
      <c r="Q357">
        <v>29</v>
      </c>
      <c r="R357">
        <v>14.5</v>
      </c>
      <c r="S357">
        <v>76.099999999999994</v>
      </c>
      <c r="T357">
        <v>26.605504589999999</v>
      </c>
      <c r="U357">
        <v>-0.71942446000000004</v>
      </c>
      <c r="V357">
        <v>9</v>
      </c>
      <c r="W357">
        <v>12</v>
      </c>
      <c r="X357">
        <v>12</v>
      </c>
      <c r="Y357">
        <v>3</v>
      </c>
      <c r="Z357">
        <v>33.333333330000002</v>
      </c>
      <c r="AA357" t="s">
        <v>66</v>
      </c>
      <c r="AB357" t="s">
        <v>66</v>
      </c>
      <c r="AC357" t="s">
        <v>66</v>
      </c>
      <c r="AD357" t="s">
        <v>66</v>
      </c>
      <c r="AE357">
        <v>92</v>
      </c>
      <c r="AF357">
        <v>68</v>
      </c>
      <c r="AG357" t="s">
        <v>66</v>
      </c>
      <c r="AH357">
        <v>50</v>
      </c>
      <c r="AI357">
        <v>43</v>
      </c>
      <c r="AJ357" t="s">
        <v>66</v>
      </c>
      <c r="AK357">
        <v>22</v>
      </c>
      <c r="AL357">
        <v>21</v>
      </c>
      <c r="AM357">
        <v>36</v>
      </c>
      <c r="AN357">
        <v>32</v>
      </c>
      <c r="AO357">
        <v>-11.11111111</v>
      </c>
      <c r="AP357">
        <v>-26.086956520000001</v>
      </c>
      <c r="AQ357">
        <v>2.5555555559999998</v>
      </c>
      <c r="AR357">
        <v>2.125</v>
      </c>
      <c r="AS357">
        <v>-0.43055555600000001</v>
      </c>
      <c r="AT357">
        <v>0</v>
      </c>
      <c r="AU357" t="s">
        <v>66</v>
      </c>
      <c r="AV357">
        <v>3</v>
      </c>
      <c r="AW357">
        <v>2</v>
      </c>
      <c r="AX357">
        <v>0</v>
      </c>
      <c r="AY357">
        <v>1</v>
      </c>
      <c r="AZ357">
        <v>1</v>
      </c>
      <c r="BA357">
        <v>1</v>
      </c>
      <c r="BB357" t="s">
        <v>66</v>
      </c>
      <c r="BC357">
        <v>39.6</v>
      </c>
      <c r="BD357">
        <v>37.200000000000003</v>
      </c>
      <c r="BE357">
        <v>-6.0606060609999997</v>
      </c>
      <c r="BF357">
        <v>0</v>
      </c>
      <c r="BG357">
        <v>37.200000000000003</v>
      </c>
      <c r="BH357">
        <v>-6.0606060609999997</v>
      </c>
      <c r="BI357">
        <v>167</v>
      </c>
      <c r="BJ357">
        <v>11.9</v>
      </c>
      <c r="BK357">
        <v>2.5</v>
      </c>
      <c r="BL357">
        <f>167-80</f>
        <v>87</v>
      </c>
      <c r="BM357">
        <v>48</v>
      </c>
      <c r="BN357">
        <v>32</v>
      </c>
      <c r="BO357">
        <f t="shared" si="57"/>
        <v>40</v>
      </c>
      <c r="BP357">
        <v>4</v>
      </c>
      <c r="BQ357">
        <v>1</v>
      </c>
      <c r="BS357">
        <v>0</v>
      </c>
      <c r="BT357">
        <f t="shared" si="58"/>
        <v>34.730538922155688</v>
      </c>
      <c r="BU357">
        <f t="shared" si="59"/>
        <v>24.369747899159666</v>
      </c>
      <c r="BV357">
        <f t="shared" si="60"/>
        <v>-5.7471264367816088</v>
      </c>
      <c r="BW357">
        <f t="shared" si="61"/>
        <v>10</v>
      </c>
    </row>
    <row r="358" spans="1:75" x14ac:dyDescent="0.2">
      <c r="A358" t="s">
        <v>170</v>
      </c>
      <c r="B358" t="s">
        <v>192</v>
      </c>
      <c r="C358" t="s">
        <v>106</v>
      </c>
      <c r="D358" t="s">
        <v>342</v>
      </c>
      <c r="E358" t="s">
        <v>367</v>
      </c>
      <c r="F358" t="s">
        <v>475</v>
      </c>
      <c r="G358">
        <v>2.2000000000000002</v>
      </c>
      <c r="H358">
        <v>17.2</v>
      </c>
      <c r="I358">
        <v>18.149999999999999</v>
      </c>
      <c r="J358">
        <v>3.95</v>
      </c>
      <c r="K358">
        <v>41.5</v>
      </c>
      <c r="L358">
        <v>16.06818182</v>
      </c>
      <c r="M358">
        <v>67</v>
      </c>
      <c r="N358">
        <v>72</v>
      </c>
      <c r="O358">
        <v>5</v>
      </c>
      <c r="P358">
        <v>71</v>
      </c>
      <c r="Q358">
        <v>4</v>
      </c>
      <c r="R358">
        <v>2</v>
      </c>
      <c r="S358">
        <v>51.1</v>
      </c>
      <c r="T358">
        <v>5.9701492539999998</v>
      </c>
      <c r="U358">
        <v>-1.388888889</v>
      </c>
      <c r="V358">
        <v>8</v>
      </c>
      <c r="W358">
        <v>10</v>
      </c>
      <c r="X358">
        <v>9</v>
      </c>
      <c r="Y358">
        <v>1</v>
      </c>
      <c r="Z358">
        <v>12.5</v>
      </c>
      <c r="AA358" t="s">
        <v>66</v>
      </c>
      <c r="AB358" t="s">
        <v>66</v>
      </c>
      <c r="AC358" t="s">
        <v>66</v>
      </c>
      <c r="AD358" t="s">
        <v>66</v>
      </c>
      <c r="AE358">
        <v>39</v>
      </c>
      <c r="AF358">
        <v>42</v>
      </c>
      <c r="AG358" t="s">
        <v>66</v>
      </c>
      <c r="AH358">
        <v>34</v>
      </c>
      <c r="AI358">
        <v>34</v>
      </c>
      <c r="AJ358" t="s">
        <v>66</v>
      </c>
      <c r="AK358">
        <v>17</v>
      </c>
      <c r="AL358">
        <v>11</v>
      </c>
      <c r="AM358">
        <v>25.5</v>
      </c>
      <c r="AN358">
        <v>22.5</v>
      </c>
      <c r="AO358">
        <v>-11.764705879999999</v>
      </c>
      <c r="AP358">
        <v>7.692307692</v>
      </c>
      <c r="AQ358">
        <v>1.5294117650000001</v>
      </c>
      <c r="AR358">
        <v>1.8666666670000001</v>
      </c>
      <c r="AS358">
        <v>0.33725490200000002</v>
      </c>
      <c r="AT358">
        <v>0</v>
      </c>
      <c r="AU358" t="s">
        <v>66</v>
      </c>
      <c r="AV358">
        <v>2</v>
      </c>
      <c r="AW358">
        <v>4</v>
      </c>
      <c r="AX358">
        <v>0</v>
      </c>
      <c r="AY358">
        <v>1</v>
      </c>
      <c r="AZ358">
        <v>1</v>
      </c>
      <c r="BA358">
        <v>1</v>
      </c>
      <c r="BB358" t="s">
        <v>66</v>
      </c>
      <c r="BC358">
        <v>37.5</v>
      </c>
      <c r="BD358">
        <v>33.9</v>
      </c>
      <c r="BE358">
        <v>-9.6</v>
      </c>
      <c r="BF358">
        <v>0</v>
      </c>
      <c r="BG358">
        <v>33.9</v>
      </c>
      <c r="BH358">
        <v>-9.6</v>
      </c>
      <c r="BI358">
        <v>68</v>
      </c>
      <c r="BJ358">
        <v>7.7</v>
      </c>
      <c r="BK358" t="s">
        <v>66</v>
      </c>
      <c r="BL358">
        <v>54</v>
      </c>
      <c r="BM358">
        <v>44</v>
      </c>
      <c r="BN358">
        <v>13</v>
      </c>
      <c r="BO358">
        <f t="shared" si="57"/>
        <v>28.5</v>
      </c>
      <c r="BP358">
        <v>4</v>
      </c>
      <c r="BQ358">
        <v>1</v>
      </c>
      <c r="BS358">
        <v>0</v>
      </c>
      <c r="BT358">
        <f t="shared" si="58"/>
        <v>1.4705882352941175</v>
      </c>
      <c r="BU358">
        <f t="shared" si="59"/>
        <v>-3.8961038961038938</v>
      </c>
      <c r="BV358">
        <f t="shared" si="60"/>
        <v>27.777777777777779</v>
      </c>
      <c r="BW358">
        <f t="shared" si="61"/>
        <v>10.526315789473683</v>
      </c>
    </row>
    <row r="359" spans="1:75" x14ac:dyDescent="0.2">
      <c r="A359" t="s">
        <v>170</v>
      </c>
      <c r="B359" t="s">
        <v>192</v>
      </c>
      <c r="C359" t="s">
        <v>106</v>
      </c>
      <c r="D359" t="s">
        <v>342</v>
      </c>
      <c r="E359" t="s">
        <v>369</v>
      </c>
      <c r="F359" t="s">
        <v>476</v>
      </c>
      <c r="G359">
        <v>2.2000000000000002</v>
      </c>
      <c r="H359">
        <v>17.2</v>
      </c>
      <c r="I359">
        <v>18.149999999999999</v>
      </c>
      <c r="J359">
        <v>3.95</v>
      </c>
      <c r="K359">
        <v>41.5</v>
      </c>
      <c r="L359">
        <v>16.06818182</v>
      </c>
      <c r="M359">
        <v>19</v>
      </c>
      <c r="N359">
        <v>55</v>
      </c>
      <c r="O359">
        <v>36</v>
      </c>
      <c r="P359">
        <v>61</v>
      </c>
      <c r="Q359">
        <v>42</v>
      </c>
      <c r="R359">
        <v>21</v>
      </c>
      <c r="S359">
        <v>89.1</v>
      </c>
      <c r="T359">
        <v>221.05263160000001</v>
      </c>
      <c r="U359">
        <v>10.90909091</v>
      </c>
      <c r="V359">
        <v>6</v>
      </c>
      <c r="W359">
        <v>5</v>
      </c>
      <c r="X359">
        <v>7</v>
      </c>
      <c r="Y359">
        <v>1</v>
      </c>
      <c r="Z359">
        <v>16.666666670000001</v>
      </c>
      <c r="AA359" t="s">
        <v>66</v>
      </c>
      <c r="AB359" t="s">
        <v>66</v>
      </c>
      <c r="AC359" t="s">
        <v>66</v>
      </c>
      <c r="AD359" t="s">
        <v>66</v>
      </c>
      <c r="AE359">
        <v>40</v>
      </c>
      <c r="AF359">
        <v>39</v>
      </c>
      <c r="AG359" t="s">
        <v>66</v>
      </c>
      <c r="AH359">
        <v>17</v>
      </c>
      <c r="AI359">
        <v>19</v>
      </c>
      <c r="AJ359" t="s">
        <v>66</v>
      </c>
      <c r="AK359">
        <v>8</v>
      </c>
      <c r="AL359">
        <v>17</v>
      </c>
      <c r="AM359">
        <v>12.5</v>
      </c>
      <c r="AN359">
        <v>18</v>
      </c>
      <c r="AO359">
        <v>44</v>
      </c>
      <c r="AP359">
        <v>-2.5</v>
      </c>
      <c r="AQ359">
        <v>3.2</v>
      </c>
      <c r="AR359">
        <v>2.1666666669999999</v>
      </c>
      <c r="AS359">
        <v>-1.0333333330000001</v>
      </c>
      <c r="AT359">
        <v>0</v>
      </c>
      <c r="AU359" t="s">
        <v>66</v>
      </c>
      <c r="AV359">
        <v>1</v>
      </c>
      <c r="AW359">
        <v>2</v>
      </c>
      <c r="AX359">
        <v>0</v>
      </c>
      <c r="AY359">
        <v>1</v>
      </c>
      <c r="AZ359">
        <v>1</v>
      </c>
      <c r="BA359">
        <v>1</v>
      </c>
      <c r="BB359" t="s">
        <v>66</v>
      </c>
      <c r="BC359">
        <v>35.799999999999997</v>
      </c>
      <c r="BD359">
        <v>36.799999999999997</v>
      </c>
      <c r="BE359">
        <v>2.793296089</v>
      </c>
      <c r="BF359">
        <v>0</v>
      </c>
      <c r="BG359">
        <v>36.799999999999997</v>
      </c>
      <c r="BH359">
        <v>2.793296089</v>
      </c>
      <c r="BI359">
        <v>77</v>
      </c>
      <c r="BJ359">
        <v>5.8</v>
      </c>
      <c r="BK359" t="s">
        <v>66</v>
      </c>
      <c r="BL359">
        <f>77-33</f>
        <v>44</v>
      </c>
      <c r="BM359">
        <v>27</v>
      </c>
      <c r="BN359">
        <v>16</v>
      </c>
      <c r="BO359">
        <f t="shared" si="57"/>
        <v>21.5</v>
      </c>
      <c r="BP359">
        <v>4</v>
      </c>
      <c r="BQ359">
        <v>1</v>
      </c>
      <c r="BS359">
        <v>0</v>
      </c>
      <c r="BT359">
        <f t="shared" si="58"/>
        <v>75.324675324675326</v>
      </c>
      <c r="BU359">
        <f t="shared" si="59"/>
        <v>-3.4482758620689689</v>
      </c>
      <c r="BV359">
        <f t="shared" si="60"/>
        <v>9.0909090909090917</v>
      </c>
      <c r="BW359">
        <f t="shared" si="61"/>
        <v>41.860465116279073</v>
      </c>
    </row>
    <row r="360" spans="1:75" x14ac:dyDescent="0.2">
      <c r="A360" t="s">
        <v>170</v>
      </c>
      <c r="B360" t="s">
        <v>192</v>
      </c>
      <c r="C360" t="s">
        <v>106</v>
      </c>
      <c r="D360" t="s">
        <v>342</v>
      </c>
      <c r="E360" t="s">
        <v>373</v>
      </c>
      <c r="F360" t="s">
        <v>478</v>
      </c>
      <c r="G360">
        <v>2.2000000000000002</v>
      </c>
      <c r="H360">
        <v>17.2</v>
      </c>
      <c r="I360">
        <v>18.149999999999999</v>
      </c>
      <c r="J360">
        <v>3.95</v>
      </c>
      <c r="K360">
        <v>41.5</v>
      </c>
      <c r="L360">
        <v>16.06818182</v>
      </c>
      <c r="M360">
        <v>111</v>
      </c>
      <c r="N360">
        <v>135</v>
      </c>
      <c r="O360">
        <v>24</v>
      </c>
      <c r="P360">
        <v>144</v>
      </c>
      <c r="Q360">
        <v>33</v>
      </c>
      <c r="R360">
        <v>16.5</v>
      </c>
      <c r="S360">
        <v>80.099999999999994</v>
      </c>
      <c r="T360">
        <v>29.729729729999999</v>
      </c>
      <c r="U360">
        <v>6.6666666670000003</v>
      </c>
      <c r="V360">
        <v>11</v>
      </c>
      <c r="W360">
        <v>14</v>
      </c>
      <c r="X360">
        <v>14</v>
      </c>
      <c r="Y360">
        <v>3</v>
      </c>
      <c r="Z360">
        <v>27.272727270000001</v>
      </c>
      <c r="AA360" t="s">
        <v>66</v>
      </c>
      <c r="AB360" t="s">
        <v>66</v>
      </c>
      <c r="AC360">
        <v>3</v>
      </c>
      <c r="AD360" t="s">
        <v>66</v>
      </c>
      <c r="AE360">
        <v>110</v>
      </c>
      <c r="AF360">
        <v>104</v>
      </c>
      <c r="AG360" t="s">
        <v>66</v>
      </c>
      <c r="AH360">
        <v>28</v>
      </c>
      <c r="AI360">
        <v>62</v>
      </c>
      <c r="AJ360" t="s">
        <v>66</v>
      </c>
      <c r="AK360">
        <v>58</v>
      </c>
      <c r="AL360">
        <v>34</v>
      </c>
      <c r="AM360">
        <v>43</v>
      </c>
      <c r="AN360">
        <v>48</v>
      </c>
      <c r="AO360">
        <v>11.627906980000001</v>
      </c>
      <c r="AP360">
        <v>-5.4545454549999999</v>
      </c>
      <c r="AQ360">
        <v>2.558139535</v>
      </c>
      <c r="AR360">
        <v>2.1666666669999999</v>
      </c>
      <c r="AS360">
        <v>-0.39147286799999997</v>
      </c>
      <c r="AT360">
        <v>0</v>
      </c>
      <c r="AU360" t="s">
        <v>66</v>
      </c>
      <c r="AV360">
        <v>1</v>
      </c>
      <c r="AW360">
        <v>1</v>
      </c>
      <c r="AX360">
        <v>0</v>
      </c>
      <c r="AY360">
        <v>1</v>
      </c>
      <c r="AZ360">
        <v>1</v>
      </c>
      <c r="BA360">
        <v>1</v>
      </c>
      <c r="BB360" t="s">
        <v>66</v>
      </c>
      <c r="BC360">
        <v>40.4</v>
      </c>
      <c r="BD360">
        <v>49.1</v>
      </c>
      <c r="BE360">
        <v>21.534653469999999</v>
      </c>
      <c r="BF360">
        <v>0</v>
      </c>
      <c r="BG360">
        <v>49.1</v>
      </c>
      <c r="BH360">
        <v>21.534653469999999</v>
      </c>
      <c r="BI360">
        <v>212</v>
      </c>
      <c r="BJ360">
        <v>15.7</v>
      </c>
      <c r="BK360">
        <v>7.3</v>
      </c>
      <c r="BL360">
        <f>212-93</f>
        <v>119</v>
      </c>
      <c r="BM360">
        <v>54</v>
      </c>
      <c r="BN360">
        <v>33</v>
      </c>
      <c r="BO360">
        <f t="shared" si="57"/>
        <v>43.5</v>
      </c>
      <c r="BP360">
        <v>4</v>
      </c>
      <c r="BQ360">
        <v>1</v>
      </c>
      <c r="BS360">
        <v>0</v>
      </c>
      <c r="BT360">
        <f t="shared" si="58"/>
        <v>47.641509433962263</v>
      </c>
      <c r="BU360">
        <f t="shared" si="59"/>
        <v>29.936305732484076</v>
      </c>
      <c r="BV360">
        <f t="shared" si="60"/>
        <v>7.5630252100840334</v>
      </c>
      <c r="BW360">
        <f t="shared" si="61"/>
        <v>1.1494252873563218</v>
      </c>
    </row>
    <row r="361" spans="1:75" x14ac:dyDescent="0.2">
      <c r="A361" t="s">
        <v>170</v>
      </c>
      <c r="B361" t="s">
        <v>192</v>
      </c>
      <c r="C361" t="s">
        <v>106</v>
      </c>
      <c r="D361" t="s">
        <v>342</v>
      </c>
      <c r="E361" t="s">
        <v>377</v>
      </c>
      <c r="F361" t="s">
        <v>480</v>
      </c>
      <c r="G361">
        <v>2.2000000000000002</v>
      </c>
      <c r="H361">
        <v>17.2</v>
      </c>
      <c r="I361">
        <v>18.149999999999999</v>
      </c>
      <c r="J361">
        <v>3.95</v>
      </c>
      <c r="K361">
        <v>41.5</v>
      </c>
      <c r="L361">
        <v>16.06818182</v>
      </c>
      <c r="M361">
        <v>109</v>
      </c>
      <c r="N361">
        <v>128</v>
      </c>
      <c r="O361">
        <v>19</v>
      </c>
      <c r="P361">
        <v>132</v>
      </c>
      <c r="Q361">
        <v>23</v>
      </c>
      <c r="R361">
        <v>11.5</v>
      </c>
      <c r="S361">
        <v>70.099999999999994</v>
      </c>
      <c r="T361">
        <v>21.100917429999999</v>
      </c>
      <c r="U361">
        <v>3.125</v>
      </c>
      <c r="V361">
        <v>10</v>
      </c>
      <c r="W361">
        <v>13</v>
      </c>
      <c r="X361">
        <v>13</v>
      </c>
      <c r="Y361">
        <v>3</v>
      </c>
      <c r="Z361">
        <v>30</v>
      </c>
      <c r="AA361" t="s">
        <v>66</v>
      </c>
      <c r="AB361" t="s">
        <v>66</v>
      </c>
      <c r="AC361" t="s">
        <v>66</v>
      </c>
      <c r="AD361" t="s">
        <v>66</v>
      </c>
      <c r="AE361">
        <v>104</v>
      </c>
      <c r="AF361">
        <v>91</v>
      </c>
      <c r="AG361" t="s">
        <v>66</v>
      </c>
      <c r="AH361">
        <v>61</v>
      </c>
      <c r="AI361">
        <v>58</v>
      </c>
      <c r="AJ361" t="s">
        <v>66</v>
      </c>
      <c r="AK361">
        <v>38</v>
      </c>
      <c r="AL361">
        <v>35</v>
      </c>
      <c r="AM361">
        <v>49.5</v>
      </c>
      <c r="AN361">
        <v>46.5</v>
      </c>
      <c r="AO361">
        <v>-6.0606060609999997</v>
      </c>
      <c r="AP361">
        <v>-12.5</v>
      </c>
      <c r="AQ361">
        <v>2.101010101</v>
      </c>
      <c r="AR361">
        <v>1.9569892470000001</v>
      </c>
      <c r="AS361">
        <v>-0.144020854</v>
      </c>
      <c r="AT361">
        <v>0</v>
      </c>
      <c r="AU361" t="s">
        <v>66</v>
      </c>
      <c r="AV361">
        <v>2</v>
      </c>
      <c r="AW361">
        <v>1</v>
      </c>
      <c r="AX361">
        <v>0</v>
      </c>
      <c r="AY361">
        <v>1</v>
      </c>
      <c r="AZ361">
        <v>1</v>
      </c>
      <c r="BA361">
        <v>1</v>
      </c>
      <c r="BB361" t="s">
        <v>66</v>
      </c>
      <c r="BC361">
        <v>42</v>
      </c>
      <c r="BD361">
        <v>44.2</v>
      </c>
      <c r="BE361">
        <v>5.2380952379999997</v>
      </c>
      <c r="BF361">
        <v>0</v>
      </c>
      <c r="BG361">
        <v>44.2</v>
      </c>
      <c r="BH361">
        <v>5.2380952379999997</v>
      </c>
      <c r="BI361">
        <v>223</v>
      </c>
      <c r="BJ361">
        <v>16.100000000000001</v>
      </c>
      <c r="BK361">
        <v>5.5</v>
      </c>
      <c r="BL361">
        <f>223-48</f>
        <v>175</v>
      </c>
      <c r="BM361">
        <v>69</v>
      </c>
      <c r="BN361">
        <v>61</v>
      </c>
      <c r="BO361">
        <f t="shared" si="57"/>
        <v>65</v>
      </c>
      <c r="BP361">
        <v>4</v>
      </c>
      <c r="BQ361">
        <v>1</v>
      </c>
      <c r="BS361">
        <v>0</v>
      </c>
      <c r="BT361">
        <f t="shared" si="58"/>
        <v>51.121076233183857</v>
      </c>
      <c r="BU361">
        <f t="shared" si="59"/>
        <v>37.88819875776398</v>
      </c>
      <c r="BV361">
        <f t="shared" si="60"/>
        <v>40.571428571428569</v>
      </c>
      <c r="BW361">
        <f t="shared" si="61"/>
        <v>23.846153846153847</v>
      </c>
    </row>
    <row r="362" spans="1:75" x14ac:dyDescent="0.2">
      <c r="A362" t="s">
        <v>170</v>
      </c>
      <c r="B362" t="s">
        <v>192</v>
      </c>
      <c r="C362" t="s">
        <v>106</v>
      </c>
      <c r="D362" t="s">
        <v>342</v>
      </c>
      <c r="E362" t="s">
        <v>381</v>
      </c>
      <c r="F362" t="s">
        <v>482</v>
      </c>
      <c r="G362">
        <v>2.2000000000000002</v>
      </c>
      <c r="H362">
        <v>17.2</v>
      </c>
      <c r="I362">
        <v>18.149999999999999</v>
      </c>
      <c r="J362">
        <v>3.95</v>
      </c>
      <c r="K362">
        <v>41.5</v>
      </c>
      <c r="L362">
        <v>16.06818182</v>
      </c>
      <c r="M362">
        <v>87</v>
      </c>
      <c r="N362">
        <v>90</v>
      </c>
      <c r="O362">
        <v>3</v>
      </c>
      <c r="P362">
        <v>97</v>
      </c>
      <c r="Q362">
        <v>10</v>
      </c>
      <c r="R362">
        <v>5</v>
      </c>
      <c r="S362">
        <v>57.1</v>
      </c>
      <c r="T362">
        <v>11.49425287</v>
      </c>
      <c r="U362">
        <v>7.7777777779999999</v>
      </c>
      <c r="V362">
        <v>9</v>
      </c>
      <c r="W362">
        <v>16</v>
      </c>
      <c r="X362">
        <v>18</v>
      </c>
      <c r="Y362">
        <v>9</v>
      </c>
      <c r="Z362">
        <v>100</v>
      </c>
      <c r="AA362" t="s">
        <v>66</v>
      </c>
      <c r="AB362" t="s">
        <v>66</v>
      </c>
      <c r="AC362" t="s">
        <v>66</v>
      </c>
      <c r="AD362" t="s">
        <v>66</v>
      </c>
      <c r="AE362">
        <v>58</v>
      </c>
      <c r="AF362">
        <v>57</v>
      </c>
      <c r="AG362" t="s">
        <v>66</v>
      </c>
      <c r="AH362">
        <v>22</v>
      </c>
      <c r="AI362">
        <v>23</v>
      </c>
      <c r="AJ362" t="s">
        <v>66</v>
      </c>
      <c r="AK362">
        <v>15</v>
      </c>
      <c r="AL362">
        <v>14</v>
      </c>
      <c r="AM362">
        <v>18.5</v>
      </c>
      <c r="AN362">
        <v>18.5</v>
      </c>
      <c r="AO362">
        <v>0</v>
      </c>
      <c r="AP362">
        <v>-1.724137931</v>
      </c>
      <c r="AQ362">
        <v>3.1351351350000001</v>
      </c>
      <c r="AR362">
        <v>3.0810810810000002</v>
      </c>
      <c r="AS362">
        <v>-5.4054053999999997E-2</v>
      </c>
      <c r="AT362">
        <v>0</v>
      </c>
      <c r="AU362" t="s">
        <v>66</v>
      </c>
      <c r="AV362">
        <v>1</v>
      </c>
      <c r="AW362">
        <v>1</v>
      </c>
      <c r="AX362">
        <v>0</v>
      </c>
      <c r="AY362">
        <v>1</v>
      </c>
      <c r="AZ362">
        <v>1</v>
      </c>
      <c r="BA362">
        <v>1</v>
      </c>
      <c r="BB362" t="s">
        <v>66</v>
      </c>
      <c r="BC362">
        <v>28.4</v>
      </c>
      <c r="BD362">
        <v>37.200000000000003</v>
      </c>
      <c r="BE362">
        <v>30.98591549</v>
      </c>
      <c r="BF362">
        <v>0</v>
      </c>
      <c r="BG362">
        <v>37.200000000000003</v>
      </c>
      <c r="BH362">
        <v>30.98591549</v>
      </c>
      <c r="BI362">
        <v>150</v>
      </c>
      <c r="BJ362">
        <v>9.5</v>
      </c>
      <c r="BK362">
        <v>2.9</v>
      </c>
      <c r="BL362">
        <f>150-33</f>
        <v>117</v>
      </c>
      <c r="BM362">
        <v>27</v>
      </c>
      <c r="BN362">
        <v>21</v>
      </c>
      <c r="BO362">
        <f t="shared" si="57"/>
        <v>24</v>
      </c>
      <c r="BP362">
        <v>4</v>
      </c>
      <c r="BQ362">
        <v>1</v>
      </c>
      <c r="BS362">
        <v>0</v>
      </c>
      <c r="BT362">
        <f t="shared" si="58"/>
        <v>42</v>
      </c>
      <c r="BU362">
        <f t="shared" si="59"/>
        <v>5.2631578947368416</v>
      </c>
      <c r="BV362">
        <f t="shared" si="60"/>
        <v>50.427350427350426</v>
      </c>
      <c r="BW362">
        <f t="shared" si="61"/>
        <v>22.916666666666664</v>
      </c>
    </row>
    <row r="363" spans="1:75" x14ac:dyDescent="0.2">
      <c r="A363" t="s">
        <v>170</v>
      </c>
      <c r="B363" t="s">
        <v>192</v>
      </c>
      <c r="C363" t="s">
        <v>106</v>
      </c>
      <c r="D363" t="s">
        <v>342</v>
      </c>
      <c r="E363" t="s">
        <v>345</v>
      </c>
      <c r="F363" t="s">
        <v>464</v>
      </c>
      <c r="G363">
        <v>2.2000000000000002</v>
      </c>
      <c r="H363">
        <v>17.2</v>
      </c>
      <c r="I363">
        <v>18.149999999999999</v>
      </c>
      <c r="J363">
        <v>3.95</v>
      </c>
      <c r="K363">
        <v>41.5</v>
      </c>
      <c r="L363">
        <v>16.06818182</v>
      </c>
      <c r="M363">
        <v>143</v>
      </c>
      <c r="N363">
        <v>156</v>
      </c>
      <c r="O363">
        <v>13</v>
      </c>
      <c r="P363">
        <v>144</v>
      </c>
      <c r="Q363">
        <v>1</v>
      </c>
      <c r="R363">
        <v>0.5</v>
      </c>
      <c r="S363">
        <v>48.1</v>
      </c>
      <c r="T363">
        <v>0.69930069900000003</v>
      </c>
      <c r="U363">
        <v>-7.692307692</v>
      </c>
      <c r="V363">
        <v>18</v>
      </c>
      <c r="W363">
        <v>22</v>
      </c>
      <c r="X363">
        <v>24</v>
      </c>
      <c r="Y363">
        <v>6</v>
      </c>
      <c r="Z363">
        <v>33.333333330000002</v>
      </c>
      <c r="AA363" t="s">
        <v>66</v>
      </c>
      <c r="AB363">
        <v>3</v>
      </c>
      <c r="AC363">
        <v>2</v>
      </c>
      <c r="AD363" t="s">
        <v>66</v>
      </c>
      <c r="AE363">
        <v>114</v>
      </c>
      <c r="AF363">
        <v>97</v>
      </c>
      <c r="AG363" t="s">
        <v>66</v>
      </c>
      <c r="AH363">
        <v>55</v>
      </c>
      <c r="AI363">
        <v>81</v>
      </c>
      <c r="AJ363" t="s">
        <v>66</v>
      </c>
      <c r="AK363">
        <v>34</v>
      </c>
      <c r="AL363">
        <v>45</v>
      </c>
      <c r="AM363">
        <v>44.5</v>
      </c>
      <c r="AN363">
        <v>63</v>
      </c>
      <c r="AO363">
        <v>41.573033709999997</v>
      </c>
      <c r="AP363">
        <v>-14.9122807</v>
      </c>
      <c r="AQ363">
        <v>2.561797753</v>
      </c>
      <c r="AR363">
        <v>1.53968254</v>
      </c>
      <c r="AS363">
        <v>-1.022115213</v>
      </c>
      <c r="AT363">
        <v>0</v>
      </c>
      <c r="AU363" t="s">
        <v>66</v>
      </c>
      <c r="AV363">
        <v>2</v>
      </c>
      <c r="AW363">
        <v>2</v>
      </c>
      <c r="AX363">
        <v>1</v>
      </c>
      <c r="AY363">
        <v>1</v>
      </c>
      <c r="AZ363">
        <v>1</v>
      </c>
      <c r="BA363">
        <v>1</v>
      </c>
      <c r="BB363" t="s">
        <v>66</v>
      </c>
      <c r="BC363">
        <v>38.5</v>
      </c>
      <c r="BD363">
        <v>46.1</v>
      </c>
      <c r="BE363">
        <v>19.740259739999999</v>
      </c>
      <c r="BF363">
        <v>0</v>
      </c>
      <c r="BG363">
        <v>46.1</v>
      </c>
      <c r="BH363">
        <v>19.740259739999999</v>
      </c>
      <c r="BI363">
        <v>223</v>
      </c>
      <c r="BJ363">
        <v>24</v>
      </c>
      <c r="BK363">
        <v>6.6</v>
      </c>
      <c r="BL363">
        <f>223-50</f>
        <v>173</v>
      </c>
      <c r="BM363">
        <v>68</v>
      </c>
      <c r="BN363">
        <v>54</v>
      </c>
      <c r="BO363">
        <f t="shared" si="57"/>
        <v>61</v>
      </c>
      <c r="BP363">
        <v>4</v>
      </c>
      <c r="BQ363">
        <v>1</v>
      </c>
      <c r="BS363">
        <v>0</v>
      </c>
      <c r="BT363">
        <f t="shared" si="58"/>
        <v>35.874439461883405</v>
      </c>
      <c r="BU363">
        <f t="shared" si="59"/>
        <v>25</v>
      </c>
      <c r="BV363">
        <f t="shared" si="60"/>
        <v>34.104046242774565</v>
      </c>
      <c r="BW363">
        <f t="shared" si="61"/>
        <v>27.049180327868854</v>
      </c>
    </row>
    <row r="364" spans="1:75" x14ac:dyDescent="0.2">
      <c r="A364" t="s">
        <v>170</v>
      </c>
      <c r="B364" t="s">
        <v>192</v>
      </c>
      <c r="C364" t="s">
        <v>106</v>
      </c>
      <c r="D364" t="s">
        <v>342</v>
      </c>
      <c r="E364" t="s">
        <v>347</v>
      </c>
      <c r="F364" t="s">
        <v>465</v>
      </c>
      <c r="G364">
        <v>2.2000000000000002</v>
      </c>
      <c r="H364">
        <v>17.2</v>
      </c>
      <c r="I364">
        <v>18.149999999999999</v>
      </c>
      <c r="J364">
        <v>3.95</v>
      </c>
      <c r="K364">
        <v>41.5</v>
      </c>
      <c r="L364">
        <v>16.06818182</v>
      </c>
      <c r="M364">
        <v>79</v>
      </c>
      <c r="N364">
        <v>116</v>
      </c>
      <c r="O364">
        <v>37</v>
      </c>
      <c r="P364">
        <v>155</v>
      </c>
      <c r="Q364">
        <v>76</v>
      </c>
      <c r="R364">
        <v>38</v>
      </c>
      <c r="S364">
        <v>123.1</v>
      </c>
      <c r="T364">
        <v>96.202531649999997</v>
      </c>
      <c r="U364">
        <v>33.620689659999996</v>
      </c>
      <c r="V364">
        <v>11</v>
      </c>
      <c r="W364">
        <v>12</v>
      </c>
      <c r="X364">
        <v>13</v>
      </c>
      <c r="Y364">
        <v>2</v>
      </c>
      <c r="Z364">
        <v>18.18181818</v>
      </c>
      <c r="AA364" t="s">
        <v>66</v>
      </c>
      <c r="AB364" t="s">
        <v>66</v>
      </c>
      <c r="AC364">
        <v>3</v>
      </c>
      <c r="AD364" t="s">
        <v>66</v>
      </c>
      <c r="AE364">
        <v>76</v>
      </c>
      <c r="AF364">
        <v>110</v>
      </c>
      <c r="AG364" t="s">
        <v>66</v>
      </c>
      <c r="AH364">
        <v>32</v>
      </c>
      <c r="AI364">
        <v>26</v>
      </c>
      <c r="AJ364" t="s">
        <v>66</v>
      </c>
      <c r="AK364">
        <v>14</v>
      </c>
      <c r="AL364">
        <v>18</v>
      </c>
      <c r="AM364">
        <v>23</v>
      </c>
      <c r="AN364">
        <v>22</v>
      </c>
      <c r="AO364">
        <v>-4.3478260869999996</v>
      </c>
      <c r="AP364">
        <v>44.736842109999998</v>
      </c>
      <c r="AQ364">
        <v>3.3043478259999999</v>
      </c>
      <c r="AR364">
        <v>5</v>
      </c>
      <c r="AS364">
        <v>1.6956521739999999</v>
      </c>
      <c r="AT364">
        <v>0</v>
      </c>
      <c r="AU364" t="s">
        <v>66</v>
      </c>
      <c r="AV364">
        <v>4</v>
      </c>
      <c r="AW364">
        <v>2</v>
      </c>
      <c r="AX364">
        <v>1</v>
      </c>
      <c r="AY364">
        <v>1</v>
      </c>
      <c r="AZ364">
        <v>1</v>
      </c>
      <c r="BA364">
        <v>1</v>
      </c>
      <c r="BB364" t="s">
        <v>66</v>
      </c>
      <c r="BC364">
        <v>39.4</v>
      </c>
      <c r="BD364">
        <v>53.7</v>
      </c>
      <c r="BE364">
        <v>36.294416239999997</v>
      </c>
      <c r="BF364">
        <v>0</v>
      </c>
      <c r="BG364">
        <v>53.7</v>
      </c>
      <c r="BH364">
        <v>36.294416239999997</v>
      </c>
      <c r="BI364">
        <v>223</v>
      </c>
      <c r="BJ364">
        <v>18.899999999999999</v>
      </c>
      <c r="BK364">
        <v>7</v>
      </c>
      <c r="BL364">
        <f>223-57</f>
        <v>166</v>
      </c>
      <c r="BM364">
        <v>55</v>
      </c>
      <c r="BN364">
        <v>43</v>
      </c>
      <c r="BO364">
        <f t="shared" si="57"/>
        <v>49</v>
      </c>
      <c r="BP364">
        <v>4</v>
      </c>
      <c r="BQ364">
        <v>1</v>
      </c>
      <c r="BS364">
        <v>0</v>
      </c>
      <c r="BT364">
        <f t="shared" si="58"/>
        <v>64.573991031390136</v>
      </c>
      <c r="BU364">
        <f t="shared" si="59"/>
        <v>41.798941798941797</v>
      </c>
      <c r="BV364">
        <f t="shared" si="60"/>
        <v>54.216867469879517</v>
      </c>
      <c r="BW364">
        <f t="shared" si="61"/>
        <v>53.061224489795919</v>
      </c>
    </row>
    <row r="365" spans="1:75" x14ac:dyDescent="0.2">
      <c r="A365" t="s">
        <v>170</v>
      </c>
      <c r="B365" t="s">
        <v>192</v>
      </c>
      <c r="C365" t="s">
        <v>106</v>
      </c>
      <c r="D365" t="s">
        <v>342</v>
      </c>
      <c r="E365" t="s">
        <v>349</v>
      </c>
      <c r="F365" t="s">
        <v>466</v>
      </c>
      <c r="G365">
        <v>2.2000000000000002</v>
      </c>
      <c r="H365">
        <v>17.2</v>
      </c>
      <c r="I365">
        <v>18.149999999999999</v>
      </c>
      <c r="J365">
        <v>3.95</v>
      </c>
      <c r="K365">
        <v>41.5</v>
      </c>
      <c r="L365">
        <v>16.06818182</v>
      </c>
      <c r="M365">
        <v>99</v>
      </c>
      <c r="N365">
        <v>160</v>
      </c>
      <c r="O365">
        <v>61</v>
      </c>
      <c r="P365">
        <v>189</v>
      </c>
      <c r="Q365">
        <v>90</v>
      </c>
      <c r="R365">
        <v>45</v>
      </c>
      <c r="S365">
        <v>137.1</v>
      </c>
      <c r="T365">
        <v>90.909090910000003</v>
      </c>
      <c r="U365">
        <v>18.125</v>
      </c>
      <c r="V365">
        <v>18</v>
      </c>
      <c r="W365">
        <v>16</v>
      </c>
      <c r="X365">
        <v>19</v>
      </c>
      <c r="Y365">
        <v>1</v>
      </c>
      <c r="Z365">
        <v>5.5555555559999998</v>
      </c>
      <c r="AA365" t="s">
        <v>66</v>
      </c>
      <c r="AB365">
        <v>4</v>
      </c>
      <c r="AC365">
        <v>7</v>
      </c>
      <c r="AD365" t="s">
        <v>66</v>
      </c>
      <c r="AE365">
        <v>133</v>
      </c>
      <c r="AF365">
        <v>149</v>
      </c>
      <c r="AG365" t="s">
        <v>66</v>
      </c>
      <c r="AH365">
        <v>64</v>
      </c>
      <c r="AI365">
        <v>75</v>
      </c>
      <c r="AJ365" t="s">
        <v>66</v>
      </c>
      <c r="AK365">
        <v>51</v>
      </c>
      <c r="AL365">
        <v>46</v>
      </c>
      <c r="AM365">
        <v>57.5</v>
      </c>
      <c r="AN365">
        <v>60.5</v>
      </c>
      <c r="AO365">
        <v>5.2173913040000004</v>
      </c>
      <c r="AP365">
        <v>12.03007519</v>
      </c>
      <c r="AQ365">
        <v>2.313043478</v>
      </c>
      <c r="AR365">
        <v>2.462809917</v>
      </c>
      <c r="AS365">
        <v>0.149766439</v>
      </c>
      <c r="AT365">
        <v>0</v>
      </c>
      <c r="AU365" t="s">
        <v>66</v>
      </c>
      <c r="AV365">
        <v>3</v>
      </c>
      <c r="AW365">
        <v>3</v>
      </c>
      <c r="AX365">
        <v>1</v>
      </c>
      <c r="AY365">
        <v>1</v>
      </c>
      <c r="AZ365">
        <v>1</v>
      </c>
      <c r="BA365">
        <v>1</v>
      </c>
      <c r="BB365" t="s">
        <v>66</v>
      </c>
      <c r="BC365">
        <v>47.4</v>
      </c>
      <c r="BD365">
        <v>58.1</v>
      </c>
      <c r="BE365">
        <v>22.573839660000001</v>
      </c>
      <c r="BF365">
        <v>0</v>
      </c>
      <c r="BG365">
        <v>58.1</v>
      </c>
      <c r="BH365">
        <v>22.573839660000001</v>
      </c>
      <c r="BI365">
        <v>304</v>
      </c>
      <c r="BJ365">
        <v>27.4</v>
      </c>
      <c r="BK365">
        <v>13.5</v>
      </c>
      <c r="BL365">
        <f>304-69</f>
        <v>235</v>
      </c>
      <c r="BM365">
        <v>57</v>
      </c>
      <c r="BN365">
        <v>52</v>
      </c>
      <c r="BO365">
        <f t="shared" si="57"/>
        <v>54.5</v>
      </c>
      <c r="BP365">
        <v>4</v>
      </c>
      <c r="BQ365">
        <v>1</v>
      </c>
      <c r="BS365">
        <v>0</v>
      </c>
      <c r="BT365">
        <f t="shared" si="58"/>
        <v>67.43421052631578</v>
      </c>
      <c r="BU365">
        <f t="shared" si="59"/>
        <v>34.306569343065689</v>
      </c>
      <c r="BV365">
        <f t="shared" si="60"/>
        <v>43.404255319148938</v>
      </c>
      <c r="BW365">
        <f t="shared" si="61"/>
        <v>-5.5045871559633035</v>
      </c>
    </row>
    <row r="366" spans="1:75" x14ac:dyDescent="0.2">
      <c r="A366" t="s">
        <v>170</v>
      </c>
      <c r="B366" t="s">
        <v>192</v>
      </c>
      <c r="C366" t="s">
        <v>106</v>
      </c>
      <c r="D366" t="s">
        <v>342</v>
      </c>
      <c r="E366" t="s">
        <v>351</v>
      </c>
      <c r="F366" t="s">
        <v>467</v>
      </c>
      <c r="G366">
        <v>2.2000000000000002</v>
      </c>
      <c r="H366">
        <v>17.2</v>
      </c>
      <c r="I366">
        <v>18.149999999999999</v>
      </c>
      <c r="J366">
        <v>3.95</v>
      </c>
      <c r="K366">
        <v>41.5</v>
      </c>
      <c r="L366">
        <v>16.06818182</v>
      </c>
      <c r="M366">
        <v>72</v>
      </c>
      <c r="N366">
        <v>117</v>
      </c>
      <c r="O366">
        <v>45</v>
      </c>
      <c r="P366">
        <v>146</v>
      </c>
      <c r="Q366">
        <v>74</v>
      </c>
      <c r="R366">
        <v>37</v>
      </c>
      <c r="S366">
        <v>121.1</v>
      </c>
      <c r="T366">
        <v>102.7777778</v>
      </c>
      <c r="U366">
        <v>24.786324789999998</v>
      </c>
      <c r="V366">
        <v>9</v>
      </c>
      <c r="W366">
        <v>12</v>
      </c>
      <c r="X366">
        <v>11</v>
      </c>
      <c r="Y366">
        <v>2</v>
      </c>
      <c r="Z366">
        <v>22.222222219999999</v>
      </c>
      <c r="AA366" t="s">
        <v>66</v>
      </c>
      <c r="AB366" t="s">
        <v>66</v>
      </c>
      <c r="AC366">
        <v>2</v>
      </c>
      <c r="AD366" t="s">
        <v>66</v>
      </c>
      <c r="AE366">
        <v>87</v>
      </c>
      <c r="AF366">
        <v>90</v>
      </c>
      <c r="AG366" t="s">
        <v>66</v>
      </c>
      <c r="AH366">
        <v>58</v>
      </c>
      <c r="AI366">
        <v>39</v>
      </c>
      <c r="AJ366" t="s">
        <v>66</v>
      </c>
      <c r="AK366">
        <v>24</v>
      </c>
      <c r="AL366">
        <v>23</v>
      </c>
      <c r="AM366">
        <v>41</v>
      </c>
      <c r="AN366">
        <v>31</v>
      </c>
      <c r="AO366">
        <v>-24.390243900000002</v>
      </c>
      <c r="AP366">
        <v>3.448275862</v>
      </c>
      <c r="AQ366">
        <v>2.1219512200000001</v>
      </c>
      <c r="AR366">
        <v>2.903225806</v>
      </c>
      <c r="AS366">
        <v>0.78127458599999999</v>
      </c>
      <c r="AT366">
        <v>0</v>
      </c>
      <c r="AU366" t="s">
        <v>66</v>
      </c>
      <c r="AV366">
        <v>2</v>
      </c>
      <c r="AW366">
        <v>4</v>
      </c>
      <c r="AX366">
        <v>1</v>
      </c>
      <c r="AY366">
        <v>1</v>
      </c>
      <c r="AZ366">
        <v>1</v>
      </c>
      <c r="BA366">
        <v>1</v>
      </c>
      <c r="BB366" t="s">
        <v>66</v>
      </c>
      <c r="BC366">
        <v>52.4</v>
      </c>
      <c r="BD366">
        <v>52.5</v>
      </c>
      <c r="BE366">
        <v>0.190839695</v>
      </c>
      <c r="BF366">
        <v>0</v>
      </c>
      <c r="BG366">
        <v>52.5</v>
      </c>
      <c r="BH366">
        <v>0.190839695</v>
      </c>
      <c r="BI366">
        <v>166</v>
      </c>
      <c r="BJ366">
        <v>13.1</v>
      </c>
      <c r="BK366">
        <v>3.9</v>
      </c>
      <c r="BL366">
        <f>166-14</f>
        <v>152</v>
      </c>
      <c r="BM366">
        <v>30</v>
      </c>
      <c r="BN366">
        <v>25</v>
      </c>
      <c r="BO366">
        <f t="shared" si="57"/>
        <v>27.5</v>
      </c>
      <c r="BP366">
        <v>4</v>
      </c>
      <c r="BQ366">
        <v>1</v>
      </c>
      <c r="BS366">
        <v>0</v>
      </c>
      <c r="BT366">
        <f t="shared" si="58"/>
        <v>56.626506024096393</v>
      </c>
      <c r="BU366">
        <f t="shared" si="59"/>
        <v>31.297709923664119</v>
      </c>
      <c r="BV366">
        <f t="shared" si="60"/>
        <v>42.763157894736842</v>
      </c>
      <c r="BW366">
        <f t="shared" si="61"/>
        <v>-49.090909090909093</v>
      </c>
    </row>
    <row r="367" spans="1:75" x14ac:dyDescent="0.2">
      <c r="A367" t="s">
        <v>170</v>
      </c>
      <c r="B367" t="s">
        <v>192</v>
      </c>
      <c r="C367" t="s">
        <v>106</v>
      </c>
      <c r="D367" t="s">
        <v>342</v>
      </c>
      <c r="E367" t="s">
        <v>353</v>
      </c>
      <c r="F367" t="s">
        <v>468</v>
      </c>
      <c r="G367">
        <v>2.2000000000000002</v>
      </c>
      <c r="H367">
        <v>17.2</v>
      </c>
      <c r="I367">
        <v>18.149999999999999</v>
      </c>
      <c r="J367">
        <v>3.95</v>
      </c>
      <c r="K367">
        <v>41.5</v>
      </c>
      <c r="L367">
        <v>16.06818182</v>
      </c>
      <c r="M367">
        <v>69</v>
      </c>
      <c r="N367">
        <v>121</v>
      </c>
      <c r="O367">
        <v>52</v>
      </c>
      <c r="P367">
        <v>148</v>
      </c>
      <c r="Q367">
        <v>79</v>
      </c>
      <c r="R367">
        <v>39.5</v>
      </c>
      <c r="S367">
        <v>126.1</v>
      </c>
      <c r="T367">
        <v>114.4927536</v>
      </c>
      <c r="U367">
        <v>22.31404959</v>
      </c>
      <c r="V367">
        <v>12</v>
      </c>
      <c r="W367">
        <v>15</v>
      </c>
      <c r="X367">
        <v>16</v>
      </c>
      <c r="Y367">
        <v>4</v>
      </c>
      <c r="Z367">
        <v>33.333333330000002</v>
      </c>
      <c r="AA367" t="s">
        <v>66</v>
      </c>
      <c r="AB367" t="s">
        <v>66</v>
      </c>
      <c r="AC367">
        <v>2</v>
      </c>
      <c r="AD367" t="s">
        <v>66</v>
      </c>
      <c r="AE367">
        <v>90</v>
      </c>
      <c r="AF367">
        <v>96</v>
      </c>
      <c r="AG367" t="s">
        <v>66</v>
      </c>
      <c r="AH367">
        <v>50</v>
      </c>
      <c r="AI367">
        <v>57</v>
      </c>
      <c r="AJ367" t="s">
        <v>66</v>
      </c>
      <c r="AK367">
        <v>48</v>
      </c>
      <c r="AL367">
        <v>24</v>
      </c>
      <c r="AM367">
        <v>49</v>
      </c>
      <c r="AN367">
        <v>40.5</v>
      </c>
      <c r="AO367">
        <v>-17.346938779999999</v>
      </c>
      <c r="AP367">
        <v>6.6666666670000003</v>
      </c>
      <c r="AQ367">
        <v>1.836734694</v>
      </c>
      <c r="AR367">
        <v>2.3703703699999998</v>
      </c>
      <c r="AS367">
        <v>0.53363567599999995</v>
      </c>
      <c r="AT367">
        <v>0</v>
      </c>
      <c r="AU367" t="s">
        <v>66</v>
      </c>
      <c r="AV367">
        <v>2</v>
      </c>
      <c r="AW367">
        <v>3</v>
      </c>
      <c r="AX367">
        <v>1</v>
      </c>
      <c r="AY367">
        <v>1</v>
      </c>
      <c r="AZ367">
        <v>1</v>
      </c>
      <c r="BA367">
        <v>1</v>
      </c>
      <c r="BB367" t="s">
        <v>66</v>
      </c>
      <c r="BC367">
        <v>55.8</v>
      </c>
      <c r="BD367">
        <v>61</v>
      </c>
      <c r="BE367">
        <v>9.3189964159999992</v>
      </c>
      <c r="BF367">
        <v>0</v>
      </c>
      <c r="BG367">
        <v>61</v>
      </c>
      <c r="BH367">
        <v>9.3189964159999992</v>
      </c>
      <c r="BI367">
        <v>227</v>
      </c>
      <c r="BJ367">
        <v>15</v>
      </c>
      <c r="BK367">
        <v>6.8</v>
      </c>
      <c r="BL367">
        <f>227-77</f>
        <v>150</v>
      </c>
      <c r="BM367">
        <v>56</v>
      </c>
      <c r="BN367">
        <v>27</v>
      </c>
      <c r="BO367">
        <f t="shared" si="57"/>
        <v>41.5</v>
      </c>
      <c r="BP367">
        <v>4</v>
      </c>
      <c r="BQ367">
        <v>1</v>
      </c>
      <c r="BS367">
        <v>0</v>
      </c>
      <c r="BT367">
        <f t="shared" si="58"/>
        <v>69.603524229074893</v>
      </c>
      <c r="BU367">
        <f t="shared" si="59"/>
        <v>20</v>
      </c>
      <c r="BV367">
        <f t="shared" si="60"/>
        <v>40</v>
      </c>
      <c r="BW367">
        <f t="shared" si="61"/>
        <v>-18.072289156626507</v>
      </c>
    </row>
    <row r="368" spans="1:75" x14ac:dyDescent="0.2">
      <c r="A368" t="s">
        <v>170</v>
      </c>
      <c r="B368" t="s">
        <v>192</v>
      </c>
      <c r="C368" t="s">
        <v>106</v>
      </c>
      <c r="D368" t="s">
        <v>342</v>
      </c>
      <c r="E368" t="s">
        <v>357</v>
      </c>
      <c r="F368" t="s">
        <v>470</v>
      </c>
      <c r="G368">
        <v>2.2000000000000002</v>
      </c>
      <c r="H368">
        <v>17.2</v>
      </c>
      <c r="I368">
        <v>18.149999999999999</v>
      </c>
      <c r="J368">
        <v>3.95</v>
      </c>
      <c r="K368">
        <v>41.5</v>
      </c>
      <c r="L368">
        <v>16.06818182</v>
      </c>
      <c r="M368">
        <v>141</v>
      </c>
      <c r="N368">
        <v>195</v>
      </c>
      <c r="O368">
        <v>54</v>
      </c>
      <c r="P368">
        <v>196</v>
      </c>
      <c r="Q368">
        <v>55</v>
      </c>
      <c r="R368">
        <v>27.5</v>
      </c>
      <c r="S368">
        <v>102.1</v>
      </c>
      <c r="T368">
        <v>39.007092200000002</v>
      </c>
      <c r="U368">
        <v>0.51282051299999998</v>
      </c>
      <c r="V368">
        <v>13</v>
      </c>
      <c r="W368">
        <v>22</v>
      </c>
      <c r="X368">
        <v>20</v>
      </c>
      <c r="Y368">
        <v>7</v>
      </c>
      <c r="Z368">
        <v>53.84615385</v>
      </c>
      <c r="AA368" t="s">
        <v>66</v>
      </c>
      <c r="AB368">
        <v>5</v>
      </c>
      <c r="AC368">
        <v>8</v>
      </c>
      <c r="AD368" t="s">
        <v>66</v>
      </c>
      <c r="AE368">
        <v>151</v>
      </c>
      <c r="AF368">
        <v>141</v>
      </c>
      <c r="AG368" t="s">
        <v>66</v>
      </c>
      <c r="AH368">
        <v>70</v>
      </c>
      <c r="AI368">
        <v>69</v>
      </c>
      <c r="AJ368" t="s">
        <v>66</v>
      </c>
      <c r="AK368">
        <v>59</v>
      </c>
      <c r="AL368">
        <v>27</v>
      </c>
      <c r="AM368">
        <v>64.5</v>
      </c>
      <c r="AN368">
        <v>48</v>
      </c>
      <c r="AO368">
        <v>-25.581395350000001</v>
      </c>
      <c r="AP368">
        <v>-6.6225165559999999</v>
      </c>
      <c r="AQ368">
        <v>2.3410852709999999</v>
      </c>
      <c r="AR368">
        <v>2.9375</v>
      </c>
      <c r="AS368">
        <v>0.59641472900000003</v>
      </c>
      <c r="AT368">
        <v>0</v>
      </c>
      <c r="AU368" t="s">
        <v>66</v>
      </c>
      <c r="AV368">
        <v>3</v>
      </c>
      <c r="AW368">
        <v>1</v>
      </c>
      <c r="AX368">
        <v>1</v>
      </c>
      <c r="AY368">
        <v>1</v>
      </c>
      <c r="AZ368">
        <v>1</v>
      </c>
      <c r="BA368">
        <v>1</v>
      </c>
      <c r="BB368" t="s">
        <v>66</v>
      </c>
      <c r="BC368">
        <v>41.8</v>
      </c>
      <c r="BD368">
        <v>43.6</v>
      </c>
      <c r="BE368">
        <v>4.3062200959999997</v>
      </c>
      <c r="BF368">
        <v>0</v>
      </c>
      <c r="BG368">
        <v>43.6</v>
      </c>
      <c r="BH368">
        <v>4.3062200959999997</v>
      </c>
      <c r="BI368">
        <v>296</v>
      </c>
      <c r="BJ368">
        <v>24.6</v>
      </c>
      <c r="BK368">
        <v>11.9</v>
      </c>
      <c r="BL368">
        <f>296-79</f>
        <v>217</v>
      </c>
      <c r="BM368">
        <v>75</v>
      </c>
      <c r="BN368">
        <v>63</v>
      </c>
      <c r="BO368">
        <f t="shared" si="57"/>
        <v>69</v>
      </c>
      <c r="BP368">
        <v>4</v>
      </c>
      <c r="BQ368">
        <v>1</v>
      </c>
      <c r="BS368">
        <v>0</v>
      </c>
      <c r="BT368">
        <f t="shared" si="58"/>
        <v>52.36486486486487</v>
      </c>
      <c r="BU368">
        <f t="shared" si="59"/>
        <v>47.154471544715449</v>
      </c>
      <c r="BV368">
        <f t="shared" si="60"/>
        <v>30.414746543778804</v>
      </c>
      <c r="BW368">
        <f t="shared" si="61"/>
        <v>6.5217391304347823</v>
      </c>
    </row>
    <row r="369" spans="1:75" x14ac:dyDescent="0.2">
      <c r="A369" t="s">
        <v>170</v>
      </c>
      <c r="B369" t="s">
        <v>192</v>
      </c>
      <c r="C369" t="s">
        <v>106</v>
      </c>
      <c r="D369" t="s">
        <v>342</v>
      </c>
      <c r="E369" t="s">
        <v>359</v>
      </c>
      <c r="F369" t="s">
        <v>471</v>
      </c>
      <c r="G369">
        <v>2.2000000000000002</v>
      </c>
      <c r="H369">
        <v>17.2</v>
      </c>
      <c r="I369">
        <v>18.149999999999999</v>
      </c>
      <c r="J369">
        <v>3.95</v>
      </c>
      <c r="K369">
        <v>41.5</v>
      </c>
      <c r="L369">
        <v>16.06818182</v>
      </c>
      <c r="M369">
        <v>77</v>
      </c>
      <c r="N369">
        <v>106</v>
      </c>
      <c r="O369">
        <v>29</v>
      </c>
      <c r="P369">
        <v>118</v>
      </c>
      <c r="Q369">
        <v>41</v>
      </c>
      <c r="R369">
        <v>20.5</v>
      </c>
      <c r="S369">
        <v>88.1</v>
      </c>
      <c r="T369">
        <v>53.246753249999998</v>
      </c>
      <c r="U369">
        <v>11.32075472</v>
      </c>
      <c r="V369">
        <v>12</v>
      </c>
      <c r="W369">
        <v>15</v>
      </c>
      <c r="X369">
        <v>17</v>
      </c>
      <c r="Y369">
        <v>5</v>
      </c>
      <c r="Z369">
        <v>41.666666669999998</v>
      </c>
      <c r="AA369" t="s">
        <v>66</v>
      </c>
      <c r="AB369" t="s">
        <v>66</v>
      </c>
      <c r="AC369" t="s">
        <v>66</v>
      </c>
      <c r="AD369" t="s">
        <v>66</v>
      </c>
      <c r="AE369">
        <v>63</v>
      </c>
      <c r="AF369">
        <v>74</v>
      </c>
      <c r="AG369" t="s">
        <v>66</v>
      </c>
      <c r="AH369">
        <v>56</v>
      </c>
      <c r="AI369">
        <v>53</v>
      </c>
      <c r="AJ369" t="s">
        <v>66</v>
      </c>
      <c r="AK369">
        <v>40</v>
      </c>
      <c r="AL369">
        <v>35</v>
      </c>
      <c r="AM369">
        <v>48</v>
      </c>
      <c r="AN369">
        <v>44</v>
      </c>
      <c r="AO369">
        <v>-8.3333333330000006</v>
      </c>
      <c r="AP369">
        <v>17.460317459999999</v>
      </c>
      <c r="AQ369">
        <v>1.3125</v>
      </c>
      <c r="AR369">
        <v>1.681818182</v>
      </c>
      <c r="AS369">
        <v>0.36931818199999999</v>
      </c>
      <c r="AT369">
        <v>0</v>
      </c>
      <c r="AU369" t="s">
        <v>66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 t="s">
        <v>66</v>
      </c>
      <c r="BC369">
        <v>36.200000000000003</v>
      </c>
      <c r="BD369">
        <v>43.2</v>
      </c>
      <c r="BE369">
        <v>19.337016569999999</v>
      </c>
      <c r="BF369">
        <v>0</v>
      </c>
      <c r="BG369">
        <v>43.2</v>
      </c>
      <c r="BH369">
        <v>19.337016569999999</v>
      </c>
      <c r="BI369">
        <v>187</v>
      </c>
      <c r="BJ369">
        <v>14.9</v>
      </c>
      <c r="BK369">
        <v>5.2</v>
      </c>
      <c r="BL369">
        <f>187-78</f>
        <v>109</v>
      </c>
      <c r="BM369">
        <v>41</v>
      </c>
      <c r="BN369">
        <v>31</v>
      </c>
      <c r="BO369">
        <f t="shared" si="57"/>
        <v>36</v>
      </c>
      <c r="BP369">
        <v>4</v>
      </c>
      <c r="BQ369">
        <v>1</v>
      </c>
      <c r="BS369">
        <v>0</v>
      </c>
      <c r="BT369">
        <f t="shared" si="58"/>
        <v>58.82352941176471</v>
      </c>
      <c r="BU369">
        <f t="shared" si="59"/>
        <v>19.46308724832215</v>
      </c>
      <c r="BV369">
        <f t="shared" si="60"/>
        <v>42.201834862385326</v>
      </c>
      <c r="BW369">
        <f t="shared" si="61"/>
        <v>-33.333333333333329</v>
      </c>
    </row>
    <row r="370" spans="1:75" x14ac:dyDescent="0.2">
      <c r="A370" t="s">
        <v>170</v>
      </c>
      <c r="B370" t="s">
        <v>192</v>
      </c>
      <c r="C370" t="s">
        <v>106</v>
      </c>
      <c r="D370" t="s">
        <v>342</v>
      </c>
      <c r="E370" t="s">
        <v>363</v>
      </c>
      <c r="F370" t="s">
        <v>473</v>
      </c>
      <c r="G370">
        <v>2.2000000000000002</v>
      </c>
      <c r="H370">
        <v>17.2</v>
      </c>
      <c r="I370">
        <v>18.149999999999999</v>
      </c>
      <c r="J370">
        <v>3.95</v>
      </c>
      <c r="K370">
        <v>41.5</v>
      </c>
      <c r="L370">
        <v>16.06818182</v>
      </c>
      <c r="M370">
        <v>142</v>
      </c>
      <c r="N370">
        <v>185</v>
      </c>
      <c r="O370">
        <v>43</v>
      </c>
      <c r="P370">
        <v>158</v>
      </c>
      <c r="Q370">
        <v>16</v>
      </c>
      <c r="R370">
        <v>8</v>
      </c>
      <c r="S370">
        <v>63.1</v>
      </c>
      <c r="T370">
        <v>11.26760563</v>
      </c>
      <c r="U370">
        <v>-14.59459459</v>
      </c>
      <c r="V370">
        <v>20</v>
      </c>
      <c r="W370">
        <v>24</v>
      </c>
      <c r="X370">
        <v>23</v>
      </c>
      <c r="Y370">
        <v>3</v>
      </c>
      <c r="Z370">
        <v>15</v>
      </c>
      <c r="AA370" t="s">
        <v>66</v>
      </c>
      <c r="AB370">
        <v>4</v>
      </c>
      <c r="AC370">
        <v>4</v>
      </c>
      <c r="AD370" t="s">
        <v>66</v>
      </c>
      <c r="AE370">
        <v>144</v>
      </c>
      <c r="AF370">
        <v>96</v>
      </c>
      <c r="AG370" t="s">
        <v>66</v>
      </c>
      <c r="AH370">
        <v>62</v>
      </c>
      <c r="AI370">
        <v>88</v>
      </c>
      <c r="AJ370" t="s">
        <v>66</v>
      </c>
      <c r="AK370">
        <v>55</v>
      </c>
      <c r="AL370">
        <v>39</v>
      </c>
      <c r="AM370">
        <v>58.5</v>
      </c>
      <c r="AN370">
        <v>63.5</v>
      </c>
      <c r="AO370">
        <v>8.5470085470000008</v>
      </c>
      <c r="AP370">
        <v>-33.333333330000002</v>
      </c>
      <c r="AQ370">
        <v>2.461538462</v>
      </c>
      <c r="AR370">
        <v>1.511811024</v>
      </c>
      <c r="AS370">
        <v>-0.94972743800000003</v>
      </c>
      <c r="AT370">
        <v>0</v>
      </c>
      <c r="AU370" t="s">
        <v>66</v>
      </c>
      <c r="AV370">
        <v>3</v>
      </c>
      <c r="AW370">
        <v>4</v>
      </c>
      <c r="AX370">
        <v>1</v>
      </c>
      <c r="AY370">
        <v>1</v>
      </c>
      <c r="AZ370">
        <v>1</v>
      </c>
      <c r="BA370">
        <v>1</v>
      </c>
      <c r="BB370" t="s">
        <v>66</v>
      </c>
      <c r="BC370">
        <v>44.4</v>
      </c>
      <c r="BD370">
        <v>50.3</v>
      </c>
      <c r="BE370">
        <v>13.288288290000001</v>
      </c>
      <c r="BF370">
        <v>0</v>
      </c>
      <c r="BG370">
        <v>50.3</v>
      </c>
      <c r="BH370">
        <v>13.288288290000001</v>
      </c>
      <c r="BI370">
        <v>280</v>
      </c>
      <c r="BJ370">
        <v>27.7</v>
      </c>
      <c r="BK370" t="s">
        <v>66</v>
      </c>
      <c r="BL370">
        <f>280-42</f>
        <v>238</v>
      </c>
      <c r="BM370">
        <v>78</v>
      </c>
      <c r="BN370">
        <v>76</v>
      </c>
      <c r="BO370">
        <f t="shared" si="57"/>
        <v>77</v>
      </c>
      <c r="BP370">
        <v>4</v>
      </c>
      <c r="BQ370">
        <v>1</v>
      </c>
      <c r="BS370">
        <v>0</v>
      </c>
      <c r="BT370">
        <f t="shared" si="58"/>
        <v>49.285714285714292</v>
      </c>
      <c r="BU370">
        <f t="shared" si="59"/>
        <v>27.797833935018051</v>
      </c>
      <c r="BV370">
        <f t="shared" si="60"/>
        <v>39.495798319327733</v>
      </c>
      <c r="BW370">
        <f t="shared" si="61"/>
        <v>24.025974025974026</v>
      </c>
    </row>
    <row r="371" spans="1:75" x14ac:dyDescent="0.2">
      <c r="A371" t="s">
        <v>170</v>
      </c>
      <c r="B371" t="s">
        <v>192</v>
      </c>
      <c r="C371" t="s">
        <v>106</v>
      </c>
      <c r="D371" t="s">
        <v>342</v>
      </c>
      <c r="E371" t="s">
        <v>365</v>
      </c>
      <c r="F371" t="s">
        <v>474</v>
      </c>
      <c r="G371">
        <v>2.2000000000000002</v>
      </c>
      <c r="H371">
        <v>17.2</v>
      </c>
      <c r="I371">
        <v>18.149999999999999</v>
      </c>
      <c r="J371">
        <v>3.95</v>
      </c>
      <c r="K371">
        <v>41.5</v>
      </c>
      <c r="L371">
        <v>16.06818182</v>
      </c>
      <c r="M371">
        <v>117</v>
      </c>
      <c r="N371">
        <v>186</v>
      </c>
      <c r="O371">
        <v>69</v>
      </c>
      <c r="P371">
        <v>223</v>
      </c>
      <c r="Q371">
        <v>106</v>
      </c>
      <c r="R371">
        <v>53</v>
      </c>
      <c r="S371">
        <v>153.1</v>
      </c>
      <c r="T371">
        <v>90.598290599999999</v>
      </c>
      <c r="U371">
        <v>19.892473119999998</v>
      </c>
      <c r="V371">
        <v>11</v>
      </c>
      <c r="W371">
        <v>15</v>
      </c>
      <c r="X371">
        <v>22</v>
      </c>
      <c r="Y371">
        <v>11</v>
      </c>
      <c r="Z371">
        <v>100</v>
      </c>
      <c r="AA371" t="s">
        <v>66</v>
      </c>
      <c r="AB371">
        <v>7</v>
      </c>
      <c r="AC371">
        <v>6</v>
      </c>
      <c r="AD371" t="s">
        <v>66</v>
      </c>
      <c r="AE371">
        <v>139</v>
      </c>
      <c r="AF371">
        <v>170</v>
      </c>
      <c r="AG371" t="s">
        <v>66</v>
      </c>
      <c r="AH371">
        <v>104</v>
      </c>
      <c r="AI371">
        <v>96</v>
      </c>
      <c r="AJ371" t="s">
        <v>66</v>
      </c>
      <c r="AK371">
        <v>65</v>
      </c>
      <c r="AL371">
        <v>53</v>
      </c>
      <c r="AM371">
        <v>84.5</v>
      </c>
      <c r="AN371">
        <v>74.5</v>
      </c>
      <c r="AO371">
        <v>-11.83431953</v>
      </c>
      <c r="AP371">
        <v>22.30215827</v>
      </c>
      <c r="AQ371">
        <v>1.6449704140000001</v>
      </c>
      <c r="AR371">
        <v>2.2818791950000001</v>
      </c>
      <c r="AS371">
        <v>0.63690878100000003</v>
      </c>
      <c r="AT371">
        <v>0</v>
      </c>
      <c r="AU371" t="s">
        <v>66</v>
      </c>
      <c r="AV371">
        <v>1</v>
      </c>
      <c r="AW371">
        <v>2</v>
      </c>
      <c r="AX371">
        <v>1</v>
      </c>
      <c r="AY371">
        <v>1</v>
      </c>
      <c r="AZ371">
        <v>1</v>
      </c>
      <c r="BA371">
        <v>1</v>
      </c>
      <c r="BB371" t="s">
        <v>66</v>
      </c>
      <c r="BC371">
        <v>46.6</v>
      </c>
      <c r="BD371">
        <v>51.8</v>
      </c>
      <c r="BE371">
        <v>11.158798279999999</v>
      </c>
      <c r="BF371">
        <v>0</v>
      </c>
      <c r="BG371">
        <v>51.8</v>
      </c>
      <c r="BH371">
        <v>11.158798279999999</v>
      </c>
      <c r="BI371">
        <v>337</v>
      </c>
      <c r="BJ371">
        <v>26.7</v>
      </c>
      <c r="BK371">
        <v>6.6</v>
      </c>
      <c r="BL371">
        <f>337-62</f>
        <v>275</v>
      </c>
      <c r="BM371">
        <v>68</v>
      </c>
      <c r="BN371">
        <v>50</v>
      </c>
      <c r="BO371">
        <f t="shared" si="57"/>
        <v>59</v>
      </c>
      <c r="BP371">
        <v>4</v>
      </c>
      <c r="BQ371">
        <v>1</v>
      </c>
      <c r="BS371">
        <v>0</v>
      </c>
      <c r="BT371">
        <f t="shared" si="58"/>
        <v>65.281899109792292</v>
      </c>
      <c r="BU371">
        <f t="shared" si="59"/>
        <v>58.801498127340821</v>
      </c>
      <c r="BV371">
        <f t="shared" si="60"/>
        <v>49.454545454545453</v>
      </c>
      <c r="BW371">
        <f t="shared" si="61"/>
        <v>-43.220338983050851</v>
      </c>
    </row>
    <row r="372" spans="1:75" x14ac:dyDescent="0.2">
      <c r="A372" t="s">
        <v>170</v>
      </c>
      <c r="B372" t="s">
        <v>192</v>
      </c>
      <c r="C372" t="s">
        <v>106</v>
      </c>
      <c r="D372" t="s">
        <v>342</v>
      </c>
      <c r="E372" t="s">
        <v>371</v>
      </c>
      <c r="F372" t="s">
        <v>477</v>
      </c>
      <c r="G372">
        <v>2.2000000000000002</v>
      </c>
      <c r="H372">
        <v>17.2</v>
      </c>
      <c r="I372">
        <v>18.149999999999999</v>
      </c>
      <c r="J372">
        <v>3.95</v>
      </c>
      <c r="K372">
        <v>41.5</v>
      </c>
      <c r="L372">
        <v>16.06818182</v>
      </c>
      <c r="M372">
        <v>175</v>
      </c>
      <c r="N372">
        <v>223</v>
      </c>
      <c r="O372">
        <v>48</v>
      </c>
      <c r="P372">
        <v>217</v>
      </c>
      <c r="Q372">
        <v>42</v>
      </c>
      <c r="R372">
        <v>21</v>
      </c>
      <c r="S372">
        <v>89.1</v>
      </c>
      <c r="T372">
        <v>24</v>
      </c>
      <c r="U372">
        <v>-2.69058296</v>
      </c>
      <c r="V372">
        <v>19</v>
      </c>
      <c r="W372">
        <v>25</v>
      </c>
      <c r="X372">
        <v>28</v>
      </c>
      <c r="Y372">
        <v>9</v>
      </c>
      <c r="Z372">
        <v>47.368421050000002</v>
      </c>
      <c r="AA372">
        <v>8</v>
      </c>
      <c r="AB372">
        <v>10</v>
      </c>
      <c r="AC372">
        <v>12</v>
      </c>
      <c r="AD372" t="s">
        <v>66</v>
      </c>
      <c r="AE372">
        <v>193</v>
      </c>
      <c r="AF372">
        <v>164</v>
      </c>
      <c r="AG372" t="s">
        <v>66</v>
      </c>
      <c r="AH372">
        <v>92</v>
      </c>
      <c r="AI372">
        <v>104</v>
      </c>
      <c r="AJ372" t="s">
        <v>66</v>
      </c>
      <c r="AK372">
        <v>63</v>
      </c>
      <c r="AL372">
        <v>77</v>
      </c>
      <c r="AM372">
        <v>77.5</v>
      </c>
      <c r="AN372">
        <v>90.5</v>
      </c>
      <c r="AO372">
        <v>16.77419355</v>
      </c>
      <c r="AP372">
        <v>-15.02590674</v>
      </c>
      <c r="AQ372">
        <v>2.490322581</v>
      </c>
      <c r="AR372">
        <v>1.8121546959999999</v>
      </c>
      <c r="AS372">
        <v>-0.67816788500000003</v>
      </c>
      <c r="AT372">
        <v>0</v>
      </c>
      <c r="AU372" t="s">
        <v>66</v>
      </c>
      <c r="AV372">
        <v>2</v>
      </c>
      <c r="AW372">
        <v>1</v>
      </c>
      <c r="AX372">
        <v>1</v>
      </c>
      <c r="AY372">
        <v>1</v>
      </c>
      <c r="AZ372">
        <v>1</v>
      </c>
      <c r="BA372">
        <v>1</v>
      </c>
      <c r="BB372" t="s">
        <v>66</v>
      </c>
      <c r="BC372">
        <v>43.9</v>
      </c>
      <c r="BD372">
        <v>73</v>
      </c>
      <c r="BE372">
        <v>66.287015949999997</v>
      </c>
      <c r="BF372">
        <v>0</v>
      </c>
      <c r="BG372">
        <v>73</v>
      </c>
      <c r="BH372">
        <v>66.287015949999997</v>
      </c>
      <c r="BI372">
        <v>333</v>
      </c>
      <c r="BJ372">
        <v>40.6</v>
      </c>
      <c r="BK372">
        <v>22.1</v>
      </c>
      <c r="BL372">
        <f>333-98</f>
        <v>235</v>
      </c>
      <c r="BM372">
        <v>160</v>
      </c>
      <c r="BN372">
        <v>140</v>
      </c>
      <c r="BO372">
        <f t="shared" si="57"/>
        <v>150</v>
      </c>
      <c r="BP372">
        <v>4</v>
      </c>
      <c r="BQ372">
        <v>1</v>
      </c>
      <c r="BS372">
        <v>0</v>
      </c>
      <c r="BT372">
        <f t="shared" si="58"/>
        <v>47.447447447447452</v>
      </c>
      <c r="BU372">
        <f t="shared" si="59"/>
        <v>53.201970443349758</v>
      </c>
      <c r="BV372">
        <f t="shared" si="60"/>
        <v>17.872340425531917</v>
      </c>
      <c r="BW372">
        <f t="shared" si="61"/>
        <v>48.333333333333336</v>
      </c>
    </row>
    <row r="373" spans="1:75" x14ac:dyDescent="0.2">
      <c r="A373" t="s">
        <v>170</v>
      </c>
      <c r="B373" t="s">
        <v>192</v>
      </c>
      <c r="C373" t="s">
        <v>106</v>
      </c>
      <c r="D373" t="s">
        <v>342</v>
      </c>
      <c r="E373" t="s">
        <v>375</v>
      </c>
      <c r="F373" t="s">
        <v>479</v>
      </c>
      <c r="G373">
        <v>2.2000000000000002</v>
      </c>
      <c r="H373">
        <v>17.2</v>
      </c>
      <c r="I373">
        <v>18.149999999999999</v>
      </c>
      <c r="J373">
        <v>3.95</v>
      </c>
      <c r="K373">
        <v>41.5</v>
      </c>
      <c r="L373">
        <v>16.06818182</v>
      </c>
      <c r="M373">
        <v>128</v>
      </c>
      <c r="N373">
        <v>169</v>
      </c>
      <c r="O373">
        <v>41</v>
      </c>
      <c r="P373">
        <v>183</v>
      </c>
      <c r="Q373">
        <v>55</v>
      </c>
      <c r="R373">
        <v>27.5</v>
      </c>
      <c r="S373">
        <v>102.1</v>
      </c>
      <c r="T373">
        <v>42.96875</v>
      </c>
      <c r="U373">
        <v>8.2840236689999998</v>
      </c>
      <c r="V373">
        <v>19</v>
      </c>
      <c r="W373">
        <v>27</v>
      </c>
      <c r="X373">
        <v>31</v>
      </c>
      <c r="Y373">
        <v>12</v>
      </c>
      <c r="Z373">
        <v>63.157894740000003</v>
      </c>
      <c r="AA373" t="s">
        <v>66</v>
      </c>
      <c r="AB373">
        <v>3</v>
      </c>
      <c r="AC373">
        <v>6</v>
      </c>
      <c r="AD373" t="s">
        <v>66</v>
      </c>
      <c r="AE373">
        <v>148</v>
      </c>
      <c r="AF373">
        <v>165</v>
      </c>
      <c r="AG373" t="s">
        <v>66</v>
      </c>
      <c r="AH373">
        <v>71</v>
      </c>
      <c r="AI373">
        <v>64</v>
      </c>
      <c r="AJ373" t="s">
        <v>66</v>
      </c>
      <c r="AK373">
        <v>63</v>
      </c>
      <c r="AL373">
        <v>45</v>
      </c>
      <c r="AM373">
        <v>67</v>
      </c>
      <c r="AN373">
        <v>54.5</v>
      </c>
      <c r="AO373">
        <v>-18.656716419999999</v>
      </c>
      <c r="AP373">
        <v>11.486486490000001</v>
      </c>
      <c r="AQ373">
        <v>2.2089552239999999</v>
      </c>
      <c r="AR373">
        <v>3.027522936</v>
      </c>
      <c r="AS373">
        <v>0.818567712</v>
      </c>
      <c r="AT373">
        <v>0</v>
      </c>
      <c r="AU373" t="s">
        <v>66</v>
      </c>
      <c r="AV373">
        <v>2</v>
      </c>
      <c r="AW373">
        <v>1</v>
      </c>
      <c r="AX373">
        <v>1</v>
      </c>
      <c r="AY373">
        <v>1</v>
      </c>
      <c r="AZ373">
        <v>1</v>
      </c>
      <c r="BA373">
        <v>1</v>
      </c>
      <c r="BB373" t="s">
        <v>66</v>
      </c>
      <c r="BC373">
        <v>37.799999999999997</v>
      </c>
      <c r="BD373">
        <v>54</v>
      </c>
      <c r="BE373">
        <v>42.857142860000003</v>
      </c>
      <c r="BF373">
        <v>0</v>
      </c>
      <c r="BG373">
        <v>54</v>
      </c>
      <c r="BH373">
        <v>42.857142860000003</v>
      </c>
      <c r="BI373">
        <v>278</v>
      </c>
      <c r="BJ373">
        <v>35</v>
      </c>
      <c r="BK373">
        <v>6.7</v>
      </c>
      <c r="BL373">
        <f>278-124</f>
        <v>154</v>
      </c>
      <c r="BM373">
        <v>53</v>
      </c>
      <c r="BN373">
        <v>49</v>
      </c>
      <c r="BO373">
        <f t="shared" si="57"/>
        <v>51</v>
      </c>
      <c r="BP373">
        <v>4</v>
      </c>
      <c r="BQ373">
        <v>1</v>
      </c>
      <c r="BS373">
        <v>0</v>
      </c>
      <c r="BT373">
        <f t="shared" si="58"/>
        <v>53.956834532374096</v>
      </c>
      <c r="BU373">
        <f t="shared" si="59"/>
        <v>45.714285714285715</v>
      </c>
      <c r="BV373">
        <f t="shared" si="60"/>
        <v>3.8961038961038961</v>
      </c>
      <c r="BW373">
        <f t="shared" si="61"/>
        <v>-31.372549019607842</v>
      </c>
    </row>
    <row r="374" spans="1:75" x14ac:dyDescent="0.2">
      <c r="A374" t="s">
        <v>170</v>
      </c>
      <c r="B374" t="s">
        <v>192</v>
      </c>
      <c r="C374" t="s">
        <v>106</v>
      </c>
      <c r="D374" t="s">
        <v>342</v>
      </c>
      <c r="E374" t="s">
        <v>379</v>
      </c>
      <c r="F374" t="s">
        <v>481</v>
      </c>
      <c r="G374">
        <v>2.2000000000000002</v>
      </c>
      <c r="H374">
        <v>17.2</v>
      </c>
      <c r="I374">
        <v>18.149999999999999</v>
      </c>
      <c r="J374">
        <v>3.95</v>
      </c>
      <c r="K374">
        <v>41.5</v>
      </c>
      <c r="L374">
        <v>16.06818182</v>
      </c>
      <c r="M374">
        <v>123</v>
      </c>
      <c r="N374">
        <v>146</v>
      </c>
      <c r="O374">
        <v>23</v>
      </c>
      <c r="P374">
        <v>113</v>
      </c>
      <c r="Q374">
        <v>-10</v>
      </c>
      <c r="R374">
        <v>-5</v>
      </c>
      <c r="S374">
        <v>37.1</v>
      </c>
      <c r="T374">
        <v>-8.1300813010000006</v>
      </c>
      <c r="U374">
        <v>-22.60273973</v>
      </c>
      <c r="V374">
        <v>20</v>
      </c>
      <c r="W374">
        <v>27</v>
      </c>
      <c r="X374">
        <v>27</v>
      </c>
      <c r="Y374">
        <v>7</v>
      </c>
      <c r="Z374">
        <v>35</v>
      </c>
      <c r="AA374" t="s">
        <v>66</v>
      </c>
      <c r="AB374">
        <v>3</v>
      </c>
      <c r="AC374" t="s">
        <v>66</v>
      </c>
      <c r="AD374" t="s">
        <v>66</v>
      </c>
      <c r="AE374">
        <v>103</v>
      </c>
      <c r="AF374">
        <v>73</v>
      </c>
      <c r="AG374" t="s">
        <v>66</v>
      </c>
      <c r="AH374">
        <v>75</v>
      </c>
      <c r="AI374">
        <v>44</v>
      </c>
      <c r="AJ374" t="s">
        <v>66</v>
      </c>
      <c r="AK374">
        <v>40</v>
      </c>
      <c r="AL374">
        <v>39</v>
      </c>
      <c r="AM374">
        <v>57.5</v>
      </c>
      <c r="AN374">
        <v>41.5</v>
      </c>
      <c r="AO374">
        <v>-27.826086960000001</v>
      </c>
      <c r="AP374">
        <v>-29.126213589999999</v>
      </c>
      <c r="AQ374">
        <v>1.7913043479999999</v>
      </c>
      <c r="AR374">
        <v>1.7590361450000001</v>
      </c>
      <c r="AS374">
        <v>-3.2268203000000002E-2</v>
      </c>
      <c r="AT374">
        <v>0</v>
      </c>
      <c r="AU374" t="s">
        <v>66</v>
      </c>
      <c r="AV374">
        <v>1</v>
      </c>
      <c r="AW374">
        <v>3</v>
      </c>
      <c r="AX374">
        <v>1</v>
      </c>
      <c r="AY374">
        <v>1</v>
      </c>
      <c r="AZ374">
        <v>1</v>
      </c>
      <c r="BA374">
        <v>1</v>
      </c>
      <c r="BB374" t="s">
        <v>66</v>
      </c>
      <c r="BC374">
        <v>43.5</v>
      </c>
      <c r="BD374">
        <v>58.3</v>
      </c>
      <c r="BE374">
        <v>34.022988509999998</v>
      </c>
      <c r="BF374">
        <v>0</v>
      </c>
      <c r="BG374">
        <v>58.3</v>
      </c>
      <c r="BH374">
        <v>34.022988509999998</v>
      </c>
      <c r="BI374">
        <v>206</v>
      </c>
      <c r="BJ374">
        <v>22</v>
      </c>
      <c r="BK374">
        <v>5.8</v>
      </c>
      <c r="BL374">
        <f>206-42</f>
        <v>164</v>
      </c>
      <c r="BM374">
        <v>65</v>
      </c>
      <c r="BN374">
        <v>55</v>
      </c>
      <c r="BO374">
        <f t="shared" si="57"/>
        <v>60</v>
      </c>
      <c r="BP374">
        <v>4</v>
      </c>
      <c r="BQ374">
        <v>1</v>
      </c>
      <c r="BS374">
        <v>0</v>
      </c>
      <c r="BT374">
        <f t="shared" si="58"/>
        <v>40.291262135922331</v>
      </c>
      <c r="BU374">
        <f t="shared" si="59"/>
        <v>9.0909090909090917</v>
      </c>
      <c r="BV374">
        <f t="shared" si="60"/>
        <v>37.195121951219512</v>
      </c>
      <c r="BW374">
        <f t="shared" si="61"/>
        <v>4.1666666666666661</v>
      </c>
    </row>
    <row r="375" spans="1:75" x14ac:dyDescent="0.2">
      <c r="A375" t="s">
        <v>213</v>
      </c>
      <c r="B375" t="s">
        <v>235</v>
      </c>
      <c r="C375" t="s">
        <v>106</v>
      </c>
      <c r="D375" t="s">
        <v>342</v>
      </c>
      <c r="E375" t="s">
        <v>349</v>
      </c>
      <c r="F375" t="s">
        <v>506</v>
      </c>
      <c r="G375">
        <v>8.65</v>
      </c>
      <c r="H375">
        <v>13.05</v>
      </c>
      <c r="I375">
        <v>14.95</v>
      </c>
      <c r="J375">
        <v>14.4</v>
      </c>
      <c r="K375">
        <v>51.05</v>
      </c>
      <c r="L375">
        <v>3.2369942200000001</v>
      </c>
      <c r="M375">
        <v>32</v>
      </c>
      <c r="N375">
        <v>26</v>
      </c>
      <c r="O375">
        <v>-6</v>
      </c>
      <c r="P375">
        <v>18</v>
      </c>
      <c r="Q375">
        <v>-14</v>
      </c>
      <c r="R375">
        <v>-7</v>
      </c>
      <c r="S375">
        <v>33.1</v>
      </c>
      <c r="T375">
        <v>-43.75</v>
      </c>
      <c r="U375">
        <v>-30.76923077</v>
      </c>
      <c r="V375">
        <v>5</v>
      </c>
      <c r="W375">
        <v>9</v>
      </c>
      <c r="X375">
        <v>3</v>
      </c>
      <c r="Y375">
        <v>-2</v>
      </c>
      <c r="Z375">
        <v>-40</v>
      </c>
      <c r="AA375" t="s">
        <v>66</v>
      </c>
      <c r="AB375" t="s">
        <v>66</v>
      </c>
      <c r="AC375" t="s">
        <v>66</v>
      </c>
      <c r="AD375" t="s">
        <v>66</v>
      </c>
      <c r="AE375">
        <v>14</v>
      </c>
      <c r="AF375">
        <v>10</v>
      </c>
      <c r="AG375" t="s">
        <v>66</v>
      </c>
      <c r="AH375">
        <v>9</v>
      </c>
      <c r="AI375">
        <v>9</v>
      </c>
      <c r="AJ375" t="s">
        <v>66</v>
      </c>
      <c r="AK375">
        <v>7</v>
      </c>
      <c r="AL375">
        <v>8</v>
      </c>
      <c r="AM375">
        <v>8</v>
      </c>
      <c r="AN375">
        <v>8.5</v>
      </c>
      <c r="AO375">
        <v>6.25</v>
      </c>
      <c r="AP375">
        <v>-28.571428569999998</v>
      </c>
      <c r="AQ375">
        <v>1.75</v>
      </c>
      <c r="AR375">
        <v>1.1764705879999999</v>
      </c>
      <c r="AS375">
        <v>-0.57352941199999996</v>
      </c>
      <c r="AT375">
        <v>0</v>
      </c>
      <c r="AU375" t="s">
        <v>66</v>
      </c>
      <c r="AV375">
        <v>2</v>
      </c>
      <c r="AW375">
        <v>4</v>
      </c>
      <c r="AX375">
        <v>0</v>
      </c>
      <c r="AY375">
        <v>1</v>
      </c>
      <c r="AZ375">
        <v>1</v>
      </c>
      <c r="BA375">
        <v>1</v>
      </c>
      <c r="BB375" t="s">
        <v>66</v>
      </c>
      <c r="BC375">
        <v>26.222222219999999</v>
      </c>
      <c r="BD375">
        <v>39.6</v>
      </c>
      <c r="BE375">
        <v>51.016949169999997</v>
      </c>
      <c r="BF375">
        <v>0</v>
      </c>
      <c r="BG375">
        <v>39.6</v>
      </c>
      <c r="BH375">
        <v>51.016949169999997</v>
      </c>
      <c r="BI375" t="s">
        <v>66</v>
      </c>
      <c r="BJ375" t="s">
        <v>66</v>
      </c>
      <c r="BK375" t="s">
        <v>66</v>
      </c>
      <c r="BL375" t="s">
        <v>66</v>
      </c>
      <c r="BM375" t="s">
        <v>66</v>
      </c>
      <c r="BN375" t="s">
        <v>66</v>
      </c>
      <c r="BO375" t="s">
        <v>66</v>
      </c>
      <c r="BP375" t="s">
        <v>66</v>
      </c>
      <c r="BQ375">
        <v>0</v>
      </c>
      <c r="BS375">
        <v>0</v>
      </c>
      <c r="BT375" t="s">
        <v>66</v>
      </c>
      <c r="BU375" t="s">
        <v>66</v>
      </c>
      <c r="BV375" t="s">
        <v>66</v>
      </c>
      <c r="BW375" t="s">
        <v>66</v>
      </c>
    </row>
    <row r="376" spans="1:75" x14ac:dyDescent="0.2">
      <c r="A376" t="s">
        <v>213</v>
      </c>
      <c r="B376" t="s">
        <v>235</v>
      </c>
      <c r="C376" t="s">
        <v>106</v>
      </c>
      <c r="D376" t="s">
        <v>342</v>
      </c>
      <c r="E376" t="s">
        <v>369</v>
      </c>
      <c r="F376" t="s">
        <v>516</v>
      </c>
      <c r="G376">
        <v>8.65</v>
      </c>
      <c r="H376">
        <v>13.05</v>
      </c>
      <c r="I376">
        <v>14.95</v>
      </c>
      <c r="J376">
        <v>14.4</v>
      </c>
      <c r="K376">
        <v>51.05</v>
      </c>
      <c r="L376">
        <v>3.2369942200000001</v>
      </c>
      <c r="M376">
        <v>78</v>
      </c>
      <c r="N376">
        <v>87</v>
      </c>
      <c r="O376">
        <v>9</v>
      </c>
      <c r="P376">
        <v>83</v>
      </c>
      <c r="Q376">
        <v>5</v>
      </c>
      <c r="R376">
        <v>2.5</v>
      </c>
      <c r="S376">
        <v>52.1</v>
      </c>
      <c r="T376">
        <v>6.4102564099999997</v>
      </c>
      <c r="U376">
        <v>-4.5977011489999997</v>
      </c>
      <c r="V376">
        <v>7</v>
      </c>
      <c r="W376">
        <v>9</v>
      </c>
      <c r="X376">
        <v>9</v>
      </c>
      <c r="Y376">
        <v>2</v>
      </c>
      <c r="Z376">
        <v>28.571428569999998</v>
      </c>
      <c r="AA376" t="s">
        <v>66</v>
      </c>
      <c r="AB376" t="s">
        <v>66</v>
      </c>
      <c r="AC376" t="s">
        <v>66</v>
      </c>
      <c r="AD376" t="s">
        <v>66</v>
      </c>
      <c r="AE376">
        <v>59</v>
      </c>
      <c r="AF376">
        <v>27</v>
      </c>
      <c r="AG376" t="s">
        <v>66</v>
      </c>
      <c r="AH376">
        <v>28</v>
      </c>
      <c r="AI376">
        <v>19</v>
      </c>
      <c r="AJ376" t="s">
        <v>66</v>
      </c>
      <c r="AK376">
        <v>22</v>
      </c>
      <c r="AL376">
        <v>9</v>
      </c>
      <c r="AM376">
        <v>25</v>
      </c>
      <c r="AN376">
        <v>14</v>
      </c>
      <c r="AO376">
        <v>-44</v>
      </c>
      <c r="AP376">
        <v>-54.237288139999997</v>
      </c>
      <c r="AQ376">
        <v>2.36</v>
      </c>
      <c r="AR376">
        <v>1.928571429</v>
      </c>
      <c r="AS376">
        <v>-0.43142857099999998</v>
      </c>
      <c r="AT376">
        <v>0</v>
      </c>
      <c r="AU376" t="s">
        <v>66</v>
      </c>
      <c r="AV376">
        <v>1</v>
      </c>
      <c r="AW376">
        <v>4</v>
      </c>
      <c r="AX376">
        <v>0</v>
      </c>
      <c r="AY376">
        <v>1</v>
      </c>
      <c r="AZ376">
        <v>1</v>
      </c>
      <c r="BA376">
        <v>1</v>
      </c>
      <c r="BB376" t="s">
        <v>66</v>
      </c>
      <c r="BC376">
        <v>28.7</v>
      </c>
      <c r="BD376">
        <v>35</v>
      </c>
      <c r="BE376">
        <v>21.951219510000001</v>
      </c>
      <c r="BF376">
        <v>0</v>
      </c>
      <c r="BG376">
        <v>35</v>
      </c>
      <c r="BH376">
        <v>21.951219510000001</v>
      </c>
      <c r="BI376" t="s">
        <v>66</v>
      </c>
      <c r="BJ376" t="s">
        <v>66</v>
      </c>
      <c r="BK376" t="s">
        <v>66</v>
      </c>
      <c r="BL376" t="s">
        <v>66</v>
      </c>
      <c r="BM376" t="s">
        <v>66</v>
      </c>
      <c r="BN376" t="s">
        <v>66</v>
      </c>
      <c r="BO376" t="s">
        <v>66</v>
      </c>
      <c r="BP376" t="s">
        <v>66</v>
      </c>
      <c r="BQ376">
        <v>0</v>
      </c>
      <c r="BS376">
        <v>0</v>
      </c>
      <c r="BT376" t="s">
        <v>66</v>
      </c>
      <c r="BU376" t="s">
        <v>66</v>
      </c>
      <c r="BV376" t="s">
        <v>66</v>
      </c>
      <c r="BW376" t="s">
        <v>66</v>
      </c>
    </row>
    <row r="377" spans="1:75" x14ac:dyDescent="0.2">
      <c r="A377" t="s">
        <v>213</v>
      </c>
      <c r="B377" t="s">
        <v>235</v>
      </c>
      <c r="C377" t="s">
        <v>106</v>
      </c>
      <c r="D377" t="s">
        <v>342</v>
      </c>
      <c r="E377" t="s">
        <v>345</v>
      </c>
      <c r="F377" t="s">
        <v>504</v>
      </c>
      <c r="G377">
        <v>8.65</v>
      </c>
      <c r="H377">
        <v>13.05</v>
      </c>
      <c r="I377">
        <v>14.95</v>
      </c>
      <c r="J377">
        <v>14.4</v>
      </c>
      <c r="K377">
        <v>51.05</v>
      </c>
      <c r="L377">
        <v>3.2369942200000001</v>
      </c>
      <c r="M377">
        <v>91</v>
      </c>
      <c r="N377">
        <v>131</v>
      </c>
      <c r="O377">
        <v>40</v>
      </c>
      <c r="P377">
        <v>129</v>
      </c>
      <c r="Q377">
        <v>38</v>
      </c>
      <c r="R377">
        <v>19</v>
      </c>
      <c r="S377">
        <v>85.1</v>
      </c>
      <c r="T377">
        <v>41.758241759999997</v>
      </c>
      <c r="U377">
        <v>-1.526717557</v>
      </c>
      <c r="V377">
        <v>9</v>
      </c>
      <c r="W377">
        <v>16</v>
      </c>
      <c r="X377">
        <v>16</v>
      </c>
      <c r="Y377">
        <v>7</v>
      </c>
      <c r="Z377">
        <v>77.777777779999994</v>
      </c>
      <c r="AA377" t="s">
        <v>66</v>
      </c>
      <c r="AB377" t="s">
        <v>66</v>
      </c>
      <c r="AC377" t="s">
        <v>66</v>
      </c>
      <c r="AD377" t="s">
        <v>66</v>
      </c>
      <c r="AE377">
        <v>89</v>
      </c>
      <c r="AF377">
        <v>82</v>
      </c>
      <c r="AG377" t="s">
        <v>66</v>
      </c>
      <c r="AH377">
        <v>48</v>
      </c>
      <c r="AI377">
        <v>36</v>
      </c>
      <c r="AJ377" t="s">
        <v>66</v>
      </c>
      <c r="AK377">
        <v>27</v>
      </c>
      <c r="AL377">
        <v>27</v>
      </c>
      <c r="AM377">
        <v>37.5</v>
      </c>
      <c r="AN377">
        <v>31.5</v>
      </c>
      <c r="AO377">
        <v>-16</v>
      </c>
      <c r="AP377">
        <v>-7.8651685389999999</v>
      </c>
      <c r="AQ377">
        <v>2.3733333330000002</v>
      </c>
      <c r="AR377">
        <v>2.6031746029999998</v>
      </c>
      <c r="AS377">
        <v>0.22984126999999999</v>
      </c>
      <c r="AT377">
        <v>0</v>
      </c>
      <c r="AU377" t="s">
        <v>66</v>
      </c>
      <c r="AV377">
        <v>0</v>
      </c>
      <c r="AW377">
        <v>1</v>
      </c>
      <c r="AX377">
        <v>0</v>
      </c>
      <c r="AY377">
        <v>1</v>
      </c>
      <c r="AZ377">
        <v>1</v>
      </c>
      <c r="BA377">
        <v>1</v>
      </c>
      <c r="BB377" t="s">
        <v>66</v>
      </c>
      <c r="BC377">
        <v>54.3</v>
      </c>
      <c r="BD377">
        <v>49.5</v>
      </c>
      <c r="BE377">
        <v>-8.8397790060000005</v>
      </c>
      <c r="BF377">
        <v>0</v>
      </c>
      <c r="BG377">
        <v>49.5</v>
      </c>
      <c r="BH377">
        <v>-8.8397790060000005</v>
      </c>
      <c r="BI377">
        <v>150</v>
      </c>
      <c r="BJ377">
        <v>15.5</v>
      </c>
      <c r="BK377">
        <v>1.9</v>
      </c>
      <c r="BL377">
        <v>94</v>
      </c>
      <c r="BM377">
        <v>38</v>
      </c>
      <c r="BN377">
        <v>38</v>
      </c>
      <c r="BO377">
        <f t="shared" ref="BO377:BO414" si="62">AVERAGE(BM377,BN377)</f>
        <v>38</v>
      </c>
      <c r="BP377">
        <v>4</v>
      </c>
      <c r="BQ377">
        <v>1</v>
      </c>
      <c r="BS377">
        <v>0</v>
      </c>
      <c r="BT377">
        <f t="shared" ref="BT377:BT414" si="63">(BI377-M377)/BI377*100</f>
        <v>39.333333333333329</v>
      </c>
      <c r="BU377">
        <f t="shared" ref="BU377:BU414" si="64">(BJ377-V377)/BJ377*100</f>
        <v>41.935483870967744</v>
      </c>
      <c r="BV377">
        <f t="shared" ref="BV377:BV414" si="65">(BL377-AE377)/BL377*100</f>
        <v>5.3191489361702127</v>
      </c>
      <c r="BW377">
        <f t="shared" ref="BW377:BW414" si="66">(BO377-AM377)/BO377*100</f>
        <v>1.3157894736842104</v>
      </c>
    </row>
    <row r="378" spans="1:75" x14ac:dyDescent="0.2">
      <c r="A378" t="s">
        <v>213</v>
      </c>
      <c r="B378" t="s">
        <v>235</v>
      </c>
      <c r="C378" t="s">
        <v>106</v>
      </c>
      <c r="D378" t="s">
        <v>342</v>
      </c>
      <c r="E378" t="s">
        <v>353</v>
      </c>
      <c r="F378" t="s">
        <v>508</v>
      </c>
      <c r="G378">
        <v>8.65</v>
      </c>
      <c r="H378">
        <v>13.05</v>
      </c>
      <c r="I378">
        <v>14.95</v>
      </c>
      <c r="J378">
        <v>14.4</v>
      </c>
      <c r="K378">
        <v>51.05</v>
      </c>
      <c r="L378">
        <v>3.2369942200000001</v>
      </c>
      <c r="M378">
        <v>168</v>
      </c>
      <c r="N378">
        <v>217</v>
      </c>
      <c r="O378">
        <v>49</v>
      </c>
      <c r="P378">
        <v>253</v>
      </c>
      <c r="Q378">
        <v>85</v>
      </c>
      <c r="R378">
        <v>42.5</v>
      </c>
      <c r="S378">
        <v>132.1</v>
      </c>
      <c r="T378">
        <v>50.595238100000003</v>
      </c>
      <c r="U378">
        <v>16.589861750000001</v>
      </c>
      <c r="V378">
        <v>20</v>
      </c>
      <c r="W378">
        <v>21</v>
      </c>
      <c r="X378">
        <v>30</v>
      </c>
      <c r="Y378">
        <v>10</v>
      </c>
      <c r="Z378">
        <v>50</v>
      </c>
      <c r="AA378">
        <v>6</v>
      </c>
      <c r="AB378">
        <v>8</v>
      </c>
      <c r="AC378">
        <v>10</v>
      </c>
      <c r="AD378" t="s">
        <v>66</v>
      </c>
      <c r="AE378">
        <v>153</v>
      </c>
      <c r="AF378">
        <v>185</v>
      </c>
      <c r="AG378" t="s">
        <v>66</v>
      </c>
      <c r="AH378">
        <v>92</v>
      </c>
      <c r="AI378">
        <v>87</v>
      </c>
      <c r="AJ378" t="s">
        <v>66</v>
      </c>
      <c r="AK378">
        <v>64</v>
      </c>
      <c r="AL378">
        <v>82</v>
      </c>
      <c r="AM378">
        <v>78</v>
      </c>
      <c r="AN378">
        <v>84.5</v>
      </c>
      <c r="AO378">
        <v>8.3333333330000006</v>
      </c>
      <c r="AP378">
        <v>20.915032679999999</v>
      </c>
      <c r="AQ378">
        <v>1.961538462</v>
      </c>
      <c r="AR378">
        <v>2.1893491119999999</v>
      </c>
      <c r="AS378">
        <v>0.22781065</v>
      </c>
      <c r="AT378">
        <v>0</v>
      </c>
      <c r="AU378" t="s">
        <v>66</v>
      </c>
      <c r="AV378">
        <v>1</v>
      </c>
      <c r="AW378">
        <v>1</v>
      </c>
      <c r="AX378">
        <v>0</v>
      </c>
      <c r="AY378">
        <v>1</v>
      </c>
      <c r="AZ378">
        <v>1</v>
      </c>
      <c r="BA378">
        <v>1</v>
      </c>
      <c r="BB378" t="s">
        <v>66</v>
      </c>
      <c r="BC378">
        <v>50</v>
      </c>
      <c r="BD378">
        <v>60.5</v>
      </c>
      <c r="BE378">
        <v>21</v>
      </c>
      <c r="BF378">
        <v>0</v>
      </c>
      <c r="BG378">
        <v>60.5</v>
      </c>
      <c r="BH378">
        <v>21</v>
      </c>
      <c r="BI378">
        <f>270+134</f>
        <v>404</v>
      </c>
      <c r="BJ378">
        <v>34.9</v>
      </c>
      <c r="BK378">
        <v>18.8</v>
      </c>
      <c r="BL378">
        <f>404-107</f>
        <v>297</v>
      </c>
      <c r="BM378">
        <v>98</v>
      </c>
      <c r="BN378">
        <v>87</v>
      </c>
      <c r="BO378">
        <f t="shared" si="62"/>
        <v>92.5</v>
      </c>
      <c r="BP378">
        <v>4</v>
      </c>
      <c r="BQ378">
        <v>1</v>
      </c>
      <c r="BS378">
        <v>0</v>
      </c>
      <c r="BT378">
        <f t="shared" si="63"/>
        <v>58.415841584158414</v>
      </c>
      <c r="BU378">
        <f t="shared" si="64"/>
        <v>42.693409742120345</v>
      </c>
      <c r="BV378">
        <f t="shared" si="65"/>
        <v>48.484848484848484</v>
      </c>
      <c r="BW378">
        <f t="shared" si="66"/>
        <v>15.675675675675677</v>
      </c>
    </row>
    <row r="379" spans="1:75" x14ac:dyDescent="0.2">
      <c r="A379" t="s">
        <v>213</v>
      </c>
      <c r="B379" t="s">
        <v>235</v>
      </c>
      <c r="C379" t="s">
        <v>106</v>
      </c>
      <c r="D379" t="s">
        <v>342</v>
      </c>
      <c r="E379" t="s">
        <v>361</v>
      </c>
      <c r="F379" t="s">
        <v>512</v>
      </c>
      <c r="G379">
        <v>8.65</v>
      </c>
      <c r="H379">
        <v>13.05</v>
      </c>
      <c r="I379">
        <v>14.95</v>
      </c>
      <c r="J379">
        <v>14.4</v>
      </c>
      <c r="K379">
        <v>51.05</v>
      </c>
      <c r="L379">
        <v>3.2369942200000001</v>
      </c>
      <c r="M379">
        <v>92</v>
      </c>
      <c r="N379">
        <v>111</v>
      </c>
      <c r="O379">
        <v>19</v>
      </c>
      <c r="P379">
        <v>120</v>
      </c>
      <c r="Q379">
        <v>28</v>
      </c>
      <c r="R379">
        <v>14</v>
      </c>
      <c r="S379">
        <v>75.099999999999994</v>
      </c>
      <c r="T379">
        <v>30.434782609999999</v>
      </c>
      <c r="U379">
        <v>8.1081081079999997</v>
      </c>
      <c r="V379">
        <v>11</v>
      </c>
      <c r="W379">
        <v>12</v>
      </c>
      <c r="X379">
        <v>18</v>
      </c>
      <c r="Y379">
        <v>7</v>
      </c>
      <c r="Z379">
        <v>63.636363639999999</v>
      </c>
      <c r="AA379" t="s">
        <v>66</v>
      </c>
      <c r="AB379" t="s">
        <v>66</v>
      </c>
      <c r="AC379" t="s">
        <v>66</v>
      </c>
      <c r="AD379" t="s">
        <v>66</v>
      </c>
      <c r="AE379">
        <v>43</v>
      </c>
      <c r="AF379">
        <v>50</v>
      </c>
      <c r="AG379" t="s">
        <v>66</v>
      </c>
      <c r="AH379">
        <v>44</v>
      </c>
      <c r="AI379">
        <v>51</v>
      </c>
      <c r="AJ379" t="s">
        <v>66</v>
      </c>
      <c r="AK379">
        <v>21</v>
      </c>
      <c r="AL379">
        <v>33</v>
      </c>
      <c r="AM379">
        <v>32.5</v>
      </c>
      <c r="AN379">
        <v>42</v>
      </c>
      <c r="AO379">
        <v>29.23076923</v>
      </c>
      <c r="AP379">
        <v>16.27906977</v>
      </c>
      <c r="AQ379">
        <v>1.3230769229999999</v>
      </c>
      <c r="AR379">
        <v>1.19047619</v>
      </c>
      <c r="AS379">
        <v>-0.132600733</v>
      </c>
      <c r="AT379">
        <v>0</v>
      </c>
      <c r="AU379" t="s">
        <v>66</v>
      </c>
      <c r="AV379">
        <v>1</v>
      </c>
      <c r="AW379">
        <v>1</v>
      </c>
      <c r="AX379">
        <v>0</v>
      </c>
      <c r="AY379">
        <v>1</v>
      </c>
      <c r="AZ379">
        <v>1</v>
      </c>
      <c r="BA379">
        <v>1</v>
      </c>
      <c r="BB379" t="s">
        <v>66</v>
      </c>
      <c r="BC379">
        <v>48.3</v>
      </c>
      <c r="BD379">
        <v>50.3</v>
      </c>
      <c r="BE379">
        <v>4.1407867490000001</v>
      </c>
      <c r="BF379">
        <v>0</v>
      </c>
      <c r="BG379">
        <v>50.3</v>
      </c>
      <c r="BH379">
        <v>4.1407867490000001</v>
      </c>
      <c r="BI379">
        <v>120</v>
      </c>
      <c r="BJ379">
        <v>14</v>
      </c>
      <c r="BK379" t="s">
        <v>66</v>
      </c>
      <c r="BL379">
        <v>40</v>
      </c>
      <c r="BM379">
        <v>40</v>
      </c>
      <c r="BN379">
        <v>17</v>
      </c>
      <c r="BO379">
        <f t="shared" si="62"/>
        <v>28.5</v>
      </c>
      <c r="BP379">
        <v>4</v>
      </c>
      <c r="BQ379">
        <v>1</v>
      </c>
      <c r="BS379">
        <v>0</v>
      </c>
      <c r="BT379">
        <f t="shared" si="63"/>
        <v>23.333333333333332</v>
      </c>
      <c r="BU379">
        <f t="shared" si="64"/>
        <v>21.428571428571427</v>
      </c>
      <c r="BV379">
        <f t="shared" si="65"/>
        <v>-7.5</v>
      </c>
      <c r="BW379">
        <f t="shared" si="66"/>
        <v>-14.035087719298245</v>
      </c>
    </row>
    <row r="380" spans="1:75" x14ac:dyDescent="0.2">
      <c r="A380" t="s">
        <v>213</v>
      </c>
      <c r="B380" t="s">
        <v>235</v>
      </c>
      <c r="C380" t="s">
        <v>106</v>
      </c>
      <c r="D380" t="s">
        <v>342</v>
      </c>
      <c r="E380" t="s">
        <v>363</v>
      </c>
      <c r="F380" t="s">
        <v>513</v>
      </c>
      <c r="G380">
        <v>8.65</v>
      </c>
      <c r="H380">
        <v>13.05</v>
      </c>
      <c r="I380">
        <v>14.95</v>
      </c>
      <c r="J380">
        <v>14.4</v>
      </c>
      <c r="K380">
        <v>51.05</v>
      </c>
      <c r="L380">
        <v>3.2369942200000001</v>
      </c>
      <c r="M380">
        <v>105</v>
      </c>
      <c r="N380">
        <v>127</v>
      </c>
      <c r="O380">
        <v>22</v>
      </c>
      <c r="P380">
        <v>143</v>
      </c>
      <c r="Q380">
        <v>38</v>
      </c>
      <c r="R380">
        <v>19</v>
      </c>
      <c r="S380">
        <v>85.1</v>
      </c>
      <c r="T380">
        <v>36.190476189999998</v>
      </c>
      <c r="U380">
        <v>12.598425199999999</v>
      </c>
      <c r="V380">
        <v>11</v>
      </c>
      <c r="W380">
        <v>11</v>
      </c>
      <c r="X380">
        <v>14</v>
      </c>
      <c r="Y380">
        <v>3</v>
      </c>
      <c r="Z380">
        <v>27.272727270000001</v>
      </c>
      <c r="AA380" t="s">
        <v>66</v>
      </c>
      <c r="AB380" t="s">
        <v>66</v>
      </c>
      <c r="AC380">
        <v>2</v>
      </c>
      <c r="AD380" t="s">
        <v>66</v>
      </c>
      <c r="AE380">
        <v>104</v>
      </c>
      <c r="AF380">
        <v>93</v>
      </c>
      <c r="AG380" t="s">
        <v>66</v>
      </c>
      <c r="AH380">
        <v>42</v>
      </c>
      <c r="AI380">
        <v>52</v>
      </c>
      <c r="AJ380" t="s">
        <v>66</v>
      </c>
      <c r="AK380">
        <v>32</v>
      </c>
      <c r="AL380">
        <v>36</v>
      </c>
      <c r="AM380">
        <v>37</v>
      </c>
      <c r="AN380">
        <v>44</v>
      </c>
      <c r="AO380">
        <v>18.918918919999999</v>
      </c>
      <c r="AP380">
        <v>-10.57692308</v>
      </c>
      <c r="AQ380">
        <v>2.8108108110000001</v>
      </c>
      <c r="AR380">
        <v>2.113636364</v>
      </c>
      <c r="AS380">
        <v>-0.69717444699999997</v>
      </c>
      <c r="AT380">
        <v>0</v>
      </c>
      <c r="AU380" t="s">
        <v>66</v>
      </c>
      <c r="AV380">
        <v>1</v>
      </c>
      <c r="AW380">
        <v>1</v>
      </c>
      <c r="AX380">
        <v>0</v>
      </c>
      <c r="AY380">
        <v>1</v>
      </c>
      <c r="AZ380">
        <v>1</v>
      </c>
      <c r="BA380">
        <v>1</v>
      </c>
      <c r="BB380" t="s">
        <v>66</v>
      </c>
      <c r="BC380">
        <v>33.6</v>
      </c>
      <c r="BD380">
        <v>45</v>
      </c>
      <c r="BE380">
        <v>33.928571429999998</v>
      </c>
      <c r="BF380">
        <v>0</v>
      </c>
      <c r="BG380">
        <v>45</v>
      </c>
      <c r="BH380">
        <v>33.928571429999998</v>
      </c>
      <c r="BI380">
        <v>104</v>
      </c>
      <c r="BJ380">
        <v>13.5</v>
      </c>
      <c r="BK380" t="s">
        <v>66</v>
      </c>
      <c r="BL380">
        <v>103</v>
      </c>
      <c r="BM380">
        <v>40</v>
      </c>
      <c r="BN380">
        <v>36</v>
      </c>
      <c r="BO380">
        <f t="shared" si="62"/>
        <v>38</v>
      </c>
      <c r="BP380">
        <v>4</v>
      </c>
      <c r="BQ380">
        <v>1</v>
      </c>
      <c r="BS380">
        <v>0</v>
      </c>
      <c r="BT380">
        <f t="shared" si="63"/>
        <v>-0.96153846153846156</v>
      </c>
      <c r="BU380">
        <f t="shared" si="64"/>
        <v>18.518518518518519</v>
      </c>
      <c r="BV380">
        <f t="shared" si="65"/>
        <v>-0.97087378640776689</v>
      </c>
      <c r="BW380">
        <f t="shared" si="66"/>
        <v>2.6315789473684208</v>
      </c>
    </row>
    <row r="381" spans="1:75" x14ac:dyDescent="0.2">
      <c r="A381" t="s">
        <v>213</v>
      </c>
      <c r="B381" t="s">
        <v>235</v>
      </c>
      <c r="C381" t="s">
        <v>106</v>
      </c>
      <c r="D381" t="s">
        <v>342</v>
      </c>
      <c r="E381" t="s">
        <v>365</v>
      </c>
      <c r="F381" t="s">
        <v>514</v>
      </c>
      <c r="G381">
        <v>8.65</v>
      </c>
      <c r="H381">
        <v>13.05</v>
      </c>
      <c r="I381">
        <v>14.95</v>
      </c>
      <c r="J381">
        <v>14.4</v>
      </c>
      <c r="K381">
        <v>51.05</v>
      </c>
      <c r="L381">
        <v>3.2369942200000001</v>
      </c>
      <c r="M381">
        <v>100</v>
      </c>
      <c r="N381">
        <v>130</v>
      </c>
      <c r="O381">
        <v>30</v>
      </c>
      <c r="P381">
        <v>142</v>
      </c>
      <c r="Q381">
        <v>42</v>
      </c>
      <c r="R381">
        <v>21</v>
      </c>
      <c r="S381">
        <v>89.1</v>
      </c>
      <c r="T381">
        <v>42</v>
      </c>
      <c r="U381">
        <v>9.230769231</v>
      </c>
      <c r="V381">
        <v>11</v>
      </c>
      <c r="W381">
        <v>14</v>
      </c>
      <c r="X381">
        <v>13</v>
      </c>
      <c r="Y381">
        <v>2</v>
      </c>
      <c r="Z381">
        <v>18.18181818</v>
      </c>
      <c r="AA381" t="s">
        <v>66</v>
      </c>
      <c r="AB381" t="s">
        <v>66</v>
      </c>
      <c r="AC381">
        <v>2</v>
      </c>
      <c r="AD381" t="s">
        <v>66</v>
      </c>
      <c r="AE381">
        <v>110</v>
      </c>
      <c r="AF381">
        <v>94</v>
      </c>
      <c r="AG381" t="s">
        <v>66</v>
      </c>
      <c r="AH381">
        <v>52</v>
      </c>
      <c r="AI381">
        <v>44</v>
      </c>
      <c r="AJ381" t="s">
        <v>66</v>
      </c>
      <c r="AK381">
        <v>20</v>
      </c>
      <c r="AL381">
        <v>32</v>
      </c>
      <c r="AM381">
        <v>36</v>
      </c>
      <c r="AN381">
        <v>38</v>
      </c>
      <c r="AO381">
        <v>5.5555555559999998</v>
      </c>
      <c r="AP381">
        <v>-14.545454550000001</v>
      </c>
      <c r="AQ381">
        <v>3.0555555559999998</v>
      </c>
      <c r="AR381">
        <v>2.4736842110000001</v>
      </c>
      <c r="AS381">
        <v>-0.58187134500000004</v>
      </c>
      <c r="AT381">
        <v>0</v>
      </c>
      <c r="AU381" t="s">
        <v>66</v>
      </c>
      <c r="AV381">
        <v>0</v>
      </c>
      <c r="AW381">
        <v>0</v>
      </c>
      <c r="AX381">
        <v>0</v>
      </c>
      <c r="AY381">
        <v>1</v>
      </c>
      <c r="AZ381">
        <v>1</v>
      </c>
      <c r="BA381">
        <v>1</v>
      </c>
      <c r="BB381" t="s">
        <v>66</v>
      </c>
      <c r="BC381">
        <v>48.4</v>
      </c>
      <c r="BD381">
        <v>58.1</v>
      </c>
      <c r="BE381">
        <v>20.041322310000002</v>
      </c>
      <c r="BF381">
        <v>0</v>
      </c>
      <c r="BG381">
        <v>58.1</v>
      </c>
      <c r="BH381">
        <v>20.041322310000002</v>
      </c>
      <c r="BI381">
        <v>145</v>
      </c>
      <c r="BJ381">
        <v>13.6</v>
      </c>
      <c r="BK381">
        <v>1.6</v>
      </c>
      <c r="BL381">
        <v>102</v>
      </c>
      <c r="BM381">
        <v>27</v>
      </c>
      <c r="BN381">
        <v>22</v>
      </c>
      <c r="BO381">
        <f t="shared" si="62"/>
        <v>24.5</v>
      </c>
      <c r="BP381">
        <v>4</v>
      </c>
      <c r="BQ381">
        <v>1</v>
      </c>
      <c r="BS381">
        <v>0</v>
      </c>
      <c r="BT381">
        <f t="shared" si="63"/>
        <v>31.03448275862069</v>
      </c>
      <c r="BU381">
        <f t="shared" si="64"/>
        <v>19.117647058823529</v>
      </c>
      <c r="BV381">
        <f t="shared" si="65"/>
        <v>-7.8431372549019605</v>
      </c>
      <c r="BW381">
        <f t="shared" si="66"/>
        <v>-46.938775510204081</v>
      </c>
    </row>
    <row r="382" spans="1:75" x14ac:dyDescent="0.2">
      <c r="A382" t="s">
        <v>213</v>
      </c>
      <c r="B382" t="s">
        <v>235</v>
      </c>
      <c r="C382" t="s">
        <v>106</v>
      </c>
      <c r="D382" t="s">
        <v>342</v>
      </c>
      <c r="E382" t="s">
        <v>367</v>
      </c>
      <c r="F382" t="s">
        <v>515</v>
      </c>
      <c r="G382">
        <v>8.65</v>
      </c>
      <c r="H382">
        <v>13.05</v>
      </c>
      <c r="I382">
        <v>14.95</v>
      </c>
      <c r="J382">
        <v>14.4</v>
      </c>
      <c r="K382">
        <v>51.05</v>
      </c>
      <c r="L382">
        <v>3.2369942200000001</v>
      </c>
      <c r="M382">
        <v>79</v>
      </c>
      <c r="N382">
        <v>79</v>
      </c>
      <c r="O382">
        <v>0</v>
      </c>
      <c r="P382">
        <v>83</v>
      </c>
      <c r="Q382">
        <v>4</v>
      </c>
      <c r="R382">
        <v>2</v>
      </c>
      <c r="S382">
        <v>51.1</v>
      </c>
      <c r="T382">
        <v>5.0632911390000004</v>
      </c>
      <c r="U382">
        <v>5.0632911390000004</v>
      </c>
      <c r="V382">
        <v>8</v>
      </c>
      <c r="W382">
        <v>7</v>
      </c>
      <c r="X382">
        <v>9</v>
      </c>
      <c r="Y382">
        <v>1</v>
      </c>
      <c r="Z382">
        <v>12.5</v>
      </c>
      <c r="AA382" t="s">
        <v>66</v>
      </c>
      <c r="AB382" t="s">
        <v>66</v>
      </c>
      <c r="AC382" t="s">
        <v>66</v>
      </c>
      <c r="AD382" t="s">
        <v>66</v>
      </c>
      <c r="AE382">
        <v>50</v>
      </c>
      <c r="AF382">
        <v>51</v>
      </c>
      <c r="AG382" t="s">
        <v>66</v>
      </c>
      <c r="AH382">
        <v>34</v>
      </c>
      <c r="AI382">
        <v>31</v>
      </c>
      <c r="AJ382" t="s">
        <v>66</v>
      </c>
      <c r="AK382">
        <v>16</v>
      </c>
      <c r="AL382">
        <v>20</v>
      </c>
      <c r="AM382">
        <v>25</v>
      </c>
      <c r="AN382">
        <v>25.5</v>
      </c>
      <c r="AO382">
        <v>2</v>
      </c>
      <c r="AP382">
        <v>2</v>
      </c>
      <c r="AQ382">
        <v>2</v>
      </c>
      <c r="AR382">
        <v>2</v>
      </c>
      <c r="AS382">
        <v>0</v>
      </c>
      <c r="AT382">
        <v>0</v>
      </c>
      <c r="AU382" t="s">
        <v>66</v>
      </c>
      <c r="AV382">
        <v>0</v>
      </c>
      <c r="AW382">
        <v>1</v>
      </c>
      <c r="AX382">
        <v>0</v>
      </c>
      <c r="AY382">
        <v>1</v>
      </c>
      <c r="AZ382">
        <v>1</v>
      </c>
      <c r="BA382">
        <v>1</v>
      </c>
      <c r="BB382" t="s">
        <v>66</v>
      </c>
      <c r="BC382">
        <v>41.2</v>
      </c>
      <c r="BD382">
        <v>56.5</v>
      </c>
      <c r="BE382">
        <v>37.13592233</v>
      </c>
      <c r="BF382">
        <v>0</v>
      </c>
      <c r="BG382">
        <v>56.5</v>
      </c>
      <c r="BH382">
        <v>37.13592233</v>
      </c>
      <c r="BI382">
        <v>87</v>
      </c>
      <c r="BJ382">
        <v>10.3</v>
      </c>
      <c r="BK382" t="s">
        <v>66</v>
      </c>
      <c r="BL382">
        <f>87-34</f>
        <v>53</v>
      </c>
      <c r="BM382">
        <v>43</v>
      </c>
      <c r="BN382">
        <v>14</v>
      </c>
      <c r="BO382">
        <f t="shared" si="62"/>
        <v>28.5</v>
      </c>
      <c r="BP382">
        <v>4</v>
      </c>
      <c r="BQ382">
        <v>1</v>
      </c>
      <c r="BS382">
        <v>0</v>
      </c>
      <c r="BT382">
        <f t="shared" si="63"/>
        <v>9.1954022988505741</v>
      </c>
      <c r="BU382">
        <f t="shared" si="64"/>
        <v>22.330097087378647</v>
      </c>
      <c r="BV382">
        <f t="shared" si="65"/>
        <v>5.6603773584905666</v>
      </c>
      <c r="BW382">
        <f t="shared" si="66"/>
        <v>12.280701754385964</v>
      </c>
    </row>
    <row r="383" spans="1:75" x14ac:dyDescent="0.2">
      <c r="A383" t="s">
        <v>213</v>
      </c>
      <c r="B383" t="s">
        <v>235</v>
      </c>
      <c r="C383" t="s">
        <v>106</v>
      </c>
      <c r="D383" t="s">
        <v>342</v>
      </c>
      <c r="E383" t="s">
        <v>371</v>
      </c>
      <c r="F383" t="s">
        <v>517</v>
      </c>
      <c r="G383">
        <v>8.65</v>
      </c>
      <c r="H383">
        <v>13.05</v>
      </c>
      <c r="I383">
        <v>14.95</v>
      </c>
      <c r="J383">
        <v>14.4</v>
      </c>
      <c r="K383">
        <v>51.05</v>
      </c>
      <c r="L383">
        <v>3.2369942200000001</v>
      </c>
      <c r="M383">
        <v>64</v>
      </c>
      <c r="N383">
        <v>78</v>
      </c>
      <c r="O383">
        <v>14</v>
      </c>
      <c r="P383">
        <v>81</v>
      </c>
      <c r="Q383">
        <v>17</v>
      </c>
      <c r="R383">
        <v>8.5</v>
      </c>
      <c r="S383">
        <v>64.099999999999994</v>
      </c>
      <c r="T383">
        <v>26.5625</v>
      </c>
      <c r="U383">
        <v>3.846153846</v>
      </c>
      <c r="V383">
        <v>7</v>
      </c>
      <c r="W383">
        <v>7</v>
      </c>
      <c r="X383">
        <v>8</v>
      </c>
      <c r="Y383">
        <v>1</v>
      </c>
      <c r="Z383">
        <v>14.28571429</v>
      </c>
      <c r="AA383" t="s">
        <v>66</v>
      </c>
      <c r="AB383" t="s">
        <v>66</v>
      </c>
      <c r="AC383" t="s">
        <v>66</v>
      </c>
      <c r="AD383" t="s">
        <v>66</v>
      </c>
      <c r="AE383">
        <v>43</v>
      </c>
      <c r="AF383">
        <v>42</v>
      </c>
      <c r="AG383" t="s">
        <v>66</v>
      </c>
      <c r="AH383">
        <v>35</v>
      </c>
      <c r="AI383">
        <v>25</v>
      </c>
      <c r="AJ383" t="s">
        <v>66</v>
      </c>
      <c r="AK383">
        <v>12</v>
      </c>
      <c r="AL383">
        <v>10</v>
      </c>
      <c r="AM383">
        <v>23.5</v>
      </c>
      <c r="AN383">
        <v>17.5</v>
      </c>
      <c r="AO383">
        <v>-25.531914889999999</v>
      </c>
      <c r="AP383">
        <v>-2.3255813949999999</v>
      </c>
      <c r="AQ383">
        <v>1.8297872340000001</v>
      </c>
      <c r="AR383">
        <v>2.4</v>
      </c>
      <c r="AS383">
        <v>0.57021276600000004</v>
      </c>
      <c r="AT383">
        <v>0</v>
      </c>
      <c r="AU383" t="s">
        <v>66</v>
      </c>
      <c r="AV383">
        <v>3</v>
      </c>
      <c r="AW383">
        <v>1</v>
      </c>
      <c r="AX383">
        <v>0</v>
      </c>
      <c r="AY383">
        <v>1</v>
      </c>
      <c r="AZ383">
        <v>1</v>
      </c>
      <c r="BA383">
        <v>1</v>
      </c>
      <c r="BB383" t="s">
        <v>66</v>
      </c>
      <c r="BC383">
        <v>51.3</v>
      </c>
      <c r="BD383">
        <v>53.8</v>
      </c>
      <c r="BE383">
        <v>4.8732943469999999</v>
      </c>
      <c r="BF383">
        <v>0</v>
      </c>
      <c r="BG383">
        <v>53.8</v>
      </c>
      <c r="BH383">
        <v>4.8732943469999999</v>
      </c>
      <c r="BI383">
        <v>32</v>
      </c>
      <c r="BJ383">
        <v>4.2</v>
      </c>
      <c r="BK383" t="s">
        <v>66</v>
      </c>
      <c r="BL383">
        <v>6</v>
      </c>
      <c r="BM383">
        <v>5</v>
      </c>
      <c r="BN383">
        <v>4</v>
      </c>
      <c r="BO383">
        <f t="shared" si="62"/>
        <v>4.5</v>
      </c>
      <c r="BP383">
        <v>4</v>
      </c>
      <c r="BQ383">
        <v>1</v>
      </c>
      <c r="BS383">
        <v>0</v>
      </c>
      <c r="BT383">
        <f t="shared" si="63"/>
        <v>-100</v>
      </c>
      <c r="BU383">
        <f t="shared" si="64"/>
        <v>-66.666666666666657</v>
      </c>
      <c r="BV383">
        <f t="shared" si="65"/>
        <v>-616.66666666666674</v>
      </c>
      <c r="BW383">
        <f t="shared" si="66"/>
        <v>-422.22222222222223</v>
      </c>
    </row>
    <row r="384" spans="1:75" x14ac:dyDescent="0.2">
      <c r="A384" t="s">
        <v>213</v>
      </c>
      <c r="B384" t="s">
        <v>235</v>
      </c>
      <c r="C384" t="s">
        <v>106</v>
      </c>
      <c r="D384" t="s">
        <v>342</v>
      </c>
      <c r="E384" t="s">
        <v>373</v>
      </c>
      <c r="F384" t="s">
        <v>518</v>
      </c>
      <c r="G384">
        <v>8.65</v>
      </c>
      <c r="H384">
        <v>13.05</v>
      </c>
      <c r="I384">
        <v>14.95</v>
      </c>
      <c r="J384">
        <v>14.4</v>
      </c>
      <c r="K384">
        <v>51.05</v>
      </c>
      <c r="L384">
        <v>3.2369942200000001</v>
      </c>
      <c r="M384">
        <v>88</v>
      </c>
      <c r="N384">
        <v>96</v>
      </c>
      <c r="O384">
        <v>8</v>
      </c>
      <c r="P384">
        <v>103</v>
      </c>
      <c r="Q384">
        <v>15</v>
      </c>
      <c r="R384">
        <v>7.5</v>
      </c>
      <c r="S384">
        <v>62.1</v>
      </c>
      <c r="T384">
        <v>17.045454549999999</v>
      </c>
      <c r="U384">
        <v>7.2916666670000003</v>
      </c>
      <c r="V384">
        <v>9</v>
      </c>
      <c r="W384">
        <v>12</v>
      </c>
      <c r="X384">
        <v>10</v>
      </c>
      <c r="Y384">
        <v>1</v>
      </c>
      <c r="Z384">
        <v>11.11111111</v>
      </c>
      <c r="AA384" t="s">
        <v>66</v>
      </c>
      <c r="AB384" t="s">
        <v>66</v>
      </c>
      <c r="AC384" t="s">
        <v>66</v>
      </c>
      <c r="AD384" t="s">
        <v>66</v>
      </c>
      <c r="AE384">
        <v>74</v>
      </c>
      <c r="AF384">
        <v>67</v>
      </c>
      <c r="AG384" t="s">
        <v>66</v>
      </c>
      <c r="AH384">
        <v>29</v>
      </c>
      <c r="AI384">
        <v>24</v>
      </c>
      <c r="AJ384" t="s">
        <v>66</v>
      </c>
      <c r="AK384">
        <v>18</v>
      </c>
      <c r="AL384">
        <v>15</v>
      </c>
      <c r="AM384">
        <v>23.5</v>
      </c>
      <c r="AN384">
        <v>19.5</v>
      </c>
      <c r="AO384">
        <v>-17.0212766</v>
      </c>
      <c r="AP384">
        <v>-9.4594594589999996</v>
      </c>
      <c r="AQ384">
        <v>3.1489361699999998</v>
      </c>
      <c r="AR384">
        <v>3.4358974359999999</v>
      </c>
      <c r="AS384">
        <v>0.28696126599999999</v>
      </c>
      <c r="AT384">
        <v>0</v>
      </c>
      <c r="AU384" t="s">
        <v>66</v>
      </c>
      <c r="AV384">
        <v>0</v>
      </c>
      <c r="AW384">
        <v>1</v>
      </c>
      <c r="AX384">
        <v>0</v>
      </c>
      <c r="AY384">
        <v>1</v>
      </c>
      <c r="AZ384">
        <v>1</v>
      </c>
      <c r="BA384">
        <v>1</v>
      </c>
      <c r="BB384" t="s">
        <v>66</v>
      </c>
      <c r="BC384">
        <v>41.7</v>
      </c>
      <c r="BD384">
        <v>59.9</v>
      </c>
      <c r="BE384">
        <v>43.645083929999998</v>
      </c>
      <c r="BF384">
        <v>0</v>
      </c>
      <c r="BG384">
        <v>59.9</v>
      </c>
      <c r="BH384">
        <v>43.645083929999998</v>
      </c>
      <c r="BI384">
        <v>126</v>
      </c>
      <c r="BJ384">
        <v>10.5</v>
      </c>
      <c r="BK384" t="s">
        <v>66</v>
      </c>
      <c r="BL384">
        <f>126-58</f>
        <v>68</v>
      </c>
      <c r="BM384">
        <v>33</v>
      </c>
      <c r="BN384">
        <v>18</v>
      </c>
      <c r="BO384">
        <f t="shared" si="62"/>
        <v>25.5</v>
      </c>
      <c r="BP384">
        <v>4</v>
      </c>
      <c r="BQ384">
        <v>1</v>
      </c>
      <c r="BS384">
        <v>0</v>
      </c>
      <c r="BT384">
        <f t="shared" si="63"/>
        <v>30.158730158730158</v>
      </c>
      <c r="BU384">
        <f t="shared" si="64"/>
        <v>14.285714285714285</v>
      </c>
      <c r="BV384">
        <f t="shared" si="65"/>
        <v>-8.8235294117647065</v>
      </c>
      <c r="BW384">
        <f t="shared" si="66"/>
        <v>7.8431372549019605</v>
      </c>
    </row>
    <row r="385" spans="1:75" x14ac:dyDescent="0.2">
      <c r="A385" t="s">
        <v>213</v>
      </c>
      <c r="B385" t="s">
        <v>235</v>
      </c>
      <c r="C385" t="s">
        <v>106</v>
      </c>
      <c r="D385" t="s">
        <v>342</v>
      </c>
      <c r="E385" t="s">
        <v>375</v>
      </c>
      <c r="F385" t="s">
        <v>519</v>
      </c>
      <c r="G385">
        <v>8.65</v>
      </c>
      <c r="H385">
        <v>13.05</v>
      </c>
      <c r="I385">
        <v>14.95</v>
      </c>
      <c r="J385">
        <v>14.4</v>
      </c>
      <c r="K385">
        <v>51.05</v>
      </c>
      <c r="L385">
        <v>3.2369942200000001</v>
      </c>
      <c r="M385">
        <v>125</v>
      </c>
      <c r="N385">
        <v>161</v>
      </c>
      <c r="O385">
        <v>36</v>
      </c>
      <c r="P385">
        <v>161</v>
      </c>
      <c r="Q385">
        <v>36</v>
      </c>
      <c r="R385">
        <v>18</v>
      </c>
      <c r="S385">
        <v>83.1</v>
      </c>
      <c r="T385">
        <v>28.8</v>
      </c>
      <c r="U385">
        <v>0</v>
      </c>
      <c r="V385">
        <v>11</v>
      </c>
      <c r="W385">
        <v>2</v>
      </c>
      <c r="X385">
        <v>17</v>
      </c>
      <c r="Y385">
        <v>6</v>
      </c>
      <c r="Z385">
        <v>54.545454550000002</v>
      </c>
      <c r="AA385" t="s">
        <v>66</v>
      </c>
      <c r="AB385">
        <v>3</v>
      </c>
      <c r="AC385">
        <v>4</v>
      </c>
      <c r="AD385" t="s">
        <v>66</v>
      </c>
      <c r="AE385">
        <v>126</v>
      </c>
      <c r="AF385">
        <v>120</v>
      </c>
      <c r="AG385" t="s">
        <v>66</v>
      </c>
      <c r="AH385">
        <v>80</v>
      </c>
      <c r="AI385">
        <v>66</v>
      </c>
      <c r="AJ385" t="s">
        <v>66</v>
      </c>
      <c r="AK385">
        <v>45</v>
      </c>
      <c r="AL385">
        <v>50</v>
      </c>
      <c r="AM385">
        <v>62.5</v>
      </c>
      <c r="AN385">
        <v>58</v>
      </c>
      <c r="AO385">
        <v>-7.2</v>
      </c>
      <c r="AP385">
        <v>-4.7619047620000003</v>
      </c>
      <c r="AQ385">
        <v>2.016</v>
      </c>
      <c r="AR385">
        <v>2.0689655170000001</v>
      </c>
      <c r="AS385">
        <v>5.2965516999999997E-2</v>
      </c>
      <c r="AT385">
        <v>0</v>
      </c>
      <c r="AU385" t="s">
        <v>66</v>
      </c>
      <c r="AV385">
        <v>0</v>
      </c>
      <c r="AW385">
        <v>0</v>
      </c>
      <c r="AX385">
        <v>0</v>
      </c>
      <c r="AY385">
        <v>1</v>
      </c>
      <c r="AZ385">
        <v>1</v>
      </c>
      <c r="BA385">
        <v>1</v>
      </c>
      <c r="BB385" t="s">
        <v>66</v>
      </c>
      <c r="BC385">
        <v>50.5</v>
      </c>
      <c r="BD385">
        <v>58.8</v>
      </c>
      <c r="BE385">
        <v>16.435643559999999</v>
      </c>
      <c r="BF385">
        <v>0</v>
      </c>
      <c r="BG385">
        <v>58.8</v>
      </c>
      <c r="BH385">
        <v>16.435643559999999</v>
      </c>
      <c r="BI385">
        <v>159</v>
      </c>
      <c r="BJ385">
        <v>16.5</v>
      </c>
      <c r="BK385">
        <v>2.2000000000000002</v>
      </c>
      <c r="BL385">
        <f>159-45</f>
        <v>114</v>
      </c>
      <c r="BM385">
        <v>80</v>
      </c>
      <c r="BN385">
        <v>70</v>
      </c>
      <c r="BO385">
        <f t="shared" si="62"/>
        <v>75</v>
      </c>
      <c r="BP385">
        <v>4</v>
      </c>
      <c r="BQ385">
        <v>1</v>
      </c>
      <c r="BS385">
        <v>0</v>
      </c>
      <c r="BT385">
        <f t="shared" si="63"/>
        <v>21.383647798742139</v>
      </c>
      <c r="BU385">
        <f t="shared" si="64"/>
        <v>33.333333333333329</v>
      </c>
      <c r="BV385">
        <f t="shared" si="65"/>
        <v>-10.526315789473683</v>
      </c>
      <c r="BW385">
        <f t="shared" si="66"/>
        <v>16.666666666666664</v>
      </c>
    </row>
    <row r="386" spans="1:75" x14ac:dyDescent="0.2">
      <c r="A386" t="s">
        <v>213</v>
      </c>
      <c r="B386" t="s">
        <v>235</v>
      </c>
      <c r="C386" t="s">
        <v>106</v>
      </c>
      <c r="D386" t="s">
        <v>342</v>
      </c>
      <c r="E386" t="s">
        <v>377</v>
      </c>
      <c r="F386" t="s">
        <v>520</v>
      </c>
      <c r="G386">
        <v>8.65</v>
      </c>
      <c r="H386">
        <v>13.05</v>
      </c>
      <c r="I386">
        <v>14.95</v>
      </c>
      <c r="J386">
        <v>14.4</v>
      </c>
      <c r="K386">
        <v>51.05</v>
      </c>
      <c r="L386">
        <v>3.2369942200000001</v>
      </c>
      <c r="M386">
        <v>190</v>
      </c>
      <c r="N386">
        <v>280</v>
      </c>
      <c r="O386">
        <v>90</v>
      </c>
      <c r="P386">
        <v>303</v>
      </c>
      <c r="Q386">
        <v>113</v>
      </c>
      <c r="R386">
        <v>56.5</v>
      </c>
      <c r="S386">
        <v>160.1</v>
      </c>
      <c r="T386">
        <v>59.473684210000002</v>
      </c>
      <c r="U386">
        <v>8.2142857140000007</v>
      </c>
      <c r="V386">
        <v>16</v>
      </c>
      <c r="W386">
        <v>29</v>
      </c>
      <c r="X386">
        <v>28</v>
      </c>
      <c r="Y386">
        <v>12</v>
      </c>
      <c r="Z386">
        <v>75</v>
      </c>
      <c r="AA386">
        <v>7</v>
      </c>
      <c r="AB386">
        <v>10</v>
      </c>
      <c r="AC386">
        <v>13</v>
      </c>
      <c r="AD386" t="s">
        <v>66</v>
      </c>
      <c r="AE386">
        <v>198</v>
      </c>
      <c r="AF386">
        <v>221</v>
      </c>
      <c r="AG386" t="s">
        <v>66</v>
      </c>
      <c r="AH386">
        <v>95</v>
      </c>
      <c r="AI386">
        <v>81</v>
      </c>
      <c r="AJ386" t="s">
        <v>66</v>
      </c>
      <c r="AK386">
        <v>78</v>
      </c>
      <c r="AL386">
        <v>76</v>
      </c>
      <c r="AM386">
        <v>86.5</v>
      </c>
      <c r="AN386">
        <v>78.5</v>
      </c>
      <c r="AO386">
        <v>-9.2485549129999995</v>
      </c>
      <c r="AP386">
        <v>11.61616162</v>
      </c>
      <c r="AQ386">
        <v>2.2890173410000001</v>
      </c>
      <c r="AR386">
        <v>2.8152866240000001</v>
      </c>
      <c r="AS386">
        <v>0.52626928299999998</v>
      </c>
      <c r="AT386">
        <v>0</v>
      </c>
      <c r="AU386" t="s">
        <v>66</v>
      </c>
      <c r="AV386">
        <v>1</v>
      </c>
      <c r="AW386">
        <v>1</v>
      </c>
      <c r="AX386">
        <v>0</v>
      </c>
      <c r="AY386">
        <v>1</v>
      </c>
      <c r="AZ386">
        <v>1</v>
      </c>
      <c r="BA386">
        <v>1</v>
      </c>
      <c r="BB386" t="s">
        <v>66</v>
      </c>
      <c r="BC386">
        <v>52.3</v>
      </c>
      <c r="BD386">
        <v>49.1</v>
      </c>
      <c r="BE386">
        <v>-6.118546845</v>
      </c>
      <c r="BF386">
        <v>0</v>
      </c>
      <c r="BG386">
        <v>49.1</v>
      </c>
      <c r="BH386">
        <v>-6.118546845</v>
      </c>
      <c r="BI386">
        <f>325+122</f>
        <v>447</v>
      </c>
      <c r="BJ386">
        <v>38.799999999999997</v>
      </c>
      <c r="BK386">
        <v>19.5</v>
      </c>
      <c r="BL386">
        <f>325-122</f>
        <v>203</v>
      </c>
      <c r="BM386">
        <v>90</v>
      </c>
      <c r="BN386">
        <v>80</v>
      </c>
      <c r="BO386">
        <f t="shared" si="62"/>
        <v>85</v>
      </c>
      <c r="BP386">
        <v>3</v>
      </c>
      <c r="BQ386">
        <v>1</v>
      </c>
      <c r="BS386">
        <v>0</v>
      </c>
      <c r="BT386">
        <f t="shared" si="63"/>
        <v>57.494407158836694</v>
      </c>
      <c r="BU386">
        <f t="shared" si="64"/>
        <v>58.762886597938149</v>
      </c>
      <c r="BV386">
        <f t="shared" si="65"/>
        <v>2.4630541871921183</v>
      </c>
      <c r="BW386">
        <f t="shared" si="66"/>
        <v>-1.7647058823529411</v>
      </c>
    </row>
    <row r="387" spans="1:75" x14ac:dyDescent="0.2">
      <c r="A387" t="s">
        <v>213</v>
      </c>
      <c r="B387" t="s">
        <v>235</v>
      </c>
      <c r="C387" t="s">
        <v>106</v>
      </c>
      <c r="D387" t="s">
        <v>342</v>
      </c>
      <c r="E387" t="s">
        <v>379</v>
      </c>
      <c r="F387" t="s">
        <v>521</v>
      </c>
      <c r="G387">
        <v>8.65</v>
      </c>
      <c r="H387">
        <v>13.05</v>
      </c>
      <c r="I387">
        <v>14.95</v>
      </c>
      <c r="J387">
        <v>14.4</v>
      </c>
      <c r="K387">
        <v>51.05</v>
      </c>
      <c r="L387">
        <v>3.2369942200000001</v>
      </c>
      <c r="M387">
        <v>51</v>
      </c>
      <c r="N387">
        <v>70</v>
      </c>
      <c r="O387">
        <v>19</v>
      </c>
      <c r="P387">
        <v>72</v>
      </c>
      <c r="Q387">
        <v>21</v>
      </c>
      <c r="R387">
        <v>10.5</v>
      </c>
      <c r="S387">
        <v>68.099999999999994</v>
      </c>
      <c r="T387">
        <v>41.176470590000001</v>
      </c>
      <c r="U387">
        <v>2.8571428569999999</v>
      </c>
      <c r="V387">
        <v>4</v>
      </c>
      <c r="W387">
        <v>6</v>
      </c>
      <c r="X387">
        <v>7</v>
      </c>
      <c r="Y387">
        <v>3</v>
      </c>
      <c r="Z387">
        <v>75</v>
      </c>
      <c r="AA387" t="s">
        <v>66</v>
      </c>
      <c r="AB387" t="s">
        <v>66</v>
      </c>
      <c r="AC387" t="s">
        <v>66</v>
      </c>
      <c r="AD387" t="s">
        <v>66</v>
      </c>
      <c r="AE387">
        <v>40</v>
      </c>
      <c r="AF387">
        <v>36</v>
      </c>
      <c r="AG387" t="s">
        <v>66</v>
      </c>
      <c r="AH387">
        <v>35</v>
      </c>
      <c r="AI387">
        <v>29</v>
      </c>
      <c r="AJ387" t="s">
        <v>66</v>
      </c>
      <c r="AK387">
        <v>29</v>
      </c>
      <c r="AL387">
        <v>25</v>
      </c>
      <c r="AM387">
        <v>32</v>
      </c>
      <c r="AN387">
        <v>27</v>
      </c>
      <c r="AO387">
        <v>-15.625</v>
      </c>
      <c r="AP387">
        <v>-10</v>
      </c>
      <c r="AQ387">
        <v>1.25</v>
      </c>
      <c r="AR387">
        <v>1.3333333329999999</v>
      </c>
      <c r="AS387">
        <v>8.3333332999999996E-2</v>
      </c>
      <c r="AT387">
        <v>0</v>
      </c>
      <c r="AU387" t="s">
        <v>66</v>
      </c>
      <c r="AV387">
        <v>1</v>
      </c>
      <c r="AW387">
        <v>1</v>
      </c>
      <c r="AX387">
        <v>0</v>
      </c>
      <c r="AY387">
        <v>1</v>
      </c>
      <c r="AZ387">
        <v>1</v>
      </c>
      <c r="BA387">
        <v>1</v>
      </c>
      <c r="BB387" t="s">
        <v>66</v>
      </c>
      <c r="BC387">
        <v>46.7</v>
      </c>
      <c r="BD387">
        <v>47</v>
      </c>
      <c r="BE387">
        <v>0.64239828700000001</v>
      </c>
      <c r="BF387">
        <v>0</v>
      </c>
      <c r="BG387">
        <v>47</v>
      </c>
      <c r="BH387">
        <v>0.64239828700000001</v>
      </c>
      <c r="BI387">
        <v>43</v>
      </c>
      <c r="BJ387">
        <v>6</v>
      </c>
      <c r="BK387" t="s">
        <v>66</v>
      </c>
      <c r="BL387">
        <v>36</v>
      </c>
      <c r="BM387">
        <v>8</v>
      </c>
      <c r="BN387">
        <v>4</v>
      </c>
      <c r="BO387">
        <f t="shared" si="62"/>
        <v>6</v>
      </c>
      <c r="BP387">
        <v>4</v>
      </c>
      <c r="BQ387">
        <v>1</v>
      </c>
      <c r="BS387">
        <v>0</v>
      </c>
      <c r="BT387">
        <f t="shared" si="63"/>
        <v>-18.604651162790699</v>
      </c>
      <c r="BU387">
        <f t="shared" si="64"/>
        <v>33.333333333333329</v>
      </c>
      <c r="BV387">
        <f t="shared" si="65"/>
        <v>-11.111111111111111</v>
      </c>
      <c r="BW387">
        <f t="shared" si="66"/>
        <v>-433.33333333333331</v>
      </c>
    </row>
    <row r="388" spans="1:75" x14ac:dyDescent="0.2">
      <c r="A388" t="s">
        <v>213</v>
      </c>
      <c r="B388" t="s">
        <v>235</v>
      </c>
      <c r="C388" t="s">
        <v>106</v>
      </c>
      <c r="D388" t="s">
        <v>342</v>
      </c>
      <c r="E388" t="s">
        <v>343</v>
      </c>
      <c r="F388" t="s">
        <v>503</v>
      </c>
      <c r="G388">
        <v>8.65</v>
      </c>
      <c r="H388">
        <v>13.05</v>
      </c>
      <c r="I388">
        <v>14.95</v>
      </c>
      <c r="J388">
        <v>14.4</v>
      </c>
      <c r="K388">
        <v>51.05</v>
      </c>
      <c r="L388">
        <v>3.2369942200000001</v>
      </c>
      <c r="M388">
        <v>124</v>
      </c>
      <c r="N388">
        <v>148</v>
      </c>
      <c r="O388">
        <v>24</v>
      </c>
      <c r="P388">
        <v>163</v>
      </c>
      <c r="Q388">
        <v>39</v>
      </c>
      <c r="R388">
        <v>19.5</v>
      </c>
      <c r="S388">
        <v>86.1</v>
      </c>
      <c r="T388">
        <v>31.451612900000001</v>
      </c>
      <c r="U388">
        <v>10.135135139999999</v>
      </c>
      <c r="V388">
        <v>16</v>
      </c>
      <c r="W388">
        <v>21</v>
      </c>
      <c r="X388">
        <v>19</v>
      </c>
      <c r="Y388">
        <v>3</v>
      </c>
      <c r="Z388">
        <v>18.75</v>
      </c>
      <c r="AA388" t="s">
        <v>66</v>
      </c>
      <c r="AB388">
        <v>2</v>
      </c>
      <c r="AC388">
        <v>4</v>
      </c>
      <c r="AD388" t="s">
        <v>66</v>
      </c>
      <c r="AE388">
        <v>109</v>
      </c>
      <c r="AF388">
        <v>110</v>
      </c>
      <c r="AG388" t="s">
        <v>66</v>
      </c>
      <c r="AH388">
        <v>65</v>
      </c>
      <c r="AI388">
        <v>72</v>
      </c>
      <c r="AJ388" t="s">
        <v>66</v>
      </c>
      <c r="AK388">
        <v>38</v>
      </c>
      <c r="AL388">
        <v>35</v>
      </c>
      <c r="AM388">
        <v>51.5</v>
      </c>
      <c r="AN388">
        <v>53.5</v>
      </c>
      <c r="AO388">
        <v>3.883495146</v>
      </c>
      <c r="AP388">
        <v>0.91743119299999998</v>
      </c>
      <c r="AQ388">
        <v>2.116504854</v>
      </c>
      <c r="AR388">
        <v>2.0560747660000001</v>
      </c>
      <c r="AS388">
        <v>-6.0430088E-2</v>
      </c>
      <c r="AT388">
        <v>0</v>
      </c>
      <c r="AU388" t="s">
        <v>66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 t="s">
        <v>66</v>
      </c>
      <c r="BC388">
        <v>47.5</v>
      </c>
      <c r="BD388">
        <v>64.900000000000006</v>
      </c>
      <c r="BE388">
        <v>36.631578949999998</v>
      </c>
      <c r="BF388">
        <v>0</v>
      </c>
      <c r="BG388">
        <v>64.900000000000006</v>
      </c>
      <c r="BH388">
        <v>36.631578949999998</v>
      </c>
      <c r="BI388">
        <v>230</v>
      </c>
      <c r="BJ388">
        <v>12</v>
      </c>
      <c r="BK388">
        <v>7.9</v>
      </c>
      <c r="BL388">
        <f>230-70</f>
        <v>160</v>
      </c>
      <c r="BM388">
        <v>79</v>
      </c>
      <c r="BN388">
        <v>32</v>
      </c>
      <c r="BO388">
        <f t="shared" si="62"/>
        <v>55.5</v>
      </c>
      <c r="BP388">
        <v>4</v>
      </c>
      <c r="BQ388">
        <v>1</v>
      </c>
      <c r="BS388">
        <v>0</v>
      </c>
      <c r="BT388">
        <f t="shared" si="63"/>
        <v>46.086956521739133</v>
      </c>
      <c r="BU388">
        <f t="shared" si="64"/>
        <v>-33.333333333333329</v>
      </c>
      <c r="BV388">
        <f t="shared" si="65"/>
        <v>31.874999999999996</v>
      </c>
      <c r="BW388">
        <f t="shared" si="66"/>
        <v>7.2072072072072073</v>
      </c>
    </row>
    <row r="389" spans="1:75" x14ac:dyDescent="0.2">
      <c r="A389" t="s">
        <v>213</v>
      </c>
      <c r="B389" t="s">
        <v>235</v>
      </c>
      <c r="C389" t="s">
        <v>106</v>
      </c>
      <c r="D389" t="s">
        <v>342</v>
      </c>
      <c r="E389" t="s">
        <v>347</v>
      </c>
      <c r="F389" t="s">
        <v>505</v>
      </c>
      <c r="G389">
        <v>8.65</v>
      </c>
      <c r="H389">
        <v>13.05</v>
      </c>
      <c r="I389">
        <v>14.95</v>
      </c>
      <c r="J389">
        <v>14.4</v>
      </c>
      <c r="K389">
        <v>51.05</v>
      </c>
      <c r="L389">
        <v>3.2369942200000001</v>
      </c>
      <c r="M389">
        <v>102</v>
      </c>
      <c r="N389">
        <v>115</v>
      </c>
      <c r="O389">
        <v>13</v>
      </c>
      <c r="P389">
        <v>122</v>
      </c>
      <c r="Q389">
        <v>20</v>
      </c>
      <c r="R389">
        <v>10</v>
      </c>
      <c r="S389">
        <v>67.099999999999994</v>
      </c>
      <c r="T389">
        <v>19.60784314</v>
      </c>
      <c r="U389">
        <v>6.0869565220000004</v>
      </c>
      <c r="V389">
        <v>11</v>
      </c>
      <c r="W389">
        <v>12</v>
      </c>
      <c r="X389">
        <v>15</v>
      </c>
      <c r="Y389">
        <v>4</v>
      </c>
      <c r="Z389">
        <v>36.363636360000001</v>
      </c>
      <c r="AA389" t="s">
        <v>66</v>
      </c>
      <c r="AB389" t="s">
        <v>66</v>
      </c>
      <c r="AC389" t="s">
        <v>66</v>
      </c>
      <c r="AD389" t="s">
        <v>66</v>
      </c>
      <c r="AE389">
        <v>81</v>
      </c>
      <c r="AF389">
        <v>86</v>
      </c>
      <c r="AG389" t="s">
        <v>66</v>
      </c>
      <c r="AH389">
        <v>21</v>
      </c>
      <c r="AI389">
        <v>32</v>
      </c>
      <c r="AJ389" t="s">
        <v>66</v>
      </c>
      <c r="AK389">
        <v>18</v>
      </c>
      <c r="AL389">
        <v>25</v>
      </c>
      <c r="AM389">
        <v>19.5</v>
      </c>
      <c r="AN389">
        <v>28.5</v>
      </c>
      <c r="AO389">
        <v>46.15384615</v>
      </c>
      <c r="AP389">
        <v>6.1728395059999999</v>
      </c>
      <c r="AQ389">
        <v>4.153846154</v>
      </c>
      <c r="AR389">
        <v>3.01754386</v>
      </c>
      <c r="AS389">
        <v>-1.136302294</v>
      </c>
      <c r="AT389">
        <v>0</v>
      </c>
      <c r="AU389" t="s">
        <v>66</v>
      </c>
      <c r="AV389">
        <v>1</v>
      </c>
      <c r="AW389">
        <v>3</v>
      </c>
      <c r="AX389">
        <v>1</v>
      </c>
      <c r="AY389">
        <v>1</v>
      </c>
      <c r="AZ389">
        <v>1</v>
      </c>
      <c r="BA389">
        <v>1</v>
      </c>
      <c r="BB389" t="s">
        <v>66</v>
      </c>
      <c r="BC389">
        <v>35.1</v>
      </c>
      <c r="BD389">
        <v>46.1</v>
      </c>
      <c r="BE389">
        <v>31.339031339999998</v>
      </c>
      <c r="BF389">
        <v>0</v>
      </c>
      <c r="BG389">
        <v>46.1</v>
      </c>
      <c r="BH389">
        <v>31.339031339999998</v>
      </c>
      <c r="BI389">
        <v>33</v>
      </c>
      <c r="BJ389">
        <v>13.5</v>
      </c>
      <c r="BK389" t="s">
        <v>66</v>
      </c>
      <c r="BL389">
        <v>29</v>
      </c>
      <c r="BM389">
        <v>19</v>
      </c>
      <c r="BN389">
        <v>11</v>
      </c>
      <c r="BO389">
        <f t="shared" si="62"/>
        <v>15</v>
      </c>
      <c r="BP389">
        <v>4</v>
      </c>
      <c r="BQ389">
        <v>1</v>
      </c>
      <c r="BS389">
        <v>0</v>
      </c>
      <c r="BT389">
        <f t="shared" si="63"/>
        <v>-209.09090909090909</v>
      </c>
      <c r="BU389">
        <f t="shared" si="64"/>
        <v>18.518518518518519</v>
      </c>
      <c r="BV389">
        <f t="shared" si="65"/>
        <v>-179.31034482758622</v>
      </c>
      <c r="BW389">
        <f t="shared" si="66"/>
        <v>-30</v>
      </c>
    </row>
    <row r="390" spans="1:75" x14ac:dyDescent="0.2">
      <c r="A390" t="s">
        <v>213</v>
      </c>
      <c r="B390" t="s">
        <v>235</v>
      </c>
      <c r="C390" t="s">
        <v>106</v>
      </c>
      <c r="D390" t="s">
        <v>342</v>
      </c>
      <c r="E390" t="s">
        <v>351</v>
      </c>
      <c r="F390" t="s">
        <v>507</v>
      </c>
      <c r="G390">
        <v>8.65</v>
      </c>
      <c r="H390">
        <v>13.05</v>
      </c>
      <c r="I390">
        <v>14.95</v>
      </c>
      <c r="J390">
        <v>14.4</v>
      </c>
      <c r="K390">
        <v>51.05</v>
      </c>
      <c r="L390">
        <v>3.2369942200000001</v>
      </c>
      <c r="M390">
        <v>119</v>
      </c>
      <c r="N390">
        <v>172</v>
      </c>
      <c r="O390">
        <v>53</v>
      </c>
      <c r="P390">
        <v>192</v>
      </c>
      <c r="Q390">
        <v>73</v>
      </c>
      <c r="R390">
        <v>36.5</v>
      </c>
      <c r="S390">
        <v>120.1</v>
      </c>
      <c r="T390">
        <v>61.344537819999999</v>
      </c>
      <c r="U390">
        <v>11.627906980000001</v>
      </c>
      <c r="V390">
        <v>11</v>
      </c>
      <c r="W390">
        <v>14</v>
      </c>
      <c r="X390">
        <v>17</v>
      </c>
      <c r="Y390">
        <v>6</v>
      </c>
      <c r="Z390">
        <v>54.545454550000002</v>
      </c>
      <c r="AA390" t="s">
        <v>66</v>
      </c>
      <c r="AB390">
        <v>4</v>
      </c>
      <c r="AC390">
        <v>7</v>
      </c>
      <c r="AD390" t="s">
        <v>66</v>
      </c>
      <c r="AE390">
        <v>142</v>
      </c>
      <c r="AF390">
        <v>147</v>
      </c>
      <c r="AG390" t="s">
        <v>66</v>
      </c>
      <c r="AH390">
        <v>73</v>
      </c>
      <c r="AI390">
        <v>75</v>
      </c>
      <c r="AJ390" t="s">
        <v>66</v>
      </c>
      <c r="AK390">
        <v>34</v>
      </c>
      <c r="AL390">
        <v>54</v>
      </c>
      <c r="AM390">
        <v>53.5</v>
      </c>
      <c r="AN390">
        <v>64.5</v>
      </c>
      <c r="AO390">
        <v>20.560747660000001</v>
      </c>
      <c r="AP390">
        <v>3.5211267610000001</v>
      </c>
      <c r="AQ390">
        <v>2.6542056070000002</v>
      </c>
      <c r="AR390">
        <v>2.2790697670000002</v>
      </c>
      <c r="AS390">
        <v>-0.37513584</v>
      </c>
      <c r="AT390">
        <v>0</v>
      </c>
      <c r="AU390" t="s">
        <v>66</v>
      </c>
      <c r="AV390">
        <v>0</v>
      </c>
      <c r="AW390">
        <v>1</v>
      </c>
      <c r="AX390">
        <v>1</v>
      </c>
      <c r="AY390">
        <v>1</v>
      </c>
      <c r="AZ390">
        <v>1</v>
      </c>
      <c r="BA390">
        <v>1</v>
      </c>
      <c r="BB390" t="s">
        <v>66</v>
      </c>
      <c r="BC390">
        <v>49.1</v>
      </c>
      <c r="BD390">
        <v>58.9</v>
      </c>
      <c r="BE390">
        <v>19.959266800000002</v>
      </c>
      <c r="BF390">
        <v>0</v>
      </c>
      <c r="BG390">
        <v>58.9</v>
      </c>
      <c r="BH390">
        <v>19.959266800000002</v>
      </c>
      <c r="BI390">
        <v>304</v>
      </c>
      <c r="BJ390">
        <v>22</v>
      </c>
      <c r="BK390">
        <v>10.199999999999999</v>
      </c>
      <c r="BL390">
        <f>304-84</f>
        <v>220</v>
      </c>
      <c r="BM390">
        <v>68</v>
      </c>
      <c r="BN390">
        <v>62</v>
      </c>
      <c r="BO390">
        <f t="shared" si="62"/>
        <v>65</v>
      </c>
      <c r="BP390">
        <v>4</v>
      </c>
      <c r="BQ390">
        <v>1</v>
      </c>
      <c r="BS390">
        <v>0</v>
      </c>
      <c r="BT390">
        <f t="shared" si="63"/>
        <v>60.855263157894733</v>
      </c>
      <c r="BU390">
        <f t="shared" si="64"/>
        <v>50</v>
      </c>
      <c r="BV390">
        <f t="shared" si="65"/>
        <v>35.454545454545453</v>
      </c>
      <c r="BW390">
        <f t="shared" si="66"/>
        <v>17.692307692307693</v>
      </c>
    </row>
    <row r="391" spans="1:75" x14ac:dyDescent="0.2">
      <c r="A391" t="s">
        <v>213</v>
      </c>
      <c r="B391" t="s">
        <v>235</v>
      </c>
      <c r="C391" t="s">
        <v>106</v>
      </c>
      <c r="D391" t="s">
        <v>342</v>
      </c>
      <c r="E391" t="s">
        <v>355</v>
      </c>
      <c r="F391" t="s">
        <v>509</v>
      </c>
      <c r="G391">
        <v>8.65</v>
      </c>
      <c r="H391">
        <v>13.05</v>
      </c>
      <c r="I391">
        <v>14.95</v>
      </c>
      <c r="J391">
        <v>14.4</v>
      </c>
      <c r="K391">
        <v>51.05</v>
      </c>
      <c r="L391">
        <v>3.2369942200000001</v>
      </c>
      <c r="M391">
        <v>116</v>
      </c>
      <c r="N391">
        <v>136</v>
      </c>
      <c r="O391">
        <v>20</v>
      </c>
      <c r="P391">
        <v>140</v>
      </c>
      <c r="Q391">
        <v>24</v>
      </c>
      <c r="R391">
        <v>12</v>
      </c>
      <c r="S391">
        <v>71.099999999999994</v>
      </c>
      <c r="T391">
        <v>20.689655170000002</v>
      </c>
      <c r="U391">
        <v>2.9411764709999999</v>
      </c>
      <c r="V391">
        <v>10</v>
      </c>
      <c r="W391">
        <v>12</v>
      </c>
      <c r="X391">
        <v>14</v>
      </c>
      <c r="Y391">
        <v>4</v>
      </c>
      <c r="Z391">
        <v>40</v>
      </c>
      <c r="AA391" t="s">
        <v>66</v>
      </c>
      <c r="AB391" t="s">
        <v>66</v>
      </c>
      <c r="AC391" t="s">
        <v>66</v>
      </c>
      <c r="AD391" t="s">
        <v>66</v>
      </c>
      <c r="AE391">
        <v>89</v>
      </c>
      <c r="AF391">
        <v>72</v>
      </c>
      <c r="AG391" t="s">
        <v>66</v>
      </c>
      <c r="AH391">
        <v>29</v>
      </c>
      <c r="AI391">
        <v>33</v>
      </c>
      <c r="AJ391" t="s">
        <v>66</v>
      </c>
      <c r="AK391">
        <v>12</v>
      </c>
      <c r="AL391">
        <v>13</v>
      </c>
      <c r="AM391">
        <v>20.5</v>
      </c>
      <c r="AN391">
        <v>23</v>
      </c>
      <c r="AO391">
        <v>12.195121950000001</v>
      </c>
      <c r="AP391">
        <v>-19.101123600000001</v>
      </c>
      <c r="AQ391">
        <v>4.3414634149999998</v>
      </c>
      <c r="AR391">
        <v>3.1304347830000001</v>
      </c>
      <c r="AS391">
        <v>-1.2110286320000001</v>
      </c>
      <c r="AT391">
        <v>0</v>
      </c>
      <c r="AU391" t="s">
        <v>66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 t="s">
        <v>66</v>
      </c>
      <c r="BC391">
        <v>41</v>
      </c>
      <c r="BD391">
        <v>51.3</v>
      </c>
      <c r="BE391">
        <v>25.12195122</v>
      </c>
      <c r="BF391">
        <v>0</v>
      </c>
      <c r="BG391">
        <v>51.3</v>
      </c>
      <c r="BH391">
        <v>25.12195122</v>
      </c>
      <c r="BI391">
        <v>113</v>
      </c>
      <c r="BJ391">
        <v>14</v>
      </c>
      <c r="BK391" t="s">
        <v>66</v>
      </c>
      <c r="BL391">
        <f>113-7</f>
        <v>106</v>
      </c>
      <c r="BM391">
        <v>40</v>
      </c>
      <c r="BN391">
        <v>34</v>
      </c>
      <c r="BO391">
        <f t="shared" si="62"/>
        <v>37</v>
      </c>
      <c r="BP391">
        <v>4</v>
      </c>
      <c r="BQ391">
        <v>1</v>
      </c>
      <c r="BS391">
        <v>0</v>
      </c>
      <c r="BT391">
        <f t="shared" si="63"/>
        <v>-2.6548672566371683</v>
      </c>
      <c r="BU391">
        <f t="shared" si="64"/>
        <v>28.571428571428569</v>
      </c>
      <c r="BV391">
        <f t="shared" si="65"/>
        <v>16.037735849056602</v>
      </c>
      <c r="BW391">
        <f t="shared" si="66"/>
        <v>44.594594594594597</v>
      </c>
    </row>
    <row r="392" spans="1:75" x14ac:dyDescent="0.2">
      <c r="A392" t="s">
        <v>213</v>
      </c>
      <c r="B392" t="s">
        <v>235</v>
      </c>
      <c r="C392" t="s">
        <v>106</v>
      </c>
      <c r="D392" t="s">
        <v>342</v>
      </c>
      <c r="E392" t="s">
        <v>357</v>
      </c>
      <c r="F392" t="s">
        <v>510</v>
      </c>
      <c r="G392">
        <v>8.65</v>
      </c>
      <c r="H392">
        <v>13.05</v>
      </c>
      <c r="I392">
        <v>14.95</v>
      </c>
      <c r="J392">
        <v>14.4</v>
      </c>
      <c r="K392">
        <v>51.05</v>
      </c>
      <c r="L392">
        <v>3.2369942200000001</v>
      </c>
      <c r="M392">
        <v>138</v>
      </c>
      <c r="N392">
        <v>147</v>
      </c>
      <c r="O392">
        <v>9</v>
      </c>
      <c r="P392">
        <v>149</v>
      </c>
      <c r="Q392">
        <v>11</v>
      </c>
      <c r="R392">
        <v>5.5</v>
      </c>
      <c r="S392">
        <v>58.1</v>
      </c>
      <c r="T392">
        <v>7.9710144930000002</v>
      </c>
      <c r="U392">
        <v>1.360544218</v>
      </c>
      <c r="V392">
        <v>16</v>
      </c>
      <c r="W392">
        <v>15</v>
      </c>
      <c r="X392">
        <v>16</v>
      </c>
      <c r="Y392">
        <v>0</v>
      </c>
      <c r="Z392">
        <v>0</v>
      </c>
      <c r="AA392" t="s">
        <v>66</v>
      </c>
      <c r="AB392">
        <v>2</v>
      </c>
      <c r="AC392">
        <v>2</v>
      </c>
      <c r="AD392" t="s">
        <v>66</v>
      </c>
      <c r="AE392">
        <v>90</v>
      </c>
      <c r="AF392">
        <v>74</v>
      </c>
      <c r="AG392" t="s">
        <v>66</v>
      </c>
      <c r="AH392">
        <v>52</v>
      </c>
      <c r="AI392">
        <v>40</v>
      </c>
      <c r="AJ392" t="s">
        <v>66</v>
      </c>
      <c r="AK392">
        <v>3</v>
      </c>
      <c r="AL392">
        <v>38</v>
      </c>
      <c r="AM392">
        <v>27.5</v>
      </c>
      <c r="AN392">
        <v>39</v>
      </c>
      <c r="AO392">
        <v>41.81818182</v>
      </c>
      <c r="AP392">
        <v>-17.777777780000001</v>
      </c>
      <c r="AQ392">
        <v>3.2727272730000001</v>
      </c>
      <c r="AR392">
        <v>1.897435897</v>
      </c>
      <c r="AS392">
        <v>-1.3752913760000001</v>
      </c>
      <c r="AT392">
        <v>0</v>
      </c>
      <c r="AU392" t="s">
        <v>66</v>
      </c>
      <c r="AV392">
        <v>0</v>
      </c>
      <c r="AW392">
        <v>1</v>
      </c>
      <c r="AX392">
        <v>1</v>
      </c>
      <c r="AY392">
        <v>1</v>
      </c>
      <c r="AZ392">
        <v>1</v>
      </c>
      <c r="BA392">
        <v>1</v>
      </c>
      <c r="BB392" t="s">
        <v>66</v>
      </c>
      <c r="BC392">
        <v>41</v>
      </c>
      <c r="BD392">
        <v>49</v>
      </c>
      <c r="BE392">
        <v>19.512195120000001</v>
      </c>
      <c r="BF392">
        <v>0</v>
      </c>
      <c r="BG392">
        <v>49</v>
      </c>
      <c r="BH392">
        <v>19.512195120000001</v>
      </c>
      <c r="BI392">
        <v>156</v>
      </c>
      <c r="BJ392">
        <v>16.100000000000001</v>
      </c>
      <c r="BK392">
        <v>4</v>
      </c>
      <c r="BL392">
        <f>156-61</f>
        <v>95</v>
      </c>
      <c r="BM392">
        <v>30</v>
      </c>
      <c r="BN392">
        <v>20</v>
      </c>
      <c r="BO392">
        <f t="shared" si="62"/>
        <v>25</v>
      </c>
      <c r="BP392">
        <v>3</v>
      </c>
      <c r="BQ392">
        <v>1</v>
      </c>
      <c r="BS392">
        <v>0</v>
      </c>
      <c r="BT392">
        <f t="shared" si="63"/>
        <v>11.538461538461538</v>
      </c>
      <c r="BU392">
        <f t="shared" si="64"/>
        <v>0.62111801242236908</v>
      </c>
      <c r="BV392">
        <f t="shared" si="65"/>
        <v>5.2631578947368416</v>
      </c>
      <c r="BW392">
        <f t="shared" si="66"/>
        <v>-10</v>
      </c>
    </row>
    <row r="393" spans="1:75" x14ac:dyDescent="0.2">
      <c r="A393" t="s">
        <v>213</v>
      </c>
      <c r="B393" t="s">
        <v>235</v>
      </c>
      <c r="C393" t="s">
        <v>106</v>
      </c>
      <c r="D393" t="s">
        <v>342</v>
      </c>
      <c r="E393" t="s">
        <v>359</v>
      </c>
      <c r="F393" t="s">
        <v>511</v>
      </c>
      <c r="G393">
        <v>8.65</v>
      </c>
      <c r="H393">
        <v>13.05</v>
      </c>
      <c r="I393">
        <v>14.95</v>
      </c>
      <c r="J393">
        <v>14.4</v>
      </c>
      <c r="K393">
        <v>51.05</v>
      </c>
      <c r="L393">
        <v>3.2369942200000001</v>
      </c>
      <c r="M393">
        <v>185</v>
      </c>
      <c r="N393">
        <v>210</v>
      </c>
      <c r="O393">
        <v>25</v>
      </c>
      <c r="P393">
        <v>236</v>
      </c>
      <c r="Q393">
        <v>51</v>
      </c>
      <c r="R393">
        <v>25.5</v>
      </c>
      <c r="S393">
        <v>98.1</v>
      </c>
      <c r="T393">
        <v>27.567567570000001</v>
      </c>
      <c r="U393">
        <v>12.38095238</v>
      </c>
      <c r="V393">
        <v>27</v>
      </c>
      <c r="W393">
        <v>29</v>
      </c>
      <c r="X393">
        <v>38</v>
      </c>
      <c r="Y393">
        <v>11</v>
      </c>
      <c r="Z393">
        <v>40.74074074</v>
      </c>
      <c r="AA393">
        <v>7</v>
      </c>
      <c r="AB393">
        <v>8</v>
      </c>
      <c r="AC393">
        <v>9</v>
      </c>
      <c r="AD393" t="s">
        <v>66</v>
      </c>
      <c r="AE393">
        <v>178</v>
      </c>
      <c r="AF393">
        <v>200</v>
      </c>
      <c r="AG393" t="s">
        <v>66</v>
      </c>
      <c r="AH393">
        <v>82</v>
      </c>
      <c r="AI393">
        <v>114</v>
      </c>
      <c r="AJ393" t="s">
        <v>66</v>
      </c>
      <c r="AK393">
        <v>78</v>
      </c>
      <c r="AL393">
        <v>83</v>
      </c>
      <c r="AM393">
        <v>80</v>
      </c>
      <c r="AN393">
        <v>98.5</v>
      </c>
      <c r="AO393">
        <v>23.125</v>
      </c>
      <c r="AP393">
        <v>12.359550560000001</v>
      </c>
      <c r="AQ393">
        <v>2.2250000000000001</v>
      </c>
      <c r="AR393">
        <v>2.030456853</v>
      </c>
      <c r="AS393">
        <v>-0.194543147</v>
      </c>
      <c r="AT393">
        <v>0</v>
      </c>
      <c r="AU393" t="s">
        <v>66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 t="s">
        <v>66</v>
      </c>
      <c r="BC393">
        <v>43.2</v>
      </c>
      <c r="BD393">
        <v>59.4</v>
      </c>
      <c r="BE393">
        <v>37.5</v>
      </c>
      <c r="BF393">
        <v>0</v>
      </c>
      <c r="BG393">
        <v>59.4</v>
      </c>
      <c r="BH393">
        <v>37.5</v>
      </c>
      <c r="BI393">
        <v>417</v>
      </c>
      <c r="BJ393">
        <v>50.1</v>
      </c>
      <c r="BK393">
        <v>21.9</v>
      </c>
      <c r="BL393">
        <v>397</v>
      </c>
      <c r="BM393">
        <v>160</v>
      </c>
      <c r="BN393">
        <v>100</v>
      </c>
      <c r="BO393">
        <f t="shared" si="62"/>
        <v>130</v>
      </c>
      <c r="BP393">
        <v>4</v>
      </c>
      <c r="BQ393">
        <v>1</v>
      </c>
      <c r="BS393">
        <v>0</v>
      </c>
      <c r="BT393">
        <f t="shared" si="63"/>
        <v>55.635491606714623</v>
      </c>
      <c r="BU393">
        <f t="shared" si="64"/>
        <v>46.107784431137731</v>
      </c>
      <c r="BV393">
        <f t="shared" si="65"/>
        <v>55.163727959697731</v>
      </c>
      <c r="BW393">
        <f t="shared" si="66"/>
        <v>38.461538461538467</v>
      </c>
    </row>
    <row r="394" spans="1:75" x14ac:dyDescent="0.2">
      <c r="A394" t="s">
        <v>213</v>
      </c>
      <c r="B394" t="s">
        <v>235</v>
      </c>
      <c r="C394" t="s">
        <v>106</v>
      </c>
      <c r="D394" t="s">
        <v>342</v>
      </c>
      <c r="E394" t="s">
        <v>381</v>
      </c>
      <c r="F394" t="s">
        <v>522</v>
      </c>
      <c r="G394">
        <v>8.65</v>
      </c>
      <c r="H394">
        <v>13.05</v>
      </c>
      <c r="I394">
        <v>14.95</v>
      </c>
      <c r="J394">
        <v>14.4</v>
      </c>
      <c r="K394">
        <v>51.05</v>
      </c>
      <c r="L394">
        <v>3.2369942200000001</v>
      </c>
      <c r="M394">
        <v>240</v>
      </c>
      <c r="N394">
        <v>270</v>
      </c>
      <c r="O394">
        <v>30</v>
      </c>
      <c r="P394">
        <v>261</v>
      </c>
      <c r="Q394">
        <v>21</v>
      </c>
      <c r="R394">
        <v>10.5</v>
      </c>
      <c r="S394">
        <v>68.099999999999994</v>
      </c>
      <c r="T394">
        <v>8.75</v>
      </c>
      <c r="U394">
        <v>-3.3333333330000001</v>
      </c>
      <c r="V394">
        <v>27</v>
      </c>
      <c r="W394">
        <v>46</v>
      </c>
      <c r="X394">
        <v>45</v>
      </c>
      <c r="Y394">
        <v>18</v>
      </c>
      <c r="Z394">
        <v>66.666666669999998</v>
      </c>
      <c r="AA394" t="s">
        <v>66</v>
      </c>
      <c r="AB394">
        <v>19</v>
      </c>
      <c r="AC394">
        <v>21</v>
      </c>
      <c r="AD394" t="s">
        <v>66</v>
      </c>
      <c r="AE394">
        <v>216</v>
      </c>
      <c r="AF394">
        <v>187</v>
      </c>
      <c r="AG394" t="s">
        <v>66</v>
      </c>
      <c r="AH394">
        <v>90</v>
      </c>
      <c r="AI394">
        <v>86</v>
      </c>
      <c r="AJ394" t="s">
        <v>66</v>
      </c>
      <c r="AK394">
        <v>54</v>
      </c>
      <c r="AL394">
        <v>94</v>
      </c>
      <c r="AM394">
        <v>72</v>
      </c>
      <c r="AN394">
        <v>90</v>
      </c>
      <c r="AO394">
        <v>25</v>
      </c>
      <c r="AP394">
        <v>-13.42592593</v>
      </c>
      <c r="AQ394">
        <v>3</v>
      </c>
      <c r="AR394">
        <v>2.0777777780000002</v>
      </c>
      <c r="AS394">
        <v>-0.92222222200000004</v>
      </c>
      <c r="AT394">
        <v>0</v>
      </c>
      <c r="AU394" t="s">
        <v>66</v>
      </c>
      <c r="AV394">
        <v>2</v>
      </c>
      <c r="AW394">
        <v>1</v>
      </c>
      <c r="AX394">
        <v>1</v>
      </c>
      <c r="AY394">
        <v>1</v>
      </c>
      <c r="AZ394">
        <v>1</v>
      </c>
      <c r="BA394">
        <v>1</v>
      </c>
      <c r="BB394" t="s">
        <v>66</v>
      </c>
      <c r="BC394">
        <v>48.5</v>
      </c>
      <c r="BD394">
        <v>58</v>
      </c>
      <c r="BE394">
        <v>19.58762887</v>
      </c>
      <c r="BF394">
        <v>0</v>
      </c>
      <c r="BG394">
        <v>58</v>
      </c>
      <c r="BH394">
        <v>19.58762887</v>
      </c>
      <c r="BI394">
        <v>410</v>
      </c>
      <c r="BJ394">
        <v>51.2</v>
      </c>
      <c r="BK394">
        <v>26.4</v>
      </c>
      <c r="BL394">
        <f>410-103</f>
        <v>307</v>
      </c>
      <c r="BM394">
        <v>130</v>
      </c>
      <c r="BN394">
        <v>110</v>
      </c>
      <c r="BO394">
        <f t="shared" si="62"/>
        <v>120</v>
      </c>
      <c r="BP394">
        <v>4</v>
      </c>
      <c r="BQ394">
        <v>1</v>
      </c>
      <c r="BS394">
        <v>0</v>
      </c>
      <c r="BT394">
        <f t="shared" si="63"/>
        <v>41.463414634146339</v>
      </c>
      <c r="BU394">
        <f t="shared" si="64"/>
        <v>47.265625000000007</v>
      </c>
      <c r="BV394">
        <f t="shared" si="65"/>
        <v>29.641693811074919</v>
      </c>
      <c r="BW394">
        <f t="shared" si="66"/>
        <v>40</v>
      </c>
    </row>
    <row r="395" spans="1:75" x14ac:dyDescent="0.2">
      <c r="A395" t="s">
        <v>256</v>
      </c>
      <c r="B395" t="s">
        <v>278</v>
      </c>
      <c r="C395" t="s">
        <v>106</v>
      </c>
      <c r="D395" t="s">
        <v>342</v>
      </c>
      <c r="E395" t="s">
        <v>343</v>
      </c>
      <c r="F395" t="s">
        <v>543</v>
      </c>
      <c r="G395">
        <v>7</v>
      </c>
      <c r="H395">
        <v>1.9</v>
      </c>
      <c r="I395">
        <v>0.85</v>
      </c>
      <c r="J395">
        <v>1.1000000000000001</v>
      </c>
      <c r="K395">
        <v>10.85</v>
      </c>
      <c r="L395">
        <v>0.39285714300000002</v>
      </c>
      <c r="M395">
        <v>105</v>
      </c>
      <c r="N395">
        <v>105</v>
      </c>
      <c r="O395">
        <v>0</v>
      </c>
      <c r="P395">
        <v>108</v>
      </c>
      <c r="Q395">
        <v>3</v>
      </c>
      <c r="R395">
        <v>1.5</v>
      </c>
      <c r="S395">
        <v>50.1</v>
      </c>
      <c r="T395">
        <v>2.8571428569999999</v>
      </c>
      <c r="U395">
        <v>2.8571428569999999</v>
      </c>
      <c r="V395">
        <v>14</v>
      </c>
      <c r="W395">
        <v>14</v>
      </c>
      <c r="X395">
        <v>14</v>
      </c>
      <c r="Y395">
        <v>0</v>
      </c>
      <c r="Z395">
        <v>0</v>
      </c>
      <c r="AA395" t="s">
        <v>66</v>
      </c>
      <c r="AB395" t="s">
        <v>66</v>
      </c>
      <c r="AC395" t="s">
        <v>66</v>
      </c>
      <c r="AD395" t="s">
        <v>66</v>
      </c>
      <c r="AE395">
        <v>90</v>
      </c>
      <c r="AF395">
        <v>69</v>
      </c>
      <c r="AG395" t="s">
        <v>66</v>
      </c>
      <c r="AH395">
        <v>30</v>
      </c>
      <c r="AI395">
        <v>35</v>
      </c>
      <c r="AJ395" t="s">
        <v>66</v>
      </c>
      <c r="AK395">
        <v>28</v>
      </c>
      <c r="AL395">
        <v>27</v>
      </c>
      <c r="AM395">
        <v>29</v>
      </c>
      <c r="AN395">
        <v>31</v>
      </c>
      <c r="AO395">
        <v>6.896551724</v>
      </c>
      <c r="AP395">
        <v>-23.333333329999999</v>
      </c>
      <c r="AQ395">
        <v>3.103448276</v>
      </c>
      <c r="AR395">
        <v>2.225806452</v>
      </c>
      <c r="AS395">
        <v>-0.87764182400000001</v>
      </c>
      <c r="AT395">
        <v>0</v>
      </c>
      <c r="AU395" t="s">
        <v>66</v>
      </c>
      <c r="AV395">
        <v>1</v>
      </c>
      <c r="AW395">
        <v>1</v>
      </c>
      <c r="AX395">
        <v>0</v>
      </c>
      <c r="AY395">
        <v>1</v>
      </c>
      <c r="AZ395">
        <v>1</v>
      </c>
      <c r="BA395">
        <v>1</v>
      </c>
      <c r="BB395" t="s">
        <v>66</v>
      </c>
      <c r="BC395">
        <v>35.200000000000003</v>
      </c>
      <c r="BD395">
        <v>43.9</v>
      </c>
      <c r="BE395">
        <v>24.71590909</v>
      </c>
      <c r="BF395">
        <v>0</v>
      </c>
      <c r="BG395">
        <v>43.9</v>
      </c>
      <c r="BH395">
        <v>24.71590909</v>
      </c>
      <c r="BI395">
        <v>112</v>
      </c>
      <c r="BJ395">
        <v>14.8</v>
      </c>
      <c r="BK395" t="s">
        <v>66</v>
      </c>
      <c r="BL395">
        <f>112-61</f>
        <v>51</v>
      </c>
      <c r="BM395">
        <v>32</v>
      </c>
      <c r="BN395">
        <v>25</v>
      </c>
      <c r="BO395">
        <f t="shared" si="62"/>
        <v>28.5</v>
      </c>
      <c r="BP395">
        <v>4</v>
      </c>
      <c r="BQ395">
        <v>1</v>
      </c>
      <c r="BS395">
        <v>0</v>
      </c>
      <c r="BT395">
        <f t="shared" si="63"/>
        <v>6.25</v>
      </c>
      <c r="BU395">
        <f t="shared" si="64"/>
        <v>5.4054054054054097</v>
      </c>
      <c r="BV395">
        <f t="shared" si="65"/>
        <v>-76.470588235294116</v>
      </c>
      <c r="BW395">
        <f t="shared" si="66"/>
        <v>-1.7543859649122806</v>
      </c>
    </row>
    <row r="396" spans="1:75" x14ac:dyDescent="0.2">
      <c r="A396" t="s">
        <v>256</v>
      </c>
      <c r="B396" t="s">
        <v>278</v>
      </c>
      <c r="C396" t="s">
        <v>106</v>
      </c>
      <c r="D396" t="s">
        <v>342</v>
      </c>
      <c r="E396" t="s">
        <v>345</v>
      </c>
      <c r="F396" t="s">
        <v>544</v>
      </c>
      <c r="G396">
        <v>7</v>
      </c>
      <c r="H396">
        <v>1.9</v>
      </c>
      <c r="I396">
        <v>0.85</v>
      </c>
      <c r="J396">
        <v>1.1000000000000001</v>
      </c>
      <c r="K396">
        <v>10.85</v>
      </c>
      <c r="L396">
        <v>0.39285714300000002</v>
      </c>
      <c r="M396">
        <v>62</v>
      </c>
      <c r="N396">
        <v>75</v>
      </c>
      <c r="O396">
        <v>13</v>
      </c>
      <c r="P396">
        <v>78</v>
      </c>
      <c r="Q396">
        <v>16</v>
      </c>
      <c r="R396">
        <v>8</v>
      </c>
      <c r="S396">
        <v>63.1</v>
      </c>
      <c r="T396">
        <v>25.80645161</v>
      </c>
      <c r="U396">
        <v>4</v>
      </c>
      <c r="V396">
        <v>7</v>
      </c>
      <c r="W396">
        <v>9</v>
      </c>
      <c r="X396">
        <v>8</v>
      </c>
      <c r="Y396">
        <v>1</v>
      </c>
      <c r="Z396">
        <v>14.28571429</v>
      </c>
      <c r="AA396" t="s">
        <v>66</v>
      </c>
      <c r="AB396" t="s">
        <v>66</v>
      </c>
      <c r="AC396" t="s">
        <v>66</v>
      </c>
      <c r="AD396" t="s">
        <v>66</v>
      </c>
      <c r="AE396">
        <v>49</v>
      </c>
      <c r="AF396">
        <v>50</v>
      </c>
      <c r="AG396" t="s">
        <v>66</v>
      </c>
      <c r="AH396">
        <v>31</v>
      </c>
      <c r="AI396">
        <v>32</v>
      </c>
      <c r="AJ396" t="s">
        <v>66</v>
      </c>
      <c r="AK396">
        <v>13</v>
      </c>
      <c r="AL396">
        <v>21</v>
      </c>
      <c r="AM396">
        <v>22</v>
      </c>
      <c r="AN396">
        <v>26.5</v>
      </c>
      <c r="AO396">
        <v>20.454545450000001</v>
      </c>
      <c r="AP396">
        <v>2.0408163269999999</v>
      </c>
      <c r="AQ396">
        <v>2.2272727269999999</v>
      </c>
      <c r="AR396">
        <v>1.886792453</v>
      </c>
      <c r="AS396">
        <v>-0.34048027400000003</v>
      </c>
      <c r="AT396">
        <v>0</v>
      </c>
      <c r="AU396" t="s">
        <v>66</v>
      </c>
      <c r="AV396">
        <v>0</v>
      </c>
      <c r="AW396">
        <v>2</v>
      </c>
      <c r="AX396">
        <v>0</v>
      </c>
      <c r="AY396">
        <v>1</v>
      </c>
      <c r="AZ396">
        <v>1</v>
      </c>
      <c r="BA396">
        <v>1</v>
      </c>
      <c r="BB396" t="s">
        <v>66</v>
      </c>
      <c r="BC396">
        <v>27.5</v>
      </c>
      <c r="BD396">
        <v>34.700000000000003</v>
      </c>
      <c r="BE396">
        <v>26.18181818</v>
      </c>
      <c r="BF396">
        <v>0</v>
      </c>
      <c r="BG396">
        <v>34.700000000000003</v>
      </c>
      <c r="BH396">
        <v>26.18181818</v>
      </c>
      <c r="BI396">
        <v>79</v>
      </c>
      <c r="BJ396">
        <v>10</v>
      </c>
      <c r="BK396" t="s">
        <v>66</v>
      </c>
      <c r="BL396">
        <f>79-33</f>
        <v>46</v>
      </c>
      <c r="BM396">
        <v>38</v>
      </c>
      <c r="BN396">
        <v>9</v>
      </c>
      <c r="BO396">
        <f t="shared" si="62"/>
        <v>23.5</v>
      </c>
      <c r="BP396">
        <v>4</v>
      </c>
      <c r="BQ396">
        <v>1</v>
      </c>
      <c r="BS396">
        <v>0</v>
      </c>
      <c r="BT396">
        <f t="shared" si="63"/>
        <v>21.518987341772153</v>
      </c>
      <c r="BU396">
        <f t="shared" si="64"/>
        <v>30</v>
      </c>
      <c r="BV396">
        <f t="shared" si="65"/>
        <v>-6.5217391304347823</v>
      </c>
      <c r="BW396">
        <f t="shared" si="66"/>
        <v>6.3829787234042552</v>
      </c>
    </row>
    <row r="397" spans="1:75" x14ac:dyDescent="0.2">
      <c r="A397" t="s">
        <v>256</v>
      </c>
      <c r="B397" t="s">
        <v>278</v>
      </c>
      <c r="C397" t="s">
        <v>106</v>
      </c>
      <c r="D397" t="s">
        <v>342</v>
      </c>
      <c r="E397" t="s">
        <v>351</v>
      </c>
      <c r="F397" t="s">
        <v>547</v>
      </c>
      <c r="G397">
        <v>7</v>
      </c>
      <c r="H397">
        <v>1.9</v>
      </c>
      <c r="I397">
        <v>0.85</v>
      </c>
      <c r="J397">
        <v>1.1000000000000001</v>
      </c>
      <c r="K397">
        <v>10.85</v>
      </c>
      <c r="L397">
        <v>0.39285714300000002</v>
      </c>
      <c r="M397">
        <v>90</v>
      </c>
      <c r="N397">
        <v>94</v>
      </c>
      <c r="O397">
        <v>4</v>
      </c>
      <c r="P397">
        <v>96</v>
      </c>
      <c r="Q397">
        <v>6</v>
      </c>
      <c r="R397">
        <v>3</v>
      </c>
      <c r="S397">
        <v>53.1</v>
      </c>
      <c r="T397">
        <v>6.6666666670000003</v>
      </c>
      <c r="U397">
        <v>2.1276595739999999</v>
      </c>
      <c r="V397">
        <v>11</v>
      </c>
      <c r="W397">
        <v>11</v>
      </c>
      <c r="X397">
        <v>12</v>
      </c>
      <c r="Y397">
        <v>1</v>
      </c>
      <c r="Z397">
        <v>9.0909090910000003</v>
      </c>
      <c r="AA397" t="s">
        <v>66</v>
      </c>
      <c r="AB397" t="s">
        <v>66</v>
      </c>
      <c r="AC397" t="s">
        <v>66</v>
      </c>
      <c r="AD397" t="s">
        <v>66</v>
      </c>
      <c r="AE397">
        <v>62</v>
      </c>
      <c r="AF397">
        <v>67</v>
      </c>
      <c r="AG397" t="s">
        <v>66</v>
      </c>
      <c r="AH397">
        <v>51</v>
      </c>
      <c r="AI397">
        <v>38</v>
      </c>
      <c r="AJ397" t="s">
        <v>66</v>
      </c>
      <c r="AK397">
        <v>25</v>
      </c>
      <c r="AL397">
        <v>25</v>
      </c>
      <c r="AM397">
        <v>38</v>
      </c>
      <c r="AN397">
        <v>31.5</v>
      </c>
      <c r="AO397">
        <v>-17.10526316</v>
      </c>
      <c r="AP397">
        <v>8.0645161289999994</v>
      </c>
      <c r="AQ397">
        <v>1.6315789469999999</v>
      </c>
      <c r="AR397">
        <v>2.1269841270000001</v>
      </c>
      <c r="AS397">
        <v>0.49540518</v>
      </c>
      <c r="AT397">
        <v>0</v>
      </c>
      <c r="AU397" t="s">
        <v>66</v>
      </c>
      <c r="AV397">
        <v>1</v>
      </c>
      <c r="AW397">
        <v>1</v>
      </c>
      <c r="AX397">
        <v>0</v>
      </c>
      <c r="AY397">
        <v>1</v>
      </c>
      <c r="AZ397">
        <v>1</v>
      </c>
      <c r="BA397">
        <v>1</v>
      </c>
      <c r="BB397" t="s">
        <v>66</v>
      </c>
      <c r="BC397">
        <v>31</v>
      </c>
      <c r="BD397">
        <v>37.299999999999997</v>
      </c>
      <c r="BE397">
        <v>20.322580649999999</v>
      </c>
      <c r="BF397">
        <v>0</v>
      </c>
      <c r="BG397">
        <v>37.299999999999997</v>
      </c>
      <c r="BH397">
        <v>20.322580649999999</v>
      </c>
      <c r="BI397">
        <v>105</v>
      </c>
      <c r="BJ397">
        <v>15.2</v>
      </c>
      <c r="BK397" t="s">
        <v>66</v>
      </c>
      <c r="BL397">
        <f>105-28</f>
        <v>77</v>
      </c>
      <c r="BM397">
        <v>32</v>
      </c>
      <c r="BN397">
        <v>26</v>
      </c>
      <c r="BO397">
        <f t="shared" si="62"/>
        <v>29</v>
      </c>
      <c r="BP397">
        <v>4</v>
      </c>
      <c r="BQ397">
        <v>1</v>
      </c>
      <c r="BS397">
        <v>0</v>
      </c>
      <c r="BT397">
        <f t="shared" si="63"/>
        <v>14.285714285714285</v>
      </c>
      <c r="BU397">
        <f t="shared" si="64"/>
        <v>27.631578947368418</v>
      </c>
      <c r="BV397">
        <f t="shared" si="65"/>
        <v>19.480519480519483</v>
      </c>
      <c r="BW397">
        <f t="shared" si="66"/>
        <v>-31.03448275862069</v>
      </c>
    </row>
    <row r="398" spans="1:75" x14ac:dyDescent="0.2">
      <c r="A398" t="s">
        <v>256</v>
      </c>
      <c r="B398" t="s">
        <v>278</v>
      </c>
      <c r="C398" t="s">
        <v>106</v>
      </c>
      <c r="D398" t="s">
        <v>342</v>
      </c>
      <c r="E398" t="s">
        <v>353</v>
      </c>
      <c r="F398" t="s">
        <v>548</v>
      </c>
      <c r="G398">
        <v>7</v>
      </c>
      <c r="H398">
        <v>1.9</v>
      </c>
      <c r="I398">
        <v>0.85</v>
      </c>
      <c r="J398">
        <v>1.1000000000000001</v>
      </c>
      <c r="K398">
        <v>10.85</v>
      </c>
      <c r="L398">
        <v>0.39285714300000002</v>
      </c>
      <c r="M398">
        <v>62</v>
      </c>
      <c r="N398">
        <v>86</v>
      </c>
      <c r="O398">
        <v>24</v>
      </c>
      <c r="P398">
        <v>95</v>
      </c>
      <c r="Q398">
        <v>33</v>
      </c>
      <c r="R398">
        <v>16.5</v>
      </c>
      <c r="S398">
        <v>80.099999999999994</v>
      </c>
      <c r="T398">
        <v>53.22580645</v>
      </c>
      <c r="U398">
        <v>10.46511628</v>
      </c>
      <c r="V398">
        <v>7</v>
      </c>
      <c r="W398">
        <v>8</v>
      </c>
      <c r="X398">
        <v>8</v>
      </c>
      <c r="Y398">
        <v>1</v>
      </c>
      <c r="Z398">
        <v>14.28571429</v>
      </c>
      <c r="AA398" t="s">
        <v>66</v>
      </c>
      <c r="AB398" t="s">
        <v>66</v>
      </c>
      <c r="AC398" t="s">
        <v>66</v>
      </c>
      <c r="AD398" t="s">
        <v>66</v>
      </c>
      <c r="AE398">
        <v>55</v>
      </c>
      <c r="AF398">
        <v>61</v>
      </c>
      <c r="AG398" t="s">
        <v>66</v>
      </c>
      <c r="AH398">
        <v>27</v>
      </c>
      <c r="AI398">
        <v>28</v>
      </c>
      <c r="AJ398" t="s">
        <v>66</v>
      </c>
      <c r="AK398">
        <v>26</v>
      </c>
      <c r="AL398">
        <v>19</v>
      </c>
      <c r="AM398">
        <v>26.5</v>
      </c>
      <c r="AN398">
        <v>23.5</v>
      </c>
      <c r="AO398">
        <v>-11.32075472</v>
      </c>
      <c r="AP398">
        <v>10.90909091</v>
      </c>
      <c r="AQ398">
        <v>2.0754716979999999</v>
      </c>
      <c r="AR398">
        <v>2.5957446810000002</v>
      </c>
      <c r="AS398">
        <v>0.52027298300000002</v>
      </c>
      <c r="AT398">
        <v>0</v>
      </c>
      <c r="AU398" t="s">
        <v>66</v>
      </c>
      <c r="AV398">
        <v>1</v>
      </c>
      <c r="AW398">
        <v>1</v>
      </c>
      <c r="AX398">
        <v>0</v>
      </c>
      <c r="AY398">
        <v>1</v>
      </c>
      <c r="AZ398">
        <v>1</v>
      </c>
      <c r="BA398">
        <v>1</v>
      </c>
      <c r="BB398" t="s">
        <v>66</v>
      </c>
      <c r="BC398">
        <v>38.799999999999997</v>
      </c>
      <c r="BD398">
        <v>42.3</v>
      </c>
      <c r="BE398">
        <v>9.0206185570000006</v>
      </c>
      <c r="BF398">
        <v>0</v>
      </c>
      <c r="BG398">
        <v>42.3</v>
      </c>
      <c r="BH398">
        <v>9.0206185570000006</v>
      </c>
      <c r="BI398">
        <v>100</v>
      </c>
      <c r="BJ398">
        <v>10.4</v>
      </c>
      <c r="BK398" t="s">
        <v>66</v>
      </c>
      <c r="BL398">
        <f>100-58</f>
        <v>42</v>
      </c>
      <c r="BM398">
        <v>20</v>
      </c>
      <c r="BN398">
        <v>17</v>
      </c>
      <c r="BO398">
        <f t="shared" si="62"/>
        <v>18.5</v>
      </c>
      <c r="BP398">
        <v>4</v>
      </c>
      <c r="BQ398">
        <v>1</v>
      </c>
      <c r="BS398">
        <v>0</v>
      </c>
      <c r="BT398">
        <f t="shared" si="63"/>
        <v>38</v>
      </c>
      <c r="BU398">
        <f t="shared" si="64"/>
        <v>32.692307692307693</v>
      </c>
      <c r="BV398">
        <f t="shared" si="65"/>
        <v>-30.952380952380953</v>
      </c>
      <c r="BW398">
        <f t="shared" si="66"/>
        <v>-43.243243243243242</v>
      </c>
    </row>
    <row r="399" spans="1:75" x14ac:dyDescent="0.2">
      <c r="A399" t="s">
        <v>256</v>
      </c>
      <c r="B399" t="s">
        <v>278</v>
      </c>
      <c r="C399" t="s">
        <v>106</v>
      </c>
      <c r="D399" t="s">
        <v>342</v>
      </c>
      <c r="E399" t="s">
        <v>355</v>
      </c>
      <c r="F399" t="s">
        <v>549</v>
      </c>
      <c r="G399">
        <v>7</v>
      </c>
      <c r="H399">
        <v>1.9</v>
      </c>
      <c r="I399">
        <v>0.85</v>
      </c>
      <c r="J399">
        <v>1.1000000000000001</v>
      </c>
      <c r="K399">
        <v>10.85</v>
      </c>
      <c r="L399">
        <v>0.39285714300000002</v>
      </c>
      <c r="M399">
        <v>120</v>
      </c>
      <c r="N399">
        <v>123</v>
      </c>
      <c r="O399">
        <v>3</v>
      </c>
      <c r="P399">
        <v>123</v>
      </c>
      <c r="Q399">
        <v>3</v>
      </c>
      <c r="R399">
        <v>1.5</v>
      </c>
      <c r="S399">
        <v>50.1</v>
      </c>
      <c r="T399">
        <v>2.5</v>
      </c>
      <c r="U399">
        <v>0</v>
      </c>
      <c r="V399">
        <v>13</v>
      </c>
      <c r="W399">
        <v>14</v>
      </c>
      <c r="X399">
        <v>14</v>
      </c>
      <c r="Y399">
        <v>1</v>
      </c>
      <c r="Z399">
        <v>7.692307692</v>
      </c>
      <c r="AA399" t="s">
        <v>66</v>
      </c>
      <c r="AB399" t="s">
        <v>66</v>
      </c>
      <c r="AC399" t="s">
        <v>66</v>
      </c>
      <c r="AD399" t="s">
        <v>66</v>
      </c>
      <c r="AE399">
        <v>74</v>
      </c>
      <c r="AF399">
        <v>73</v>
      </c>
      <c r="AG399" t="s">
        <v>66</v>
      </c>
      <c r="AH399">
        <v>64</v>
      </c>
      <c r="AI399">
        <v>66</v>
      </c>
      <c r="AJ399" t="s">
        <v>66</v>
      </c>
      <c r="AK399">
        <v>58</v>
      </c>
      <c r="AL399">
        <v>49</v>
      </c>
      <c r="AM399">
        <v>61</v>
      </c>
      <c r="AN399">
        <v>57.5</v>
      </c>
      <c r="AO399">
        <v>-5.7377049180000004</v>
      </c>
      <c r="AP399">
        <v>-1.3513513509999999</v>
      </c>
      <c r="AQ399">
        <v>1.213114754</v>
      </c>
      <c r="AR399">
        <v>1.269565217</v>
      </c>
      <c r="AS399">
        <v>5.6450462999999999E-2</v>
      </c>
      <c r="AT399">
        <v>0</v>
      </c>
      <c r="AU399" t="s">
        <v>66</v>
      </c>
      <c r="AV399">
        <v>0</v>
      </c>
      <c r="AW399">
        <v>1</v>
      </c>
      <c r="AX399">
        <v>0</v>
      </c>
      <c r="AY399">
        <v>1</v>
      </c>
      <c r="AZ399">
        <v>1</v>
      </c>
      <c r="BA399">
        <v>1</v>
      </c>
      <c r="BB399" t="s">
        <v>66</v>
      </c>
      <c r="BC399">
        <v>32.299999999999997</v>
      </c>
      <c r="BD399">
        <v>41</v>
      </c>
      <c r="BE399">
        <v>26.93498452</v>
      </c>
      <c r="BF399">
        <v>0</v>
      </c>
      <c r="BG399">
        <v>41</v>
      </c>
      <c r="BH399">
        <v>26.93498452</v>
      </c>
      <c r="BI399">
        <v>133</v>
      </c>
      <c r="BJ399">
        <v>7.8</v>
      </c>
      <c r="BK399" t="s">
        <v>66</v>
      </c>
      <c r="BL399">
        <f>133-10</f>
        <v>123</v>
      </c>
      <c r="BM399">
        <v>65</v>
      </c>
      <c r="BN399">
        <v>32</v>
      </c>
      <c r="BO399">
        <f t="shared" si="62"/>
        <v>48.5</v>
      </c>
      <c r="BP399">
        <v>4</v>
      </c>
      <c r="BQ399">
        <v>1</v>
      </c>
      <c r="BS399">
        <v>0</v>
      </c>
      <c r="BT399">
        <f t="shared" si="63"/>
        <v>9.7744360902255636</v>
      </c>
      <c r="BU399">
        <f t="shared" si="64"/>
        <v>-66.666666666666671</v>
      </c>
      <c r="BV399">
        <f t="shared" si="65"/>
        <v>39.837398373983739</v>
      </c>
      <c r="BW399">
        <f t="shared" si="66"/>
        <v>-25.773195876288657</v>
      </c>
    </row>
    <row r="400" spans="1:75" x14ac:dyDescent="0.2">
      <c r="A400" t="s">
        <v>256</v>
      </c>
      <c r="B400" t="s">
        <v>278</v>
      </c>
      <c r="C400" t="s">
        <v>106</v>
      </c>
      <c r="D400" t="s">
        <v>342</v>
      </c>
      <c r="E400" t="s">
        <v>359</v>
      </c>
      <c r="F400" t="s">
        <v>551</v>
      </c>
      <c r="G400">
        <v>7</v>
      </c>
      <c r="H400">
        <v>1.9</v>
      </c>
      <c r="I400">
        <v>0.85</v>
      </c>
      <c r="J400">
        <v>1.1000000000000001</v>
      </c>
      <c r="K400">
        <v>10.85</v>
      </c>
      <c r="L400">
        <v>0.39285714300000002</v>
      </c>
      <c r="M400">
        <v>63</v>
      </c>
      <c r="N400">
        <v>69</v>
      </c>
      <c r="O400">
        <v>6</v>
      </c>
      <c r="P400">
        <v>82</v>
      </c>
      <c r="Q400">
        <v>19</v>
      </c>
      <c r="R400">
        <v>9.5</v>
      </c>
      <c r="S400">
        <v>66.099999999999994</v>
      </c>
      <c r="T400">
        <v>30.158730160000001</v>
      </c>
      <c r="U400">
        <v>18.84057971</v>
      </c>
      <c r="V400">
        <v>8</v>
      </c>
      <c r="W400">
        <v>9</v>
      </c>
      <c r="X400">
        <v>9</v>
      </c>
      <c r="Y400">
        <v>1</v>
      </c>
      <c r="Z400">
        <v>12.5</v>
      </c>
      <c r="AA400" t="s">
        <v>66</v>
      </c>
      <c r="AB400" t="s">
        <v>66</v>
      </c>
      <c r="AC400" t="s">
        <v>66</v>
      </c>
      <c r="AD400" t="s">
        <v>66</v>
      </c>
      <c r="AE400">
        <v>41</v>
      </c>
      <c r="AF400">
        <v>38</v>
      </c>
      <c r="AG400" t="s">
        <v>66</v>
      </c>
      <c r="AH400">
        <v>28</v>
      </c>
      <c r="AI400">
        <v>19</v>
      </c>
      <c r="AJ400" t="s">
        <v>66</v>
      </c>
      <c r="AK400">
        <v>18</v>
      </c>
      <c r="AL400">
        <v>12</v>
      </c>
      <c r="AM400">
        <v>23</v>
      </c>
      <c r="AN400">
        <v>15.5</v>
      </c>
      <c r="AO400">
        <v>-32.608695650000001</v>
      </c>
      <c r="AP400">
        <v>-7.3170731709999997</v>
      </c>
      <c r="AQ400">
        <v>1.782608696</v>
      </c>
      <c r="AR400">
        <v>2.451612903</v>
      </c>
      <c r="AS400">
        <v>0.66900420699999996</v>
      </c>
      <c r="AT400">
        <v>0</v>
      </c>
      <c r="AU400" t="s">
        <v>66</v>
      </c>
      <c r="AV400">
        <v>2</v>
      </c>
      <c r="AW400">
        <v>1</v>
      </c>
      <c r="AX400">
        <v>0</v>
      </c>
      <c r="AY400">
        <v>1</v>
      </c>
      <c r="AZ400">
        <v>1</v>
      </c>
      <c r="BA400">
        <v>1</v>
      </c>
      <c r="BB400" t="s">
        <v>66</v>
      </c>
      <c r="BC400">
        <v>32.299999999999997</v>
      </c>
      <c r="BD400">
        <v>37.4</v>
      </c>
      <c r="BE400">
        <v>15.78947368</v>
      </c>
      <c r="BF400">
        <v>0</v>
      </c>
      <c r="BG400">
        <v>37.4</v>
      </c>
      <c r="BH400">
        <v>15.78947368</v>
      </c>
      <c r="BI400">
        <v>77</v>
      </c>
      <c r="BJ400">
        <v>8.9</v>
      </c>
      <c r="BK400" t="s">
        <v>66</v>
      </c>
      <c r="BL400">
        <f>77-38</f>
        <v>39</v>
      </c>
      <c r="BM400">
        <v>21</v>
      </c>
      <c r="BN400">
        <v>15</v>
      </c>
      <c r="BO400">
        <f t="shared" si="62"/>
        <v>18</v>
      </c>
      <c r="BP400">
        <v>4</v>
      </c>
      <c r="BQ400">
        <v>1</v>
      </c>
      <c r="BS400">
        <v>0</v>
      </c>
      <c r="BT400">
        <f t="shared" si="63"/>
        <v>18.181818181818183</v>
      </c>
      <c r="BU400">
        <f t="shared" si="64"/>
        <v>10.112359550561802</v>
      </c>
      <c r="BV400">
        <f t="shared" si="65"/>
        <v>-5.1282051282051277</v>
      </c>
      <c r="BW400">
        <f t="shared" si="66"/>
        <v>-27.777777777777779</v>
      </c>
    </row>
    <row r="401" spans="1:75" x14ac:dyDescent="0.2">
      <c r="A401" t="s">
        <v>256</v>
      </c>
      <c r="B401" t="s">
        <v>278</v>
      </c>
      <c r="C401" t="s">
        <v>106</v>
      </c>
      <c r="D401" t="s">
        <v>342</v>
      </c>
      <c r="E401" t="s">
        <v>361</v>
      </c>
      <c r="F401" t="s">
        <v>552</v>
      </c>
      <c r="G401">
        <v>7</v>
      </c>
      <c r="H401">
        <v>1.9</v>
      </c>
      <c r="I401">
        <v>0.85</v>
      </c>
      <c r="J401">
        <v>1.1000000000000001</v>
      </c>
      <c r="K401">
        <v>10.85</v>
      </c>
      <c r="L401">
        <v>0.39285714300000002</v>
      </c>
      <c r="M401">
        <v>40</v>
      </c>
      <c r="N401">
        <v>43</v>
      </c>
      <c r="O401">
        <v>3</v>
      </c>
      <c r="P401">
        <v>46</v>
      </c>
      <c r="Q401">
        <v>6</v>
      </c>
      <c r="R401">
        <v>3</v>
      </c>
      <c r="S401">
        <v>53.1</v>
      </c>
      <c r="T401">
        <v>15</v>
      </c>
      <c r="U401">
        <v>6.9767441860000003</v>
      </c>
      <c r="V401">
        <v>5</v>
      </c>
      <c r="W401">
        <v>5</v>
      </c>
      <c r="X401">
        <v>7</v>
      </c>
      <c r="Y401">
        <v>2</v>
      </c>
      <c r="Z401">
        <v>40</v>
      </c>
      <c r="AA401" t="s">
        <v>66</v>
      </c>
      <c r="AB401" t="s">
        <v>66</v>
      </c>
      <c r="AC401" t="s">
        <v>66</v>
      </c>
      <c r="AD401" t="s">
        <v>66</v>
      </c>
      <c r="AE401">
        <v>19</v>
      </c>
      <c r="AF401">
        <v>22</v>
      </c>
      <c r="AG401" t="s">
        <v>66</v>
      </c>
      <c r="AH401">
        <v>25</v>
      </c>
      <c r="AI401">
        <v>24</v>
      </c>
      <c r="AJ401" t="s">
        <v>66</v>
      </c>
      <c r="AK401">
        <v>7</v>
      </c>
      <c r="AL401">
        <v>7</v>
      </c>
      <c r="AM401">
        <v>16</v>
      </c>
      <c r="AN401">
        <v>15.5</v>
      </c>
      <c r="AO401">
        <v>-3.125</v>
      </c>
      <c r="AP401">
        <v>15.78947368</v>
      </c>
      <c r="AQ401">
        <v>1.1875</v>
      </c>
      <c r="AR401">
        <v>1.4193548389999999</v>
      </c>
      <c r="AS401">
        <v>0.23185483900000001</v>
      </c>
      <c r="AT401">
        <v>0</v>
      </c>
      <c r="AU401" t="s">
        <v>66</v>
      </c>
      <c r="AV401">
        <v>1</v>
      </c>
      <c r="AW401">
        <v>4</v>
      </c>
      <c r="AX401">
        <v>0</v>
      </c>
      <c r="AY401">
        <v>1</v>
      </c>
      <c r="AZ401">
        <v>1</v>
      </c>
      <c r="BA401">
        <v>1</v>
      </c>
      <c r="BB401" t="s">
        <v>66</v>
      </c>
      <c r="BC401">
        <v>32.4</v>
      </c>
      <c r="BD401">
        <v>31.3</v>
      </c>
      <c r="BE401">
        <v>-3.3950617279999999</v>
      </c>
      <c r="BF401">
        <v>0</v>
      </c>
      <c r="BG401">
        <v>31.3</v>
      </c>
      <c r="BH401">
        <v>-3.3950617279999999</v>
      </c>
      <c r="BI401">
        <v>37</v>
      </c>
      <c r="BJ401">
        <v>6.7</v>
      </c>
      <c r="BK401" t="s">
        <v>66</v>
      </c>
      <c r="BL401">
        <v>5</v>
      </c>
      <c r="BM401">
        <v>17</v>
      </c>
      <c r="BN401">
        <v>6</v>
      </c>
      <c r="BO401">
        <f t="shared" si="62"/>
        <v>11.5</v>
      </c>
      <c r="BP401">
        <v>2</v>
      </c>
      <c r="BQ401">
        <v>1</v>
      </c>
      <c r="BS401">
        <v>0</v>
      </c>
      <c r="BT401">
        <f t="shared" si="63"/>
        <v>-8.1081081081081088</v>
      </c>
      <c r="BU401">
        <f t="shared" si="64"/>
        <v>25.373134328358208</v>
      </c>
      <c r="BV401">
        <f t="shared" si="65"/>
        <v>-280</v>
      </c>
      <c r="BW401">
        <f t="shared" si="66"/>
        <v>-39.130434782608695</v>
      </c>
    </row>
    <row r="402" spans="1:75" x14ac:dyDescent="0.2">
      <c r="A402" t="s">
        <v>256</v>
      </c>
      <c r="B402" t="s">
        <v>278</v>
      </c>
      <c r="C402" t="s">
        <v>106</v>
      </c>
      <c r="D402" t="s">
        <v>342</v>
      </c>
      <c r="E402" t="s">
        <v>363</v>
      </c>
      <c r="F402" t="s">
        <v>553</v>
      </c>
      <c r="G402">
        <v>7</v>
      </c>
      <c r="H402">
        <v>1.9</v>
      </c>
      <c r="I402">
        <v>0.85</v>
      </c>
      <c r="J402">
        <v>1.1000000000000001</v>
      </c>
      <c r="K402">
        <v>10.85</v>
      </c>
      <c r="L402">
        <v>0.39285714300000002</v>
      </c>
      <c r="M402">
        <v>122</v>
      </c>
      <c r="N402">
        <v>138</v>
      </c>
      <c r="O402">
        <v>16</v>
      </c>
      <c r="P402">
        <v>143</v>
      </c>
      <c r="Q402">
        <v>21</v>
      </c>
      <c r="R402">
        <v>10.5</v>
      </c>
      <c r="S402">
        <v>68.099999999999994</v>
      </c>
      <c r="T402">
        <v>17.213114749999999</v>
      </c>
      <c r="U402">
        <v>3.6231884060000001</v>
      </c>
      <c r="V402">
        <v>16</v>
      </c>
      <c r="W402">
        <v>15</v>
      </c>
      <c r="X402">
        <v>18</v>
      </c>
      <c r="Y402">
        <v>2</v>
      </c>
      <c r="Z402">
        <v>12.5</v>
      </c>
      <c r="AA402" t="s">
        <v>66</v>
      </c>
      <c r="AB402" t="s">
        <v>66</v>
      </c>
      <c r="AC402">
        <v>2</v>
      </c>
      <c r="AD402" t="s">
        <v>66</v>
      </c>
      <c r="AE402">
        <v>119</v>
      </c>
      <c r="AF402">
        <v>93</v>
      </c>
      <c r="AG402" t="s">
        <v>66</v>
      </c>
      <c r="AH402">
        <v>71</v>
      </c>
      <c r="AI402">
        <v>75</v>
      </c>
      <c r="AJ402" t="s">
        <v>66</v>
      </c>
      <c r="AK402">
        <v>53</v>
      </c>
      <c r="AL402">
        <v>59</v>
      </c>
      <c r="AM402">
        <v>62</v>
      </c>
      <c r="AN402">
        <v>67</v>
      </c>
      <c r="AO402">
        <v>8.0645161289999994</v>
      </c>
      <c r="AP402">
        <v>-21.848739500000001</v>
      </c>
      <c r="AQ402">
        <v>1.9193548389999999</v>
      </c>
      <c r="AR402">
        <v>1.388059701</v>
      </c>
      <c r="AS402">
        <v>-0.53129513799999994</v>
      </c>
      <c r="AT402">
        <v>0</v>
      </c>
      <c r="AU402" t="s">
        <v>66</v>
      </c>
      <c r="AV402">
        <v>1</v>
      </c>
      <c r="AW402">
        <v>1</v>
      </c>
      <c r="AX402">
        <v>0</v>
      </c>
      <c r="AY402">
        <v>1</v>
      </c>
      <c r="AZ402">
        <v>1</v>
      </c>
      <c r="BA402">
        <v>1</v>
      </c>
      <c r="BB402" t="s">
        <v>66</v>
      </c>
      <c r="BC402">
        <v>27.5</v>
      </c>
      <c r="BD402">
        <v>39.299999999999997</v>
      </c>
      <c r="BE402">
        <v>42.909090910000003</v>
      </c>
      <c r="BF402">
        <v>0</v>
      </c>
      <c r="BG402">
        <v>39.299999999999997</v>
      </c>
      <c r="BH402">
        <v>42.909090910000003</v>
      </c>
      <c r="BI402">
        <v>178</v>
      </c>
      <c r="BJ402">
        <v>19.600000000000001</v>
      </c>
      <c r="BK402">
        <v>6.3</v>
      </c>
      <c r="BL402">
        <f>178-47</f>
        <v>131</v>
      </c>
      <c r="BM402">
        <v>70</v>
      </c>
      <c r="BN402">
        <v>61</v>
      </c>
      <c r="BO402">
        <f t="shared" si="62"/>
        <v>65.5</v>
      </c>
      <c r="BP402">
        <v>3</v>
      </c>
      <c r="BQ402">
        <v>1</v>
      </c>
      <c r="BS402">
        <v>0</v>
      </c>
      <c r="BT402">
        <f t="shared" si="63"/>
        <v>31.460674157303369</v>
      </c>
      <c r="BU402">
        <f t="shared" si="64"/>
        <v>18.367346938775515</v>
      </c>
      <c r="BV402">
        <f t="shared" si="65"/>
        <v>9.1603053435114496</v>
      </c>
      <c r="BW402">
        <f t="shared" si="66"/>
        <v>5.343511450381679</v>
      </c>
    </row>
    <row r="403" spans="1:75" x14ac:dyDescent="0.2">
      <c r="A403" t="s">
        <v>256</v>
      </c>
      <c r="B403" t="s">
        <v>278</v>
      </c>
      <c r="C403" t="s">
        <v>106</v>
      </c>
      <c r="D403" t="s">
        <v>342</v>
      </c>
      <c r="E403" t="s">
        <v>365</v>
      </c>
      <c r="F403" t="s">
        <v>554</v>
      </c>
      <c r="G403">
        <v>7</v>
      </c>
      <c r="H403">
        <v>1.9</v>
      </c>
      <c r="I403">
        <v>0.85</v>
      </c>
      <c r="J403">
        <v>1.1000000000000001</v>
      </c>
      <c r="K403">
        <v>10.85</v>
      </c>
      <c r="L403">
        <v>0.39285714300000002</v>
      </c>
      <c r="M403">
        <v>37</v>
      </c>
      <c r="N403">
        <v>41</v>
      </c>
      <c r="O403">
        <v>4</v>
      </c>
      <c r="P403">
        <v>40</v>
      </c>
      <c r="Q403">
        <v>3</v>
      </c>
      <c r="R403">
        <v>1.5</v>
      </c>
      <c r="S403">
        <v>50.1</v>
      </c>
      <c r="T403">
        <v>8.1081081079999997</v>
      </c>
      <c r="U403">
        <v>-2.4390243900000002</v>
      </c>
      <c r="V403">
        <v>5</v>
      </c>
      <c r="W403">
        <v>4</v>
      </c>
      <c r="X403">
        <v>5</v>
      </c>
      <c r="Y403">
        <v>0</v>
      </c>
      <c r="Z403">
        <v>0</v>
      </c>
      <c r="AA403" t="s">
        <v>66</v>
      </c>
      <c r="AB403" t="s">
        <v>66</v>
      </c>
      <c r="AC403" t="s">
        <v>66</v>
      </c>
      <c r="AD403" t="s">
        <v>66</v>
      </c>
      <c r="AE403">
        <v>17</v>
      </c>
      <c r="AF403">
        <v>10</v>
      </c>
      <c r="AG403" t="s">
        <v>66</v>
      </c>
      <c r="AH403">
        <v>12</v>
      </c>
      <c r="AI403">
        <v>9</v>
      </c>
      <c r="AJ403" t="s">
        <v>66</v>
      </c>
      <c r="AK403">
        <v>8</v>
      </c>
      <c r="AL403">
        <v>7</v>
      </c>
      <c r="AM403">
        <v>10</v>
      </c>
      <c r="AN403">
        <v>8</v>
      </c>
      <c r="AO403">
        <v>-20</v>
      </c>
      <c r="AP403">
        <v>-41.176470590000001</v>
      </c>
      <c r="AQ403">
        <v>1.7</v>
      </c>
      <c r="AR403">
        <v>1.25</v>
      </c>
      <c r="AS403">
        <v>-0.45</v>
      </c>
      <c r="AT403">
        <v>0</v>
      </c>
      <c r="AU403" t="s">
        <v>66</v>
      </c>
      <c r="AV403">
        <v>0</v>
      </c>
      <c r="AW403">
        <v>3</v>
      </c>
      <c r="AX403">
        <v>0</v>
      </c>
      <c r="AY403">
        <v>1</v>
      </c>
      <c r="AZ403">
        <v>1</v>
      </c>
      <c r="BA403">
        <v>1</v>
      </c>
      <c r="BB403" t="s">
        <v>66</v>
      </c>
      <c r="BC403">
        <v>26.8</v>
      </c>
      <c r="BD403">
        <v>30</v>
      </c>
      <c r="BE403">
        <v>11.94029851</v>
      </c>
      <c r="BF403">
        <v>0</v>
      </c>
      <c r="BG403">
        <v>30</v>
      </c>
      <c r="BH403">
        <v>11.94029851</v>
      </c>
      <c r="BI403">
        <v>39</v>
      </c>
      <c r="BJ403">
        <v>4.5</v>
      </c>
      <c r="BK403" t="s">
        <v>66</v>
      </c>
      <c r="BL403">
        <v>10</v>
      </c>
      <c r="BM403">
        <v>17</v>
      </c>
      <c r="BN403">
        <v>6</v>
      </c>
      <c r="BO403">
        <f t="shared" si="62"/>
        <v>11.5</v>
      </c>
      <c r="BP403">
        <v>3</v>
      </c>
      <c r="BQ403">
        <v>1</v>
      </c>
      <c r="BS403">
        <v>0</v>
      </c>
      <c r="BT403">
        <f t="shared" si="63"/>
        <v>5.1282051282051277</v>
      </c>
      <c r="BU403">
        <f t="shared" si="64"/>
        <v>-11.111111111111111</v>
      </c>
      <c r="BV403">
        <f t="shared" si="65"/>
        <v>-70</v>
      </c>
      <c r="BW403">
        <f t="shared" si="66"/>
        <v>13.043478260869565</v>
      </c>
    </row>
    <row r="404" spans="1:75" x14ac:dyDescent="0.2">
      <c r="A404" t="s">
        <v>256</v>
      </c>
      <c r="B404" t="s">
        <v>278</v>
      </c>
      <c r="C404" t="s">
        <v>106</v>
      </c>
      <c r="D404" t="s">
        <v>342</v>
      </c>
      <c r="E404" t="s">
        <v>367</v>
      </c>
      <c r="F404" t="s">
        <v>555</v>
      </c>
      <c r="G404">
        <v>7</v>
      </c>
      <c r="H404">
        <v>1.9</v>
      </c>
      <c r="I404">
        <v>0.85</v>
      </c>
      <c r="J404">
        <v>1.1000000000000001</v>
      </c>
      <c r="K404">
        <v>10.85</v>
      </c>
      <c r="L404">
        <v>0.39285714300000002</v>
      </c>
      <c r="M404">
        <v>53</v>
      </c>
      <c r="N404">
        <v>62</v>
      </c>
      <c r="O404">
        <v>9</v>
      </c>
      <c r="P404">
        <v>66</v>
      </c>
      <c r="Q404">
        <v>13</v>
      </c>
      <c r="R404">
        <v>6.5</v>
      </c>
      <c r="S404">
        <v>60.1</v>
      </c>
      <c r="T404">
        <v>24.528301890000002</v>
      </c>
      <c r="U404">
        <v>6.451612903</v>
      </c>
      <c r="V404">
        <v>9</v>
      </c>
      <c r="W404">
        <v>10</v>
      </c>
      <c r="X404">
        <v>11</v>
      </c>
      <c r="Y404">
        <v>2</v>
      </c>
      <c r="Z404">
        <v>22.222222219999999</v>
      </c>
      <c r="AA404" t="s">
        <v>66</v>
      </c>
      <c r="AB404" t="s">
        <v>66</v>
      </c>
      <c r="AC404" t="s">
        <v>66</v>
      </c>
      <c r="AD404" t="s">
        <v>66</v>
      </c>
      <c r="AE404">
        <v>49</v>
      </c>
      <c r="AF404">
        <v>39</v>
      </c>
      <c r="AG404" t="s">
        <v>66</v>
      </c>
      <c r="AH404">
        <v>41</v>
      </c>
      <c r="AI404">
        <v>40</v>
      </c>
      <c r="AJ404" t="s">
        <v>66</v>
      </c>
      <c r="AK404">
        <v>22</v>
      </c>
      <c r="AL404">
        <v>25</v>
      </c>
      <c r="AM404">
        <v>31.5</v>
      </c>
      <c r="AN404">
        <v>32.5</v>
      </c>
      <c r="AO404">
        <v>3.1746031750000001</v>
      </c>
      <c r="AP404">
        <v>-20.408163269999999</v>
      </c>
      <c r="AQ404">
        <v>1.5555555560000001</v>
      </c>
      <c r="AR404">
        <v>1.2</v>
      </c>
      <c r="AS404">
        <v>-0.35555555599999999</v>
      </c>
      <c r="AT404">
        <v>0</v>
      </c>
      <c r="AU404" t="s">
        <v>66</v>
      </c>
      <c r="AV404">
        <v>1</v>
      </c>
      <c r="AW404">
        <v>1</v>
      </c>
      <c r="AX404">
        <v>0</v>
      </c>
      <c r="AY404">
        <v>1</v>
      </c>
      <c r="AZ404">
        <v>1</v>
      </c>
      <c r="BA404">
        <v>1</v>
      </c>
      <c r="BB404" t="s">
        <v>66</v>
      </c>
      <c r="BC404">
        <v>32.1</v>
      </c>
      <c r="BD404">
        <v>41.8</v>
      </c>
      <c r="BE404">
        <v>30.218068540000001</v>
      </c>
      <c r="BF404">
        <v>0</v>
      </c>
      <c r="BG404">
        <v>41.8</v>
      </c>
      <c r="BH404">
        <v>30.218068540000001</v>
      </c>
      <c r="BI404">
        <v>80</v>
      </c>
      <c r="BJ404">
        <v>13.9</v>
      </c>
      <c r="BK404" t="s">
        <v>66</v>
      </c>
      <c r="BL404">
        <f>80-34</f>
        <v>46</v>
      </c>
      <c r="BM404">
        <v>35</v>
      </c>
      <c r="BN404">
        <v>22</v>
      </c>
      <c r="BO404">
        <f t="shared" si="62"/>
        <v>28.5</v>
      </c>
      <c r="BP404">
        <v>4</v>
      </c>
      <c r="BQ404">
        <v>1</v>
      </c>
      <c r="BS404">
        <v>0</v>
      </c>
      <c r="BT404">
        <f t="shared" si="63"/>
        <v>33.75</v>
      </c>
      <c r="BU404">
        <f t="shared" si="64"/>
        <v>35.251798561151084</v>
      </c>
      <c r="BV404">
        <f t="shared" si="65"/>
        <v>-6.5217391304347823</v>
      </c>
      <c r="BW404">
        <f t="shared" si="66"/>
        <v>-10.526315789473683</v>
      </c>
    </row>
    <row r="405" spans="1:75" x14ac:dyDescent="0.2">
      <c r="A405" t="s">
        <v>256</v>
      </c>
      <c r="B405" t="s">
        <v>278</v>
      </c>
      <c r="C405" t="s">
        <v>106</v>
      </c>
      <c r="D405" t="s">
        <v>342</v>
      </c>
      <c r="E405" t="s">
        <v>369</v>
      </c>
      <c r="F405" t="s">
        <v>556</v>
      </c>
      <c r="G405">
        <v>7</v>
      </c>
      <c r="H405">
        <v>1.9</v>
      </c>
      <c r="I405">
        <v>0.85</v>
      </c>
      <c r="J405">
        <v>1.1000000000000001</v>
      </c>
      <c r="K405">
        <v>10.85</v>
      </c>
      <c r="L405">
        <v>0.39285714300000002</v>
      </c>
      <c r="M405">
        <v>82</v>
      </c>
      <c r="N405">
        <v>89</v>
      </c>
      <c r="O405">
        <v>7</v>
      </c>
      <c r="P405">
        <v>96</v>
      </c>
      <c r="Q405">
        <v>14</v>
      </c>
      <c r="R405">
        <v>7</v>
      </c>
      <c r="S405">
        <v>61.1</v>
      </c>
      <c r="T405">
        <v>17.073170730000001</v>
      </c>
      <c r="U405">
        <v>7.8651685389999999</v>
      </c>
      <c r="V405">
        <v>9</v>
      </c>
      <c r="W405">
        <v>7</v>
      </c>
      <c r="X405">
        <v>17</v>
      </c>
      <c r="Y405">
        <v>8</v>
      </c>
      <c r="Z405">
        <v>88.888888890000004</v>
      </c>
      <c r="AA405" t="s">
        <v>66</v>
      </c>
      <c r="AB405" t="s">
        <v>66</v>
      </c>
      <c r="AC405" t="s">
        <v>66</v>
      </c>
      <c r="AD405" t="s">
        <v>66</v>
      </c>
      <c r="AE405">
        <v>60</v>
      </c>
      <c r="AF405">
        <v>51</v>
      </c>
      <c r="AG405" t="s">
        <v>66</v>
      </c>
      <c r="AH405">
        <v>42</v>
      </c>
      <c r="AI405">
        <v>39</v>
      </c>
      <c r="AJ405" t="s">
        <v>66</v>
      </c>
      <c r="AK405">
        <v>34</v>
      </c>
      <c r="AL405">
        <v>34</v>
      </c>
      <c r="AM405">
        <v>38</v>
      </c>
      <c r="AN405">
        <v>36.5</v>
      </c>
      <c r="AO405">
        <v>-3.9473684210000002</v>
      </c>
      <c r="AP405">
        <v>-15</v>
      </c>
      <c r="AQ405">
        <v>1.5789473679999999</v>
      </c>
      <c r="AR405">
        <v>1.397260274</v>
      </c>
      <c r="AS405">
        <v>-0.18168709399999999</v>
      </c>
      <c r="AT405">
        <v>0</v>
      </c>
      <c r="AU405" t="s">
        <v>66</v>
      </c>
      <c r="AV405">
        <v>0</v>
      </c>
      <c r="AW405">
        <v>2</v>
      </c>
      <c r="AX405">
        <v>0</v>
      </c>
      <c r="AY405">
        <v>1</v>
      </c>
      <c r="AZ405">
        <v>1</v>
      </c>
      <c r="BA405">
        <v>1</v>
      </c>
      <c r="BB405" t="s">
        <v>66</v>
      </c>
      <c r="BC405">
        <v>36.700000000000003</v>
      </c>
      <c r="BD405">
        <v>43.1</v>
      </c>
      <c r="BE405">
        <v>17.438692100000001</v>
      </c>
      <c r="BF405">
        <v>0</v>
      </c>
      <c r="BG405">
        <v>43.1</v>
      </c>
      <c r="BH405">
        <v>17.438692100000001</v>
      </c>
      <c r="BI405">
        <v>111</v>
      </c>
      <c r="BJ405">
        <v>14</v>
      </c>
      <c r="BK405" t="s">
        <v>66</v>
      </c>
      <c r="BL405">
        <f>111-73</f>
        <v>38</v>
      </c>
      <c r="BM405">
        <v>42</v>
      </c>
      <c r="BN405">
        <v>28</v>
      </c>
      <c r="BO405">
        <f t="shared" si="62"/>
        <v>35</v>
      </c>
      <c r="BP405">
        <v>3</v>
      </c>
      <c r="BQ405">
        <v>1</v>
      </c>
      <c r="BS405">
        <v>0</v>
      </c>
      <c r="BT405">
        <f t="shared" si="63"/>
        <v>26.126126126126124</v>
      </c>
      <c r="BU405">
        <f t="shared" si="64"/>
        <v>35.714285714285715</v>
      </c>
      <c r="BV405">
        <f t="shared" si="65"/>
        <v>-57.894736842105267</v>
      </c>
      <c r="BW405">
        <f t="shared" si="66"/>
        <v>-8.5714285714285712</v>
      </c>
    </row>
    <row r="406" spans="1:75" x14ac:dyDescent="0.2">
      <c r="A406" t="s">
        <v>256</v>
      </c>
      <c r="B406" t="s">
        <v>278</v>
      </c>
      <c r="C406" t="s">
        <v>106</v>
      </c>
      <c r="D406" t="s">
        <v>342</v>
      </c>
      <c r="E406" t="s">
        <v>371</v>
      </c>
      <c r="F406" t="s">
        <v>557</v>
      </c>
      <c r="G406">
        <v>7</v>
      </c>
      <c r="H406">
        <v>1.9</v>
      </c>
      <c r="I406">
        <v>0.85</v>
      </c>
      <c r="J406">
        <v>1.1000000000000001</v>
      </c>
      <c r="K406">
        <v>10.85</v>
      </c>
      <c r="L406">
        <v>0.39285714300000002</v>
      </c>
      <c r="M406">
        <v>37</v>
      </c>
      <c r="N406">
        <v>43</v>
      </c>
      <c r="O406">
        <v>6</v>
      </c>
      <c r="P406">
        <v>43</v>
      </c>
      <c r="Q406">
        <v>6</v>
      </c>
      <c r="R406">
        <v>3</v>
      </c>
      <c r="S406">
        <v>53.1</v>
      </c>
      <c r="T406">
        <v>16.21621622</v>
      </c>
      <c r="U406">
        <v>0</v>
      </c>
      <c r="V406">
        <v>5</v>
      </c>
      <c r="W406">
        <v>6</v>
      </c>
      <c r="X406">
        <v>6</v>
      </c>
      <c r="Y406">
        <v>1</v>
      </c>
      <c r="Z406">
        <v>20</v>
      </c>
      <c r="AA406" t="s">
        <v>66</v>
      </c>
      <c r="AB406" t="s">
        <v>66</v>
      </c>
      <c r="AC406" t="s">
        <v>66</v>
      </c>
      <c r="AD406" t="s">
        <v>66</v>
      </c>
      <c r="AE406">
        <v>25</v>
      </c>
      <c r="AF406">
        <v>25</v>
      </c>
      <c r="AG406" t="s">
        <v>66</v>
      </c>
      <c r="AH406">
        <v>16</v>
      </c>
      <c r="AI406">
        <v>18</v>
      </c>
      <c r="AJ406" t="s">
        <v>66</v>
      </c>
      <c r="AK406">
        <v>12</v>
      </c>
      <c r="AL406">
        <v>12</v>
      </c>
      <c r="AM406">
        <v>14</v>
      </c>
      <c r="AN406">
        <v>15</v>
      </c>
      <c r="AO406">
        <v>7.1428571429999996</v>
      </c>
      <c r="AP406">
        <v>0</v>
      </c>
      <c r="AQ406">
        <v>1.7857142859999999</v>
      </c>
      <c r="AR406">
        <v>1.6666666670000001</v>
      </c>
      <c r="AS406">
        <v>-0.11904761899999999</v>
      </c>
      <c r="AT406">
        <v>0</v>
      </c>
      <c r="AU406" t="s">
        <v>66</v>
      </c>
      <c r="AV406">
        <v>0</v>
      </c>
      <c r="AW406">
        <v>2</v>
      </c>
      <c r="AX406">
        <v>0</v>
      </c>
      <c r="AY406">
        <v>1</v>
      </c>
      <c r="AZ406">
        <v>1</v>
      </c>
      <c r="BA406">
        <v>1</v>
      </c>
      <c r="BB406" t="s">
        <v>66</v>
      </c>
      <c r="BC406">
        <v>30.4</v>
      </c>
      <c r="BD406">
        <v>24.8</v>
      </c>
      <c r="BE406">
        <v>-18.421052629999998</v>
      </c>
      <c r="BF406">
        <v>0</v>
      </c>
      <c r="BG406">
        <v>24.8</v>
      </c>
      <c r="BH406">
        <v>-18.421052629999998</v>
      </c>
      <c r="BI406">
        <v>24</v>
      </c>
      <c r="BJ406">
        <v>6</v>
      </c>
      <c r="BK406" t="s">
        <v>66</v>
      </c>
      <c r="BL406">
        <v>12</v>
      </c>
      <c r="BM406">
        <v>7</v>
      </c>
      <c r="BN406">
        <v>6</v>
      </c>
      <c r="BO406">
        <f t="shared" si="62"/>
        <v>6.5</v>
      </c>
      <c r="BP406">
        <v>4</v>
      </c>
      <c r="BQ406">
        <v>1</v>
      </c>
      <c r="BS406">
        <v>0</v>
      </c>
      <c r="BT406">
        <f t="shared" si="63"/>
        <v>-54.166666666666664</v>
      </c>
      <c r="BU406">
        <f t="shared" si="64"/>
        <v>16.666666666666664</v>
      </c>
      <c r="BV406">
        <f t="shared" si="65"/>
        <v>-108.33333333333333</v>
      </c>
      <c r="BW406">
        <f t="shared" si="66"/>
        <v>-115.38461538461537</v>
      </c>
    </row>
    <row r="407" spans="1:75" x14ac:dyDescent="0.2">
      <c r="A407" t="s">
        <v>256</v>
      </c>
      <c r="B407" t="s">
        <v>278</v>
      </c>
      <c r="C407" t="s">
        <v>106</v>
      </c>
      <c r="D407" t="s">
        <v>342</v>
      </c>
      <c r="E407" t="s">
        <v>373</v>
      </c>
      <c r="F407" t="s">
        <v>558</v>
      </c>
      <c r="G407">
        <v>7</v>
      </c>
      <c r="H407">
        <v>1.9</v>
      </c>
      <c r="I407">
        <v>0.85</v>
      </c>
      <c r="J407">
        <v>1.1000000000000001</v>
      </c>
      <c r="K407">
        <v>10.85</v>
      </c>
      <c r="L407">
        <v>0.39285714300000002</v>
      </c>
      <c r="M407">
        <v>110</v>
      </c>
      <c r="N407">
        <v>119</v>
      </c>
      <c r="O407">
        <v>9</v>
      </c>
      <c r="P407">
        <v>138</v>
      </c>
      <c r="Q407">
        <v>28</v>
      </c>
      <c r="R407">
        <v>14</v>
      </c>
      <c r="S407">
        <v>75.099999999999994</v>
      </c>
      <c r="T407">
        <v>25.454545450000001</v>
      </c>
      <c r="U407">
        <v>15.966386549999999</v>
      </c>
      <c r="V407">
        <v>12</v>
      </c>
      <c r="W407">
        <v>9</v>
      </c>
      <c r="X407">
        <v>19</v>
      </c>
      <c r="Y407">
        <v>7</v>
      </c>
      <c r="Z407">
        <v>58.333333330000002</v>
      </c>
      <c r="AA407" t="s">
        <v>66</v>
      </c>
      <c r="AB407" t="s">
        <v>66</v>
      </c>
      <c r="AC407" t="s">
        <v>66</v>
      </c>
      <c r="AD407" t="s">
        <v>66</v>
      </c>
      <c r="AE407">
        <v>99</v>
      </c>
      <c r="AF407">
        <v>103</v>
      </c>
      <c r="AG407" t="s">
        <v>66</v>
      </c>
      <c r="AH407">
        <v>67</v>
      </c>
      <c r="AI407">
        <v>62</v>
      </c>
      <c r="AJ407" t="s">
        <v>66</v>
      </c>
      <c r="AK407">
        <v>44</v>
      </c>
      <c r="AL407">
        <v>43</v>
      </c>
      <c r="AM407">
        <v>55.5</v>
      </c>
      <c r="AN407">
        <v>52.5</v>
      </c>
      <c r="AO407">
        <v>-5.4054054049999998</v>
      </c>
      <c r="AP407">
        <v>4.0404040400000003</v>
      </c>
      <c r="AQ407">
        <v>1.7837837839999999</v>
      </c>
      <c r="AR407">
        <v>1.9619047620000001</v>
      </c>
      <c r="AS407">
        <v>0.17812097800000001</v>
      </c>
      <c r="AT407">
        <v>0</v>
      </c>
      <c r="AU407" t="s">
        <v>66</v>
      </c>
      <c r="AV407">
        <v>1</v>
      </c>
      <c r="AW407">
        <v>1</v>
      </c>
      <c r="AX407">
        <v>0</v>
      </c>
      <c r="AY407">
        <v>1</v>
      </c>
      <c r="AZ407">
        <v>1</v>
      </c>
      <c r="BA407">
        <v>1</v>
      </c>
      <c r="BB407" t="s">
        <v>66</v>
      </c>
      <c r="BC407">
        <v>40.5</v>
      </c>
      <c r="BD407">
        <v>52.9</v>
      </c>
      <c r="BE407">
        <v>30.617283950000001</v>
      </c>
      <c r="BF407">
        <v>0</v>
      </c>
      <c r="BG407">
        <v>52.9</v>
      </c>
      <c r="BH407">
        <v>30.617283950000001</v>
      </c>
      <c r="BI407">
        <v>165</v>
      </c>
      <c r="BJ407">
        <v>23.2</v>
      </c>
      <c r="BK407">
        <v>3.2</v>
      </c>
      <c r="BL407">
        <v>115</v>
      </c>
      <c r="BM407">
        <v>63</v>
      </c>
      <c r="BN407">
        <v>44</v>
      </c>
      <c r="BO407">
        <f t="shared" si="62"/>
        <v>53.5</v>
      </c>
      <c r="BP407">
        <v>2</v>
      </c>
      <c r="BQ407">
        <v>1</v>
      </c>
      <c r="BS407">
        <v>0</v>
      </c>
      <c r="BT407">
        <f t="shared" si="63"/>
        <v>33.333333333333329</v>
      </c>
      <c r="BU407">
        <f t="shared" si="64"/>
        <v>48.275862068965516</v>
      </c>
      <c r="BV407">
        <f t="shared" si="65"/>
        <v>13.913043478260869</v>
      </c>
      <c r="BW407">
        <f t="shared" si="66"/>
        <v>-3.7383177570093453</v>
      </c>
    </row>
    <row r="408" spans="1:75" x14ac:dyDescent="0.2">
      <c r="A408" t="s">
        <v>256</v>
      </c>
      <c r="B408" t="s">
        <v>278</v>
      </c>
      <c r="C408" t="s">
        <v>106</v>
      </c>
      <c r="D408" t="s">
        <v>342</v>
      </c>
      <c r="E408" t="s">
        <v>375</v>
      </c>
      <c r="F408" t="s">
        <v>559</v>
      </c>
      <c r="G408">
        <v>7</v>
      </c>
      <c r="H408">
        <v>1.9</v>
      </c>
      <c r="I408">
        <v>0.85</v>
      </c>
      <c r="J408">
        <v>1.1000000000000001</v>
      </c>
      <c r="K408">
        <v>10.85</v>
      </c>
      <c r="L408">
        <v>0.39285714300000002</v>
      </c>
      <c r="M408">
        <v>84</v>
      </c>
      <c r="N408">
        <v>140</v>
      </c>
      <c r="O408">
        <v>56</v>
      </c>
      <c r="P408">
        <v>150</v>
      </c>
      <c r="Q408">
        <v>66</v>
      </c>
      <c r="R408">
        <v>33</v>
      </c>
      <c r="S408">
        <v>113.1</v>
      </c>
      <c r="T408">
        <v>78.571428569999995</v>
      </c>
      <c r="U408">
        <v>7.1428571429999996</v>
      </c>
      <c r="V408">
        <v>9</v>
      </c>
      <c r="W408">
        <v>19</v>
      </c>
      <c r="X408">
        <v>21</v>
      </c>
      <c r="Y408">
        <v>12</v>
      </c>
      <c r="Z408">
        <v>133.33333329999999</v>
      </c>
      <c r="AA408" t="s">
        <v>66</v>
      </c>
      <c r="AB408" t="s">
        <v>66</v>
      </c>
      <c r="AC408">
        <v>3</v>
      </c>
      <c r="AD408" t="s">
        <v>66</v>
      </c>
      <c r="AE408">
        <v>100</v>
      </c>
      <c r="AF408">
        <v>97</v>
      </c>
      <c r="AG408" t="s">
        <v>66</v>
      </c>
      <c r="AH408">
        <v>70</v>
      </c>
      <c r="AI408">
        <v>89</v>
      </c>
      <c r="AJ408" t="s">
        <v>66</v>
      </c>
      <c r="AK408">
        <v>51</v>
      </c>
      <c r="AL408">
        <v>37</v>
      </c>
      <c r="AM408">
        <v>60.5</v>
      </c>
      <c r="AN408">
        <v>63</v>
      </c>
      <c r="AO408">
        <v>4.1322314049999997</v>
      </c>
      <c r="AP408">
        <v>-3</v>
      </c>
      <c r="AQ408">
        <v>1.6528925619999999</v>
      </c>
      <c r="AR408">
        <v>1.53968254</v>
      </c>
      <c r="AS408">
        <v>-0.11321002199999999</v>
      </c>
      <c r="AT408">
        <v>0</v>
      </c>
      <c r="AU408" t="s">
        <v>66</v>
      </c>
      <c r="AV408">
        <v>1</v>
      </c>
      <c r="AW408">
        <v>1</v>
      </c>
      <c r="AX408">
        <v>0</v>
      </c>
      <c r="AY408">
        <v>1</v>
      </c>
      <c r="AZ408">
        <v>1</v>
      </c>
      <c r="BA408">
        <v>1</v>
      </c>
      <c r="BB408" t="s">
        <v>66</v>
      </c>
      <c r="BC408">
        <v>48.2</v>
      </c>
      <c r="BD408">
        <v>51.2</v>
      </c>
      <c r="BE408">
        <v>6.2240663899999999</v>
      </c>
      <c r="BF408">
        <v>0</v>
      </c>
      <c r="BG408">
        <v>51.2</v>
      </c>
      <c r="BH408">
        <v>6.2240663899999999</v>
      </c>
      <c r="BI408">
        <v>204</v>
      </c>
      <c r="BJ408">
        <v>26.5</v>
      </c>
      <c r="BK408">
        <v>7.6</v>
      </c>
      <c r="BL408">
        <f>204-55</f>
        <v>149</v>
      </c>
      <c r="BM408">
        <v>87</v>
      </c>
      <c r="BN408">
        <v>59</v>
      </c>
      <c r="BO408">
        <f t="shared" si="62"/>
        <v>73</v>
      </c>
      <c r="BP408">
        <v>4</v>
      </c>
      <c r="BQ408">
        <v>1</v>
      </c>
      <c r="BS408">
        <v>0</v>
      </c>
      <c r="BT408">
        <f t="shared" si="63"/>
        <v>58.82352941176471</v>
      </c>
      <c r="BU408">
        <f t="shared" si="64"/>
        <v>66.037735849056602</v>
      </c>
      <c r="BV408">
        <f t="shared" si="65"/>
        <v>32.885906040268459</v>
      </c>
      <c r="BW408">
        <f t="shared" si="66"/>
        <v>17.123287671232877</v>
      </c>
    </row>
    <row r="409" spans="1:75" x14ac:dyDescent="0.2">
      <c r="A409" t="s">
        <v>256</v>
      </c>
      <c r="B409" t="s">
        <v>278</v>
      </c>
      <c r="C409" t="s">
        <v>106</v>
      </c>
      <c r="D409" t="s">
        <v>342</v>
      </c>
      <c r="E409" t="s">
        <v>377</v>
      </c>
      <c r="F409" t="s">
        <v>560</v>
      </c>
      <c r="G409">
        <v>7</v>
      </c>
      <c r="H409">
        <v>1.9</v>
      </c>
      <c r="I409">
        <v>0.85</v>
      </c>
      <c r="J409">
        <v>1.1000000000000001</v>
      </c>
      <c r="K409">
        <v>10.85</v>
      </c>
      <c r="L409">
        <v>0.39285714300000002</v>
      </c>
      <c r="M409">
        <v>79</v>
      </c>
      <c r="N409">
        <v>85</v>
      </c>
      <c r="O409">
        <v>6</v>
      </c>
      <c r="P409">
        <v>88</v>
      </c>
      <c r="Q409">
        <v>9</v>
      </c>
      <c r="R409">
        <v>4.5</v>
      </c>
      <c r="S409">
        <v>56.1</v>
      </c>
      <c r="T409">
        <v>11.39240506</v>
      </c>
      <c r="U409">
        <v>3.5294117649999999</v>
      </c>
      <c r="V409">
        <v>9</v>
      </c>
      <c r="W409">
        <v>10</v>
      </c>
      <c r="X409">
        <v>9</v>
      </c>
      <c r="Y409">
        <v>0</v>
      </c>
      <c r="Z409">
        <v>0</v>
      </c>
      <c r="AA409" t="s">
        <v>66</v>
      </c>
      <c r="AB409" t="s">
        <v>66</v>
      </c>
      <c r="AC409" t="s">
        <v>66</v>
      </c>
      <c r="AD409" t="s">
        <v>66</v>
      </c>
      <c r="AE409">
        <v>60</v>
      </c>
      <c r="AF409">
        <v>64</v>
      </c>
      <c r="AG409" t="s">
        <v>66</v>
      </c>
      <c r="AH409">
        <v>27</v>
      </c>
      <c r="AI409">
        <v>38</v>
      </c>
      <c r="AJ409" t="s">
        <v>66</v>
      </c>
      <c r="AK409">
        <v>18</v>
      </c>
      <c r="AL409">
        <v>16</v>
      </c>
      <c r="AM409">
        <v>22.5</v>
      </c>
      <c r="AN409">
        <v>27</v>
      </c>
      <c r="AO409">
        <v>20</v>
      </c>
      <c r="AP409">
        <v>6.6666666670000003</v>
      </c>
      <c r="AQ409">
        <v>2.6666666669999999</v>
      </c>
      <c r="AR409">
        <v>2.3703703699999998</v>
      </c>
      <c r="AS409">
        <v>-0.29629629699999999</v>
      </c>
      <c r="AT409">
        <v>0</v>
      </c>
      <c r="AU409" t="s">
        <v>66</v>
      </c>
      <c r="AV409">
        <v>1</v>
      </c>
      <c r="AW409">
        <v>1</v>
      </c>
      <c r="AX409">
        <v>0</v>
      </c>
      <c r="AY409">
        <v>1</v>
      </c>
      <c r="AZ409">
        <v>1</v>
      </c>
      <c r="BA409">
        <v>1</v>
      </c>
      <c r="BB409" t="s">
        <v>66</v>
      </c>
      <c r="BC409">
        <v>24.4</v>
      </c>
      <c r="BD409">
        <v>29.1</v>
      </c>
      <c r="BE409">
        <v>19.262295080000001</v>
      </c>
      <c r="BF409">
        <v>0</v>
      </c>
      <c r="BG409">
        <v>29.1</v>
      </c>
      <c r="BH409">
        <v>19.262295080000001</v>
      </c>
      <c r="BI409">
        <v>86</v>
      </c>
      <c r="BJ409">
        <v>10.9</v>
      </c>
      <c r="BK409" t="s">
        <v>66</v>
      </c>
      <c r="BL409">
        <f>86-24</f>
        <v>62</v>
      </c>
      <c r="BM409">
        <v>25</v>
      </c>
      <c r="BN409">
        <v>14</v>
      </c>
      <c r="BO409">
        <f t="shared" si="62"/>
        <v>19.5</v>
      </c>
      <c r="BP409">
        <v>4</v>
      </c>
      <c r="BQ409">
        <v>1</v>
      </c>
      <c r="BS409">
        <v>0</v>
      </c>
      <c r="BT409">
        <f t="shared" si="63"/>
        <v>8.1395348837209305</v>
      </c>
      <c r="BU409">
        <f t="shared" si="64"/>
        <v>17.431192660550462</v>
      </c>
      <c r="BV409">
        <f t="shared" si="65"/>
        <v>3.225806451612903</v>
      </c>
      <c r="BW409">
        <f t="shared" si="66"/>
        <v>-15.384615384615385</v>
      </c>
    </row>
    <row r="410" spans="1:75" x14ac:dyDescent="0.2">
      <c r="A410" t="s">
        <v>256</v>
      </c>
      <c r="B410" t="s">
        <v>278</v>
      </c>
      <c r="C410" t="s">
        <v>106</v>
      </c>
      <c r="D410" t="s">
        <v>342</v>
      </c>
      <c r="E410" t="s">
        <v>379</v>
      </c>
      <c r="F410" t="s">
        <v>561</v>
      </c>
      <c r="G410">
        <v>7</v>
      </c>
      <c r="H410">
        <v>1.9</v>
      </c>
      <c r="I410">
        <v>0.85</v>
      </c>
      <c r="J410">
        <v>1.1000000000000001</v>
      </c>
      <c r="K410">
        <v>10.85</v>
      </c>
      <c r="L410">
        <v>0.39285714300000002</v>
      </c>
      <c r="M410">
        <v>110</v>
      </c>
      <c r="N410">
        <v>92</v>
      </c>
      <c r="O410">
        <v>-18</v>
      </c>
      <c r="P410">
        <v>96</v>
      </c>
      <c r="Q410">
        <v>-14</v>
      </c>
      <c r="R410">
        <v>-7</v>
      </c>
      <c r="S410">
        <v>33.1</v>
      </c>
      <c r="T410">
        <v>-12.727272729999999</v>
      </c>
      <c r="U410">
        <v>4.3478260869999996</v>
      </c>
      <c r="V410">
        <v>12</v>
      </c>
      <c r="W410">
        <v>11</v>
      </c>
      <c r="X410">
        <v>11</v>
      </c>
      <c r="Y410">
        <v>-1</v>
      </c>
      <c r="Z410">
        <v>-8.3333333330000006</v>
      </c>
      <c r="AA410" t="s">
        <v>66</v>
      </c>
      <c r="AB410" t="s">
        <v>66</v>
      </c>
      <c r="AC410" t="s">
        <v>66</v>
      </c>
      <c r="AD410" t="s">
        <v>66</v>
      </c>
      <c r="AE410">
        <v>61</v>
      </c>
      <c r="AF410">
        <v>53</v>
      </c>
      <c r="AG410" t="s">
        <v>66</v>
      </c>
      <c r="AH410">
        <v>40</v>
      </c>
      <c r="AI410">
        <v>41</v>
      </c>
      <c r="AJ410" t="s">
        <v>66</v>
      </c>
      <c r="AK410">
        <v>23</v>
      </c>
      <c r="AL410">
        <v>19</v>
      </c>
      <c r="AM410">
        <v>31.5</v>
      </c>
      <c r="AN410">
        <v>30</v>
      </c>
      <c r="AO410">
        <v>-4.7619047620000003</v>
      </c>
      <c r="AP410">
        <v>-13.114754100000001</v>
      </c>
      <c r="AQ410">
        <v>1.936507937</v>
      </c>
      <c r="AR410">
        <v>1.766666667</v>
      </c>
      <c r="AS410">
        <v>-0.16984126999999999</v>
      </c>
      <c r="AT410">
        <v>0</v>
      </c>
      <c r="AU410" t="s">
        <v>66</v>
      </c>
      <c r="AV410">
        <v>1</v>
      </c>
      <c r="AW410">
        <v>1</v>
      </c>
      <c r="AX410">
        <v>0</v>
      </c>
      <c r="AY410">
        <v>1</v>
      </c>
      <c r="AZ410">
        <v>1</v>
      </c>
      <c r="BA410">
        <v>1</v>
      </c>
      <c r="BB410" t="s">
        <v>66</v>
      </c>
      <c r="BC410">
        <v>29.4</v>
      </c>
      <c r="BD410">
        <v>36.200000000000003</v>
      </c>
      <c r="BE410">
        <v>23.129251700000001</v>
      </c>
      <c r="BF410">
        <v>0</v>
      </c>
      <c r="BG410">
        <v>36.200000000000003</v>
      </c>
      <c r="BH410">
        <v>23.129251700000001</v>
      </c>
      <c r="BI410">
        <v>104</v>
      </c>
      <c r="BJ410">
        <v>12</v>
      </c>
      <c r="BK410" t="s">
        <v>66</v>
      </c>
      <c r="BL410">
        <f>104-58</f>
        <v>46</v>
      </c>
      <c r="BM410">
        <v>27</v>
      </c>
      <c r="BN410">
        <v>6</v>
      </c>
      <c r="BO410">
        <f t="shared" si="62"/>
        <v>16.5</v>
      </c>
      <c r="BP410">
        <v>4</v>
      </c>
      <c r="BQ410">
        <v>1</v>
      </c>
      <c r="BS410">
        <v>0</v>
      </c>
      <c r="BT410">
        <f t="shared" si="63"/>
        <v>-5.7692307692307692</v>
      </c>
      <c r="BU410">
        <f t="shared" si="64"/>
        <v>0</v>
      </c>
      <c r="BV410">
        <f t="shared" si="65"/>
        <v>-32.608695652173914</v>
      </c>
      <c r="BW410">
        <f t="shared" si="66"/>
        <v>-90.909090909090907</v>
      </c>
    </row>
    <row r="411" spans="1:75" x14ac:dyDescent="0.2">
      <c r="A411" t="s">
        <v>256</v>
      </c>
      <c r="B411" t="s">
        <v>278</v>
      </c>
      <c r="C411" t="s">
        <v>106</v>
      </c>
      <c r="D411" t="s">
        <v>342</v>
      </c>
      <c r="E411" t="s">
        <v>381</v>
      </c>
      <c r="F411" t="s">
        <v>562</v>
      </c>
      <c r="G411">
        <v>7</v>
      </c>
      <c r="H411">
        <v>1.9</v>
      </c>
      <c r="I411">
        <v>0.85</v>
      </c>
      <c r="J411">
        <v>1.1000000000000001</v>
      </c>
      <c r="K411">
        <v>10.85</v>
      </c>
      <c r="L411">
        <v>0.39285714300000002</v>
      </c>
      <c r="M411">
        <v>44</v>
      </c>
      <c r="N411">
        <v>57</v>
      </c>
      <c r="O411">
        <v>13</v>
      </c>
      <c r="P411">
        <v>60</v>
      </c>
      <c r="Q411">
        <v>16</v>
      </c>
      <c r="R411">
        <v>8</v>
      </c>
      <c r="S411">
        <v>63.1</v>
      </c>
      <c r="T411">
        <v>36.363636360000001</v>
      </c>
      <c r="U411">
        <v>5.263157895</v>
      </c>
      <c r="V411">
        <v>6</v>
      </c>
      <c r="W411">
        <v>7</v>
      </c>
      <c r="X411">
        <v>7</v>
      </c>
      <c r="Y411">
        <v>1</v>
      </c>
      <c r="Z411">
        <v>16.666666670000001</v>
      </c>
      <c r="AA411" t="s">
        <v>66</v>
      </c>
      <c r="AB411" t="s">
        <v>66</v>
      </c>
      <c r="AC411" t="s">
        <v>66</v>
      </c>
      <c r="AD411" t="s">
        <v>66</v>
      </c>
      <c r="AE411">
        <v>44</v>
      </c>
      <c r="AF411">
        <v>23</v>
      </c>
      <c r="AG411" t="s">
        <v>66</v>
      </c>
      <c r="AH411">
        <v>13</v>
      </c>
      <c r="AI411">
        <v>9</v>
      </c>
      <c r="AJ411" t="s">
        <v>66</v>
      </c>
      <c r="AK411">
        <v>12</v>
      </c>
      <c r="AL411">
        <v>8</v>
      </c>
      <c r="AM411">
        <v>12.5</v>
      </c>
      <c r="AN411">
        <v>8.5</v>
      </c>
      <c r="AO411">
        <v>-32</v>
      </c>
      <c r="AP411">
        <v>-47.727272730000003</v>
      </c>
      <c r="AQ411">
        <v>3.52</v>
      </c>
      <c r="AR411">
        <v>2.7058823529999998</v>
      </c>
      <c r="AS411">
        <v>-0.814117647</v>
      </c>
      <c r="AT411">
        <v>0</v>
      </c>
      <c r="AU411" t="s">
        <v>66</v>
      </c>
      <c r="AV411">
        <v>1</v>
      </c>
      <c r="AW411">
        <v>4</v>
      </c>
      <c r="AX411">
        <v>0</v>
      </c>
      <c r="AY411">
        <v>1</v>
      </c>
      <c r="AZ411">
        <v>1</v>
      </c>
      <c r="BA411">
        <v>1</v>
      </c>
      <c r="BB411" t="s">
        <v>66</v>
      </c>
      <c r="BC411">
        <v>34.5</v>
      </c>
      <c r="BD411">
        <v>30.2</v>
      </c>
      <c r="BE411">
        <v>-12.463768119999999</v>
      </c>
      <c r="BF411">
        <v>0</v>
      </c>
      <c r="BG411">
        <v>30.2</v>
      </c>
      <c r="BH411">
        <v>-12.463768119999999</v>
      </c>
      <c r="BI411">
        <v>56</v>
      </c>
      <c r="BJ411">
        <v>6.8</v>
      </c>
      <c r="BK411" t="s">
        <v>66</v>
      </c>
      <c r="BL411">
        <f>56-11</f>
        <v>45</v>
      </c>
      <c r="BM411">
        <v>10</v>
      </c>
      <c r="BN411">
        <v>6</v>
      </c>
      <c r="BO411">
        <f t="shared" si="62"/>
        <v>8</v>
      </c>
      <c r="BP411">
        <v>4</v>
      </c>
      <c r="BQ411">
        <v>1</v>
      </c>
      <c r="BS411">
        <v>0</v>
      </c>
      <c r="BT411">
        <f t="shared" si="63"/>
        <v>21.428571428571427</v>
      </c>
      <c r="BU411">
        <f t="shared" si="64"/>
        <v>11.764705882352938</v>
      </c>
      <c r="BV411">
        <f t="shared" si="65"/>
        <v>2.2222222222222223</v>
      </c>
      <c r="BW411">
        <f t="shared" si="66"/>
        <v>-56.25</v>
      </c>
    </row>
    <row r="412" spans="1:75" x14ac:dyDescent="0.2">
      <c r="A412" t="s">
        <v>256</v>
      </c>
      <c r="B412" t="s">
        <v>278</v>
      </c>
      <c r="C412" t="s">
        <v>106</v>
      </c>
      <c r="D412" t="s">
        <v>342</v>
      </c>
      <c r="E412" t="s">
        <v>347</v>
      </c>
      <c r="F412" t="s">
        <v>545</v>
      </c>
      <c r="G412">
        <v>7</v>
      </c>
      <c r="H412">
        <v>1.9</v>
      </c>
      <c r="I412">
        <v>0.85</v>
      </c>
      <c r="J412">
        <v>1.1000000000000001</v>
      </c>
      <c r="K412">
        <v>10.85</v>
      </c>
      <c r="L412">
        <v>0.39285714300000002</v>
      </c>
      <c r="M412">
        <v>90</v>
      </c>
      <c r="N412">
        <v>107</v>
      </c>
      <c r="O412">
        <v>17</v>
      </c>
      <c r="P412">
        <v>109</v>
      </c>
      <c r="Q412">
        <v>19</v>
      </c>
      <c r="R412">
        <v>9.5</v>
      </c>
      <c r="S412">
        <v>66.099999999999994</v>
      </c>
      <c r="T412">
        <v>21.11111111</v>
      </c>
      <c r="U412">
        <v>1.869158879</v>
      </c>
      <c r="V412">
        <v>9</v>
      </c>
      <c r="W412">
        <v>10</v>
      </c>
      <c r="X412">
        <v>12</v>
      </c>
      <c r="Y412">
        <v>3</v>
      </c>
      <c r="Z412">
        <v>33.333333330000002</v>
      </c>
      <c r="AA412" t="s">
        <v>66</v>
      </c>
      <c r="AB412" t="s">
        <v>66</v>
      </c>
      <c r="AC412" t="s">
        <v>66</v>
      </c>
      <c r="AD412" t="s">
        <v>66</v>
      </c>
      <c r="AE412">
        <v>85</v>
      </c>
      <c r="AF412">
        <v>88</v>
      </c>
      <c r="AG412" t="s">
        <v>66</v>
      </c>
      <c r="AH412">
        <v>44</v>
      </c>
      <c r="AI412">
        <v>46</v>
      </c>
      <c r="AJ412" t="s">
        <v>66</v>
      </c>
      <c r="AK412">
        <v>23</v>
      </c>
      <c r="AL412">
        <v>24</v>
      </c>
      <c r="AM412">
        <v>33.5</v>
      </c>
      <c r="AN412">
        <v>35</v>
      </c>
      <c r="AO412">
        <v>4.4776119400000001</v>
      </c>
      <c r="AP412">
        <v>3.5294117649999999</v>
      </c>
      <c r="AQ412">
        <v>2.537313433</v>
      </c>
      <c r="AR412">
        <v>2.5142857140000001</v>
      </c>
      <c r="AS412">
        <v>-2.3027718999999999E-2</v>
      </c>
      <c r="AT412">
        <v>0</v>
      </c>
      <c r="AU412" t="s">
        <v>66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 t="s">
        <v>66</v>
      </c>
      <c r="BC412">
        <v>31.6</v>
      </c>
      <c r="BD412">
        <v>35</v>
      </c>
      <c r="BE412">
        <v>10.759493669999999</v>
      </c>
      <c r="BF412">
        <v>0</v>
      </c>
      <c r="BG412">
        <v>35</v>
      </c>
      <c r="BH412">
        <v>10.759493669999999</v>
      </c>
      <c r="BI412">
        <v>116</v>
      </c>
      <c r="BJ412">
        <v>13.9</v>
      </c>
      <c r="BK412" t="s">
        <v>66</v>
      </c>
      <c r="BL412">
        <f>116-42</f>
        <v>74</v>
      </c>
      <c r="BM412">
        <v>47</v>
      </c>
      <c r="BN412">
        <v>18</v>
      </c>
      <c r="BO412">
        <f t="shared" si="62"/>
        <v>32.5</v>
      </c>
      <c r="BP412">
        <v>3</v>
      </c>
      <c r="BQ412">
        <v>1</v>
      </c>
      <c r="BS412">
        <v>0</v>
      </c>
      <c r="BT412">
        <f t="shared" si="63"/>
        <v>22.413793103448278</v>
      </c>
      <c r="BU412">
        <f t="shared" si="64"/>
        <v>35.251798561151084</v>
      </c>
      <c r="BV412">
        <f t="shared" si="65"/>
        <v>-14.864864864864865</v>
      </c>
      <c r="BW412">
        <f t="shared" si="66"/>
        <v>-3.0769230769230771</v>
      </c>
    </row>
    <row r="413" spans="1:75" x14ac:dyDescent="0.2">
      <c r="A413" t="s">
        <v>256</v>
      </c>
      <c r="B413" t="s">
        <v>278</v>
      </c>
      <c r="C413" t="s">
        <v>106</v>
      </c>
      <c r="D413" t="s">
        <v>342</v>
      </c>
      <c r="E413" t="s">
        <v>349</v>
      </c>
      <c r="F413" t="s">
        <v>546</v>
      </c>
      <c r="G413">
        <v>7</v>
      </c>
      <c r="H413">
        <v>1.9</v>
      </c>
      <c r="I413">
        <v>0.85</v>
      </c>
      <c r="J413">
        <v>1.1000000000000001</v>
      </c>
      <c r="K413">
        <v>10.85</v>
      </c>
      <c r="L413">
        <v>0.39285714300000002</v>
      </c>
      <c r="M413">
        <v>120</v>
      </c>
      <c r="N413">
        <v>121</v>
      </c>
      <c r="O413">
        <v>1</v>
      </c>
      <c r="P413">
        <v>125</v>
      </c>
      <c r="Q413">
        <v>5</v>
      </c>
      <c r="R413">
        <v>2.5</v>
      </c>
      <c r="S413">
        <v>52.1</v>
      </c>
      <c r="T413">
        <v>4.1666666670000003</v>
      </c>
      <c r="U413">
        <v>3.3057851239999998</v>
      </c>
      <c r="V413">
        <v>14</v>
      </c>
      <c r="W413">
        <v>13</v>
      </c>
      <c r="X413">
        <v>14</v>
      </c>
      <c r="Y413">
        <v>0</v>
      </c>
      <c r="Z413">
        <v>0</v>
      </c>
      <c r="AA413" t="s">
        <v>66</v>
      </c>
      <c r="AB413" t="s">
        <v>66</v>
      </c>
      <c r="AC413" t="s">
        <v>66</v>
      </c>
      <c r="AD413" t="s">
        <v>66</v>
      </c>
      <c r="AE413">
        <v>91</v>
      </c>
      <c r="AF413">
        <v>86</v>
      </c>
      <c r="AG413" t="s">
        <v>66</v>
      </c>
      <c r="AH413">
        <v>79</v>
      </c>
      <c r="AI413">
        <v>54</v>
      </c>
      <c r="AJ413" t="s">
        <v>66</v>
      </c>
      <c r="AK413">
        <v>62</v>
      </c>
      <c r="AL413">
        <v>46</v>
      </c>
      <c r="AM413">
        <v>70.5</v>
      </c>
      <c r="AN413">
        <v>50</v>
      </c>
      <c r="AO413">
        <v>-29.07801418</v>
      </c>
      <c r="AP413">
        <v>-5.4945054950000003</v>
      </c>
      <c r="AQ413">
        <v>1.290780142</v>
      </c>
      <c r="AR413">
        <v>1.72</v>
      </c>
      <c r="AS413">
        <v>0.42921985800000001</v>
      </c>
      <c r="AT413">
        <v>0</v>
      </c>
      <c r="AU413" t="s">
        <v>66</v>
      </c>
      <c r="AV413">
        <v>2</v>
      </c>
      <c r="AW413">
        <v>4</v>
      </c>
      <c r="AX413">
        <v>1</v>
      </c>
      <c r="AY413">
        <v>1</v>
      </c>
      <c r="AZ413">
        <v>1</v>
      </c>
      <c r="BA413">
        <v>1</v>
      </c>
      <c r="BB413" t="s">
        <v>66</v>
      </c>
      <c r="BC413">
        <v>33.4</v>
      </c>
      <c r="BD413">
        <v>43.1</v>
      </c>
      <c r="BE413">
        <v>29.04191617</v>
      </c>
      <c r="BF413">
        <v>0</v>
      </c>
      <c r="BG413">
        <v>43.1</v>
      </c>
      <c r="BH413">
        <v>29.04191617</v>
      </c>
      <c r="BI413">
        <v>131</v>
      </c>
      <c r="BJ413">
        <v>16</v>
      </c>
      <c r="BK413" t="s">
        <v>66</v>
      </c>
      <c r="BL413">
        <f>131-47</f>
        <v>84</v>
      </c>
      <c r="BM413">
        <v>56</v>
      </c>
      <c r="BN413">
        <v>45</v>
      </c>
      <c r="BO413">
        <f t="shared" si="62"/>
        <v>50.5</v>
      </c>
      <c r="BP413">
        <v>3</v>
      </c>
      <c r="BQ413">
        <v>1</v>
      </c>
      <c r="BS413">
        <v>0</v>
      </c>
      <c r="BT413">
        <f t="shared" si="63"/>
        <v>8.3969465648854964</v>
      </c>
      <c r="BU413">
        <f t="shared" si="64"/>
        <v>12.5</v>
      </c>
      <c r="BV413">
        <f t="shared" si="65"/>
        <v>-8.3333333333333321</v>
      </c>
      <c r="BW413">
        <f t="shared" si="66"/>
        <v>-39.603960396039604</v>
      </c>
    </row>
    <row r="414" spans="1:75" x14ac:dyDescent="0.2">
      <c r="A414" t="s">
        <v>256</v>
      </c>
      <c r="B414" t="s">
        <v>278</v>
      </c>
      <c r="C414" t="s">
        <v>106</v>
      </c>
      <c r="D414" t="s">
        <v>342</v>
      </c>
      <c r="E414" t="s">
        <v>357</v>
      </c>
      <c r="F414" t="s">
        <v>550</v>
      </c>
      <c r="G414">
        <v>7</v>
      </c>
      <c r="H414">
        <v>1.9</v>
      </c>
      <c r="I414">
        <v>0.85</v>
      </c>
      <c r="J414">
        <v>1.1000000000000001</v>
      </c>
      <c r="K414">
        <v>10.85</v>
      </c>
      <c r="L414">
        <v>0.39285714300000002</v>
      </c>
      <c r="M414">
        <v>40</v>
      </c>
      <c r="N414">
        <v>44</v>
      </c>
      <c r="O414">
        <v>4</v>
      </c>
      <c r="P414">
        <v>46</v>
      </c>
      <c r="Q414">
        <v>6</v>
      </c>
      <c r="R414">
        <v>3</v>
      </c>
      <c r="S414">
        <v>53.1</v>
      </c>
      <c r="T414">
        <v>15</v>
      </c>
      <c r="U414">
        <v>4.5454545450000001</v>
      </c>
      <c r="V414">
        <v>4</v>
      </c>
      <c r="W414">
        <v>4</v>
      </c>
      <c r="X414">
        <v>6</v>
      </c>
      <c r="Y414">
        <v>2</v>
      </c>
      <c r="Z414">
        <v>50</v>
      </c>
      <c r="AA414" t="s">
        <v>66</v>
      </c>
      <c r="AB414" t="s">
        <v>66</v>
      </c>
      <c r="AC414" t="s">
        <v>66</v>
      </c>
      <c r="AD414" t="s">
        <v>66</v>
      </c>
      <c r="AE414">
        <v>18</v>
      </c>
      <c r="AF414">
        <v>20</v>
      </c>
      <c r="AG414" t="s">
        <v>66</v>
      </c>
      <c r="AH414">
        <v>10</v>
      </c>
      <c r="AI414">
        <v>11</v>
      </c>
      <c r="AJ414" t="s">
        <v>66</v>
      </c>
      <c r="AK414">
        <v>5</v>
      </c>
      <c r="AL414">
        <v>5</v>
      </c>
      <c r="AM414">
        <v>7.5</v>
      </c>
      <c r="AN414">
        <v>8</v>
      </c>
      <c r="AO414">
        <v>6.6666666670000003</v>
      </c>
      <c r="AP414">
        <v>11.11111111</v>
      </c>
      <c r="AQ414">
        <v>2.4</v>
      </c>
      <c r="AR414">
        <v>2.5</v>
      </c>
      <c r="AS414">
        <v>0.1</v>
      </c>
      <c r="AT414">
        <v>0</v>
      </c>
      <c r="AU414" t="s">
        <v>66</v>
      </c>
      <c r="AV414">
        <v>0</v>
      </c>
      <c r="AW414">
        <v>1</v>
      </c>
      <c r="AX414">
        <v>1</v>
      </c>
      <c r="AY414">
        <v>1</v>
      </c>
      <c r="AZ414">
        <v>1</v>
      </c>
      <c r="BA414">
        <v>1</v>
      </c>
      <c r="BB414" t="s">
        <v>66</v>
      </c>
      <c r="BC414">
        <v>24.2</v>
      </c>
      <c r="BD414">
        <v>32.799999999999997</v>
      </c>
      <c r="BE414">
        <v>35.537190080000002</v>
      </c>
      <c r="BF414">
        <v>0</v>
      </c>
      <c r="BG414">
        <v>32.799999999999997</v>
      </c>
      <c r="BH414">
        <v>35.537190080000002</v>
      </c>
      <c r="BI414">
        <v>51</v>
      </c>
      <c r="BJ414">
        <v>7.7</v>
      </c>
      <c r="BK414" t="s">
        <v>66</v>
      </c>
      <c r="BL414">
        <f>51-27</f>
        <v>24</v>
      </c>
      <c r="BM414">
        <v>16</v>
      </c>
      <c r="BN414">
        <v>6</v>
      </c>
      <c r="BO414">
        <f t="shared" si="62"/>
        <v>11</v>
      </c>
      <c r="BP414">
        <v>4</v>
      </c>
      <c r="BQ414">
        <v>1</v>
      </c>
      <c r="BS414">
        <v>0</v>
      </c>
      <c r="BT414">
        <f t="shared" si="63"/>
        <v>21.568627450980394</v>
      </c>
      <c r="BU414">
        <f t="shared" si="64"/>
        <v>48.051948051948052</v>
      </c>
      <c r="BV414">
        <f t="shared" si="65"/>
        <v>25</v>
      </c>
      <c r="BW414">
        <f t="shared" si="66"/>
        <v>31.818181818181817</v>
      </c>
    </row>
    <row r="415" spans="1:75" x14ac:dyDescent="0.2">
      <c r="A415" t="s">
        <v>299</v>
      </c>
      <c r="B415" t="s">
        <v>321</v>
      </c>
      <c r="C415" t="s">
        <v>106</v>
      </c>
      <c r="D415" t="s">
        <v>342</v>
      </c>
      <c r="E415" t="s">
        <v>345</v>
      </c>
      <c r="F415" t="s">
        <v>584</v>
      </c>
      <c r="G415">
        <v>9.5</v>
      </c>
      <c r="H415">
        <v>15.55</v>
      </c>
      <c r="I415">
        <v>15</v>
      </c>
      <c r="J415">
        <v>4.0999999999999996</v>
      </c>
      <c r="K415">
        <v>44.15</v>
      </c>
      <c r="L415">
        <v>3.2157894740000001</v>
      </c>
      <c r="M415">
        <v>48</v>
      </c>
      <c r="N415">
        <v>56</v>
      </c>
      <c r="O415">
        <v>8</v>
      </c>
      <c r="P415">
        <v>48</v>
      </c>
      <c r="Q415">
        <v>0</v>
      </c>
      <c r="R415">
        <v>1E-3</v>
      </c>
      <c r="S415">
        <v>47.1</v>
      </c>
      <c r="T415">
        <v>0</v>
      </c>
      <c r="U415">
        <v>-14.28571429</v>
      </c>
      <c r="V415">
        <v>6</v>
      </c>
      <c r="W415">
        <v>8</v>
      </c>
      <c r="X415">
        <v>8</v>
      </c>
      <c r="Y415">
        <v>2</v>
      </c>
      <c r="Z415">
        <v>33.333333330000002</v>
      </c>
      <c r="AA415" t="s">
        <v>66</v>
      </c>
      <c r="AB415" t="s">
        <v>66</v>
      </c>
      <c r="AC415" t="s">
        <v>66</v>
      </c>
      <c r="AD415" t="s">
        <v>66</v>
      </c>
      <c r="AE415">
        <v>20</v>
      </c>
      <c r="AF415">
        <v>19</v>
      </c>
      <c r="AG415" t="s">
        <v>66</v>
      </c>
      <c r="AH415">
        <v>7</v>
      </c>
      <c r="AI415">
        <v>7</v>
      </c>
      <c r="AJ415" t="s">
        <v>66</v>
      </c>
      <c r="AK415">
        <v>7</v>
      </c>
      <c r="AL415">
        <v>7</v>
      </c>
      <c r="AM415">
        <v>7</v>
      </c>
      <c r="AN415">
        <v>7</v>
      </c>
      <c r="AO415">
        <v>0</v>
      </c>
      <c r="AP415">
        <v>-5</v>
      </c>
      <c r="AQ415">
        <v>2.8571428569999999</v>
      </c>
      <c r="AR415">
        <v>2.7142857139999998</v>
      </c>
      <c r="AS415">
        <v>-0.14285714299999999</v>
      </c>
      <c r="AT415">
        <v>0</v>
      </c>
      <c r="AU415" t="s">
        <v>66</v>
      </c>
      <c r="AV415">
        <v>1</v>
      </c>
      <c r="AW415">
        <v>4</v>
      </c>
      <c r="AX415">
        <v>0</v>
      </c>
      <c r="AY415">
        <v>1</v>
      </c>
      <c r="AZ415">
        <v>1</v>
      </c>
      <c r="BA415">
        <v>1</v>
      </c>
      <c r="BB415" t="s">
        <v>66</v>
      </c>
      <c r="BC415">
        <v>28.7</v>
      </c>
      <c r="BD415">
        <v>33.1</v>
      </c>
      <c r="BE415">
        <v>15.331010450000001</v>
      </c>
      <c r="BF415">
        <v>0</v>
      </c>
      <c r="BG415">
        <v>33.1</v>
      </c>
      <c r="BH415">
        <v>15.331010450000001</v>
      </c>
      <c r="BI415" t="s">
        <v>66</v>
      </c>
      <c r="BJ415" t="s">
        <v>66</v>
      </c>
      <c r="BK415" t="s">
        <v>66</v>
      </c>
      <c r="BL415" t="s">
        <v>66</v>
      </c>
      <c r="BM415" t="s">
        <v>66</v>
      </c>
      <c r="BN415" t="s">
        <v>66</v>
      </c>
      <c r="BO415" t="s">
        <v>66</v>
      </c>
      <c r="BP415" t="s">
        <v>66</v>
      </c>
      <c r="BQ415">
        <v>0</v>
      </c>
      <c r="BS415">
        <v>0</v>
      </c>
      <c r="BT415" t="s">
        <v>66</v>
      </c>
      <c r="BU415" t="s">
        <v>66</v>
      </c>
      <c r="BV415" t="s">
        <v>66</v>
      </c>
      <c r="BW415" t="s">
        <v>66</v>
      </c>
    </row>
    <row r="416" spans="1:75" x14ac:dyDescent="0.2">
      <c r="A416" t="s">
        <v>299</v>
      </c>
      <c r="B416" t="s">
        <v>321</v>
      </c>
      <c r="C416" t="s">
        <v>106</v>
      </c>
      <c r="D416" t="s">
        <v>342</v>
      </c>
      <c r="E416" t="s">
        <v>343</v>
      </c>
      <c r="F416" t="s">
        <v>583</v>
      </c>
      <c r="G416">
        <v>9.5</v>
      </c>
      <c r="H416">
        <v>15.55</v>
      </c>
      <c r="I416">
        <v>15</v>
      </c>
      <c r="J416">
        <v>4.0999999999999996</v>
      </c>
      <c r="K416">
        <v>44.15</v>
      </c>
      <c r="L416">
        <v>3.2157894740000001</v>
      </c>
      <c r="M416">
        <v>78</v>
      </c>
      <c r="N416">
        <v>85</v>
      </c>
      <c r="O416">
        <v>7</v>
      </c>
      <c r="P416">
        <v>86</v>
      </c>
      <c r="Q416">
        <v>8</v>
      </c>
      <c r="R416">
        <v>4</v>
      </c>
      <c r="S416">
        <v>55.1</v>
      </c>
      <c r="T416">
        <v>10.256410259999999</v>
      </c>
      <c r="U416">
        <v>1.1764705879999999</v>
      </c>
      <c r="V416">
        <v>7</v>
      </c>
      <c r="W416">
        <v>7</v>
      </c>
      <c r="X416">
        <v>7</v>
      </c>
      <c r="Y416">
        <v>0</v>
      </c>
      <c r="Z416">
        <v>0</v>
      </c>
      <c r="AA416" t="s">
        <v>66</v>
      </c>
      <c r="AB416" t="s">
        <v>66</v>
      </c>
      <c r="AC416" t="s">
        <v>66</v>
      </c>
      <c r="AD416" t="s">
        <v>66</v>
      </c>
      <c r="AE416">
        <v>46</v>
      </c>
      <c r="AF416">
        <v>28</v>
      </c>
      <c r="AG416" t="s">
        <v>66</v>
      </c>
      <c r="AH416">
        <v>16</v>
      </c>
      <c r="AI416">
        <v>14</v>
      </c>
      <c r="AJ416" t="s">
        <v>66</v>
      </c>
      <c r="AK416">
        <v>14</v>
      </c>
      <c r="AL416">
        <v>6</v>
      </c>
      <c r="AM416">
        <v>15</v>
      </c>
      <c r="AN416">
        <v>10</v>
      </c>
      <c r="AO416">
        <v>-33.333333330000002</v>
      </c>
      <c r="AP416">
        <v>-39.130434780000002</v>
      </c>
      <c r="AQ416">
        <v>3.0666666669999998</v>
      </c>
      <c r="AR416">
        <v>2.8</v>
      </c>
      <c r="AS416">
        <v>-0.26666666700000002</v>
      </c>
      <c r="AT416">
        <v>0</v>
      </c>
      <c r="AU416" t="s">
        <v>66</v>
      </c>
      <c r="AV416">
        <v>1</v>
      </c>
      <c r="AW416">
        <v>2</v>
      </c>
      <c r="AX416">
        <v>0</v>
      </c>
      <c r="AY416">
        <v>1</v>
      </c>
      <c r="AZ416">
        <v>1</v>
      </c>
      <c r="BA416">
        <v>1</v>
      </c>
      <c r="BB416" t="s">
        <v>66</v>
      </c>
      <c r="BC416">
        <v>39.1</v>
      </c>
      <c r="BD416">
        <v>40.299999999999997</v>
      </c>
      <c r="BE416">
        <v>3.0690537080000002</v>
      </c>
      <c r="BF416">
        <v>0</v>
      </c>
      <c r="BG416">
        <v>40.299999999999997</v>
      </c>
      <c r="BH416">
        <v>3.0690537080000002</v>
      </c>
      <c r="BI416">
        <v>87</v>
      </c>
      <c r="BJ416">
        <v>5.6</v>
      </c>
      <c r="BK416" t="s">
        <v>66</v>
      </c>
      <c r="BL416">
        <f>87-64</f>
        <v>23</v>
      </c>
      <c r="BM416">
        <v>18</v>
      </c>
      <c r="BN416">
        <v>7</v>
      </c>
      <c r="BO416">
        <f t="shared" ref="BO416:BO447" si="67">AVERAGE(BM416,BN416)</f>
        <v>12.5</v>
      </c>
      <c r="BP416">
        <v>3</v>
      </c>
      <c r="BQ416">
        <v>1</v>
      </c>
      <c r="BS416">
        <v>0</v>
      </c>
      <c r="BT416">
        <f t="shared" ref="BT416:BT447" si="68">(BI416-M416)/BI416*100</f>
        <v>10.344827586206897</v>
      </c>
      <c r="BU416">
        <f t="shared" ref="BU416:BU447" si="69">(BJ416-V416)/BJ416*100</f>
        <v>-25.000000000000007</v>
      </c>
      <c r="BV416">
        <f t="shared" ref="BV416:BV447" si="70">(BL416-AE416)/BL416*100</f>
        <v>-100</v>
      </c>
      <c r="BW416">
        <f t="shared" ref="BW416:BW447" si="71">(BO416-AM416)/BO416*100</f>
        <v>-20</v>
      </c>
    </row>
    <row r="417" spans="1:75" x14ac:dyDescent="0.2">
      <c r="A417" t="s">
        <v>299</v>
      </c>
      <c r="B417" t="s">
        <v>321</v>
      </c>
      <c r="C417" t="s">
        <v>106</v>
      </c>
      <c r="D417" t="s">
        <v>342</v>
      </c>
      <c r="E417" t="s">
        <v>353</v>
      </c>
      <c r="F417" t="s">
        <v>588</v>
      </c>
      <c r="G417">
        <v>9.5</v>
      </c>
      <c r="H417">
        <v>15.55</v>
      </c>
      <c r="I417">
        <v>15</v>
      </c>
      <c r="J417">
        <v>4.0999999999999996</v>
      </c>
      <c r="K417">
        <v>44.15</v>
      </c>
      <c r="L417">
        <v>3.2157894740000001</v>
      </c>
      <c r="M417">
        <v>81</v>
      </c>
      <c r="N417">
        <v>97</v>
      </c>
      <c r="O417">
        <v>16</v>
      </c>
      <c r="P417">
        <v>97</v>
      </c>
      <c r="Q417">
        <v>16</v>
      </c>
      <c r="R417">
        <v>8</v>
      </c>
      <c r="S417">
        <v>63.1</v>
      </c>
      <c r="T417">
        <v>19.753086419999999</v>
      </c>
      <c r="U417">
        <v>0</v>
      </c>
      <c r="V417">
        <v>7</v>
      </c>
      <c r="W417">
        <v>5</v>
      </c>
      <c r="X417">
        <v>8</v>
      </c>
      <c r="Y417">
        <v>1</v>
      </c>
      <c r="Z417">
        <v>14.28571429</v>
      </c>
      <c r="AA417" t="s">
        <v>66</v>
      </c>
      <c r="AB417" t="s">
        <v>66</v>
      </c>
      <c r="AC417" t="s">
        <v>66</v>
      </c>
      <c r="AD417" t="s">
        <v>66</v>
      </c>
      <c r="AE417">
        <v>67</v>
      </c>
      <c r="AF417">
        <v>64</v>
      </c>
      <c r="AG417" t="s">
        <v>66</v>
      </c>
      <c r="AH417">
        <v>41</v>
      </c>
      <c r="AI417">
        <v>48</v>
      </c>
      <c r="AJ417" t="s">
        <v>66</v>
      </c>
      <c r="AK417">
        <v>9</v>
      </c>
      <c r="AL417">
        <v>20</v>
      </c>
      <c r="AM417">
        <v>25</v>
      </c>
      <c r="AN417">
        <v>34</v>
      </c>
      <c r="AO417">
        <v>36</v>
      </c>
      <c r="AP417">
        <v>-4.4776119400000001</v>
      </c>
      <c r="AQ417">
        <v>2.68</v>
      </c>
      <c r="AR417">
        <v>1.8823529409999999</v>
      </c>
      <c r="AS417">
        <v>-0.79764705899999999</v>
      </c>
      <c r="AT417">
        <v>0</v>
      </c>
      <c r="AU417" t="s">
        <v>66</v>
      </c>
      <c r="AV417">
        <v>2</v>
      </c>
      <c r="AW417">
        <v>1</v>
      </c>
      <c r="AX417">
        <v>0</v>
      </c>
      <c r="AY417">
        <v>1</v>
      </c>
      <c r="AZ417">
        <v>1</v>
      </c>
      <c r="BA417">
        <v>1</v>
      </c>
      <c r="BB417" t="s">
        <v>66</v>
      </c>
      <c r="BC417">
        <v>40.4</v>
      </c>
      <c r="BD417">
        <v>43.6</v>
      </c>
      <c r="BE417">
        <v>7.9207920789999999</v>
      </c>
      <c r="BF417">
        <v>0</v>
      </c>
      <c r="BG417">
        <v>43.6</v>
      </c>
      <c r="BH417">
        <v>7.9207920789999999</v>
      </c>
      <c r="BI417">
        <v>118</v>
      </c>
      <c r="BJ417">
        <v>8</v>
      </c>
      <c r="BK417" t="s">
        <v>66</v>
      </c>
      <c r="BL417">
        <f>118-32</f>
        <v>86</v>
      </c>
      <c r="BM417">
        <v>25</v>
      </c>
      <c r="BN417">
        <v>5</v>
      </c>
      <c r="BO417">
        <f t="shared" si="67"/>
        <v>15</v>
      </c>
      <c r="BP417">
        <v>4</v>
      </c>
      <c r="BQ417">
        <v>1</v>
      </c>
      <c r="BS417">
        <v>0</v>
      </c>
      <c r="BT417">
        <f t="shared" si="68"/>
        <v>31.35593220338983</v>
      </c>
      <c r="BU417">
        <f t="shared" si="69"/>
        <v>12.5</v>
      </c>
      <c r="BV417">
        <f t="shared" si="70"/>
        <v>22.093023255813954</v>
      </c>
      <c r="BW417">
        <f t="shared" si="71"/>
        <v>-66.666666666666657</v>
      </c>
    </row>
    <row r="418" spans="1:75" x14ac:dyDescent="0.2">
      <c r="A418" t="s">
        <v>299</v>
      </c>
      <c r="B418" t="s">
        <v>321</v>
      </c>
      <c r="C418" t="s">
        <v>106</v>
      </c>
      <c r="D418" t="s">
        <v>342</v>
      </c>
      <c r="E418" t="s">
        <v>355</v>
      </c>
      <c r="F418" t="s">
        <v>589</v>
      </c>
      <c r="G418">
        <v>9.5</v>
      </c>
      <c r="H418">
        <v>15.55</v>
      </c>
      <c r="I418">
        <v>15</v>
      </c>
      <c r="J418">
        <v>4.0999999999999996</v>
      </c>
      <c r="K418">
        <v>44.15</v>
      </c>
      <c r="L418">
        <v>3.2157894740000001</v>
      </c>
      <c r="M418">
        <v>63</v>
      </c>
      <c r="N418">
        <v>76</v>
      </c>
      <c r="O418">
        <v>13</v>
      </c>
      <c r="P418">
        <v>80</v>
      </c>
      <c r="Q418">
        <v>17</v>
      </c>
      <c r="R418">
        <v>8.5</v>
      </c>
      <c r="S418">
        <v>64.099999999999994</v>
      </c>
      <c r="T418">
        <v>26.984126979999999</v>
      </c>
      <c r="U418">
        <v>5.263157895</v>
      </c>
      <c r="V418">
        <v>7</v>
      </c>
      <c r="W418">
        <v>8</v>
      </c>
      <c r="X418">
        <v>14</v>
      </c>
      <c r="Y418">
        <v>7</v>
      </c>
      <c r="Z418">
        <v>100</v>
      </c>
      <c r="AA418" t="s">
        <v>66</v>
      </c>
      <c r="AB418" t="s">
        <v>66</v>
      </c>
      <c r="AC418" t="s">
        <v>66</v>
      </c>
      <c r="AD418" t="s">
        <v>66</v>
      </c>
      <c r="AE418">
        <v>53</v>
      </c>
      <c r="AF418">
        <v>46</v>
      </c>
      <c r="AG418" t="s">
        <v>66</v>
      </c>
      <c r="AH418">
        <v>31</v>
      </c>
      <c r="AI418">
        <v>38</v>
      </c>
      <c r="AJ418" t="s">
        <v>66</v>
      </c>
      <c r="AK418">
        <v>15</v>
      </c>
      <c r="AL418">
        <v>12</v>
      </c>
      <c r="AM418">
        <v>23</v>
      </c>
      <c r="AN418">
        <v>25</v>
      </c>
      <c r="AO418">
        <v>8.6956521739999992</v>
      </c>
      <c r="AP418">
        <v>-13.20754717</v>
      </c>
      <c r="AQ418">
        <v>2.3043478259999999</v>
      </c>
      <c r="AR418">
        <v>1.84</v>
      </c>
      <c r="AS418">
        <v>-0.46434782600000002</v>
      </c>
      <c r="AT418">
        <v>0</v>
      </c>
      <c r="AU418" t="s">
        <v>66</v>
      </c>
      <c r="AV418">
        <v>0</v>
      </c>
      <c r="AW418">
        <v>1</v>
      </c>
      <c r="AX418">
        <v>0</v>
      </c>
      <c r="AY418">
        <v>1</v>
      </c>
      <c r="AZ418">
        <v>1</v>
      </c>
      <c r="BA418">
        <v>1</v>
      </c>
      <c r="BB418" t="s">
        <v>66</v>
      </c>
      <c r="BC418">
        <v>41.9</v>
      </c>
      <c r="BD418">
        <v>45.6</v>
      </c>
      <c r="BE418">
        <v>8.8305489260000005</v>
      </c>
      <c r="BF418">
        <v>0</v>
      </c>
      <c r="BG418">
        <v>45.6</v>
      </c>
      <c r="BH418">
        <v>8.8305489260000005</v>
      </c>
      <c r="BI418">
        <v>98</v>
      </c>
      <c r="BJ418">
        <v>7.2</v>
      </c>
      <c r="BK418" t="s">
        <v>66</v>
      </c>
      <c r="BL418">
        <f>98-44</f>
        <v>54</v>
      </c>
      <c r="BM418">
        <v>27</v>
      </c>
      <c r="BN418">
        <v>10</v>
      </c>
      <c r="BO418">
        <f t="shared" si="67"/>
        <v>18.5</v>
      </c>
      <c r="BP418">
        <v>4</v>
      </c>
      <c r="BQ418">
        <v>1</v>
      </c>
      <c r="BS418">
        <v>0</v>
      </c>
      <c r="BT418">
        <f t="shared" si="68"/>
        <v>35.714285714285715</v>
      </c>
      <c r="BU418">
        <f t="shared" si="69"/>
        <v>2.7777777777777799</v>
      </c>
      <c r="BV418">
        <f t="shared" si="70"/>
        <v>1.8518518518518516</v>
      </c>
      <c r="BW418">
        <f t="shared" si="71"/>
        <v>-24.324324324324326</v>
      </c>
    </row>
    <row r="419" spans="1:75" x14ac:dyDescent="0.2">
      <c r="A419" t="s">
        <v>299</v>
      </c>
      <c r="B419" t="s">
        <v>321</v>
      </c>
      <c r="C419" t="s">
        <v>106</v>
      </c>
      <c r="D419" t="s">
        <v>342</v>
      </c>
      <c r="E419" t="s">
        <v>359</v>
      </c>
      <c r="F419" t="s">
        <v>591</v>
      </c>
      <c r="G419">
        <v>9.5</v>
      </c>
      <c r="H419">
        <v>15.55</v>
      </c>
      <c r="I419">
        <v>15</v>
      </c>
      <c r="J419">
        <v>4.0999999999999996</v>
      </c>
      <c r="K419">
        <v>44.15</v>
      </c>
      <c r="L419">
        <v>3.2157894740000001</v>
      </c>
      <c r="M419">
        <v>65</v>
      </c>
      <c r="N419">
        <v>75</v>
      </c>
      <c r="O419">
        <v>10</v>
      </c>
      <c r="P419">
        <v>78</v>
      </c>
      <c r="Q419">
        <v>13</v>
      </c>
      <c r="R419">
        <v>6.5</v>
      </c>
      <c r="S419">
        <v>60.1</v>
      </c>
      <c r="T419">
        <v>20</v>
      </c>
      <c r="U419">
        <v>4</v>
      </c>
      <c r="V419">
        <v>7</v>
      </c>
      <c r="W419">
        <v>7</v>
      </c>
      <c r="X419">
        <v>13</v>
      </c>
      <c r="Y419">
        <v>6</v>
      </c>
      <c r="Z419">
        <v>85.714285709999999</v>
      </c>
      <c r="AA419" t="s">
        <v>66</v>
      </c>
      <c r="AB419" t="s">
        <v>66</v>
      </c>
      <c r="AC419" t="s">
        <v>66</v>
      </c>
      <c r="AD419" t="s">
        <v>66</v>
      </c>
      <c r="AE419">
        <v>52</v>
      </c>
      <c r="AF419">
        <v>37</v>
      </c>
      <c r="AG419" t="s">
        <v>66</v>
      </c>
      <c r="AH419">
        <v>27</v>
      </c>
      <c r="AI419">
        <v>28</v>
      </c>
      <c r="AJ419" t="s">
        <v>66</v>
      </c>
      <c r="AK419">
        <v>15</v>
      </c>
      <c r="AL419">
        <v>17</v>
      </c>
      <c r="AM419">
        <v>21</v>
      </c>
      <c r="AN419">
        <v>22.5</v>
      </c>
      <c r="AO419">
        <v>7.1428571429999996</v>
      </c>
      <c r="AP419">
        <v>-28.84615385</v>
      </c>
      <c r="AQ419">
        <v>2.4761904760000002</v>
      </c>
      <c r="AR419">
        <v>1.6444444439999999</v>
      </c>
      <c r="AS419">
        <v>-0.83174603199999997</v>
      </c>
      <c r="AT419">
        <v>0</v>
      </c>
      <c r="AU419" t="s">
        <v>66</v>
      </c>
      <c r="AV419">
        <v>1</v>
      </c>
      <c r="AW419">
        <v>1</v>
      </c>
      <c r="AX419">
        <v>0</v>
      </c>
      <c r="AY419">
        <v>1</v>
      </c>
      <c r="AZ419">
        <v>1</v>
      </c>
      <c r="BA419">
        <v>1</v>
      </c>
      <c r="BB419" t="s">
        <v>66</v>
      </c>
      <c r="BC419">
        <v>37</v>
      </c>
      <c r="BD419">
        <v>34.5</v>
      </c>
      <c r="BE419">
        <v>-6.7567567569999998</v>
      </c>
      <c r="BF419">
        <v>0</v>
      </c>
      <c r="BG419">
        <v>34.5</v>
      </c>
      <c r="BH419">
        <v>-6.7567567569999998</v>
      </c>
      <c r="BI419">
        <v>79</v>
      </c>
      <c r="BJ419">
        <v>7.3</v>
      </c>
      <c r="BK419" t="s">
        <v>66</v>
      </c>
      <c r="BL419">
        <f>79-37</f>
        <v>42</v>
      </c>
      <c r="BM419">
        <v>23</v>
      </c>
      <c r="BN419">
        <v>14</v>
      </c>
      <c r="BO419">
        <f t="shared" si="67"/>
        <v>18.5</v>
      </c>
      <c r="BP419">
        <v>4</v>
      </c>
      <c r="BQ419">
        <v>1</v>
      </c>
      <c r="BS419">
        <v>0</v>
      </c>
      <c r="BT419">
        <f t="shared" si="68"/>
        <v>17.721518987341771</v>
      </c>
      <c r="BU419">
        <f t="shared" si="69"/>
        <v>4.1095890410958882</v>
      </c>
      <c r="BV419">
        <f t="shared" si="70"/>
        <v>-23.809523809523807</v>
      </c>
      <c r="BW419">
        <f t="shared" si="71"/>
        <v>-13.513513513513514</v>
      </c>
    </row>
    <row r="420" spans="1:75" x14ac:dyDescent="0.2">
      <c r="A420" t="s">
        <v>299</v>
      </c>
      <c r="B420" t="s">
        <v>321</v>
      </c>
      <c r="C420" t="s">
        <v>106</v>
      </c>
      <c r="D420" t="s">
        <v>342</v>
      </c>
      <c r="E420" t="s">
        <v>361</v>
      </c>
      <c r="F420" t="s">
        <v>592</v>
      </c>
      <c r="G420">
        <v>9.5</v>
      </c>
      <c r="H420">
        <v>15.55</v>
      </c>
      <c r="I420">
        <v>15</v>
      </c>
      <c r="J420">
        <v>4.0999999999999996</v>
      </c>
      <c r="K420">
        <v>44.15</v>
      </c>
      <c r="L420">
        <v>3.2157894740000001</v>
      </c>
      <c r="M420">
        <v>108</v>
      </c>
      <c r="N420">
        <v>139</v>
      </c>
      <c r="O420">
        <v>31</v>
      </c>
      <c r="P420">
        <v>117</v>
      </c>
      <c r="Q420">
        <v>9</v>
      </c>
      <c r="R420">
        <v>4.5</v>
      </c>
      <c r="S420">
        <v>56.1</v>
      </c>
      <c r="T420">
        <v>8.3333333330000006</v>
      </c>
      <c r="U420">
        <v>-15.827338129999999</v>
      </c>
      <c r="V420">
        <v>10</v>
      </c>
      <c r="W420">
        <v>11</v>
      </c>
      <c r="X420">
        <v>17</v>
      </c>
      <c r="Y420">
        <v>7</v>
      </c>
      <c r="Z420">
        <v>70</v>
      </c>
      <c r="AA420" t="s">
        <v>66</v>
      </c>
      <c r="AB420" t="s">
        <v>66</v>
      </c>
      <c r="AC420" t="s">
        <v>66</v>
      </c>
      <c r="AD420" t="s">
        <v>66</v>
      </c>
      <c r="AE420">
        <v>103</v>
      </c>
      <c r="AF420">
        <v>67</v>
      </c>
      <c r="AG420" t="s">
        <v>66</v>
      </c>
      <c r="AH420">
        <v>55</v>
      </c>
      <c r="AI420">
        <v>57</v>
      </c>
      <c r="AJ420" t="s">
        <v>66</v>
      </c>
      <c r="AK420">
        <v>29</v>
      </c>
      <c r="AL420">
        <v>36</v>
      </c>
      <c r="AM420">
        <v>42</v>
      </c>
      <c r="AN420">
        <v>46.5</v>
      </c>
      <c r="AO420">
        <v>10.71428571</v>
      </c>
      <c r="AP420">
        <v>-34.951456309999998</v>
      </c>
      <c r="AQ420">
        <v>2.4523809519999999</v>
      </c>
      <c r="AR420">
        <v>1.4408602150000001</v>
      </c>
      <c r="AS420">
        <v>-1.0115207369999999</v>
      </c>
      <c r="AT420">
        <v>0</v>
      </c>
      <c r="AU420" t="s">
        <v>66</v>
      </c>
      <c r="AV420">
        <v>1</v>
      </c>
      <c r="AW420">
        <v>2</v>
      </c>
      <c r="AX420">
        <v>0</v>
      </c>
      <c r="AY420">
        <v>1</v>
      </c>
      <c r="AZ420">
        <v>1</v>
      </c>
      <c r="BA420">
        <v>1</v>
      </c>
      <c r="BB420" t="s">
        <v>66</v>
      </c>
      <c r="BC420">
        <v>46</v>
      </c>
      <c r="BD420">
        <v>33.6</v>
      </c>
      <c r="BE420">
        <v>-26.956521739999999</v>
      </c>
      <c r="BF420">
        <v>0</v>
      </c>
      <c r="BG420">
        <v>33.6</v>
      </c>
      <c r="BH420">
        <v>-26.956521739999999</v>
      </c>
      <c r="BI420">
        <v>136</v>
      </c>
      <c r="BJ420">
        <v>12.9</v>
      </c>
      <c r="BK420" t="s">
        <v>66</v>
      </c>
      <c r="BL420">
        <f>136-42</f>
        <v>94</v>
      </c>
      <c r="BM420">
        <v>59</v>
      </c>
      <c r="BN420">
        <v>12</v>
      </c>
      <c r="BO420">
        <f t="shared" si="67"/>
        <v>35.5</v>
      </c>
      <c r="BP420">
        <v>4</v>
      </c>
      <c r="BQ420">
        <v>1</v>
      </c>
      <c r="BS420">
        <v>0</v>
      </c>
      <c r="BT420">
        <f t="shared" si="68"/>
        <v>20.588235294117645</v>
      </c>
      <c r="BU420">
        <f t="shared" si="69"/>
        <v>22.480620155038761</v>
      </c>
      <c r="BV420">
        <f t="shared" si="70"/>
        <v>-9.5744680851063837</v>
      </c>
      <c r="BW420">
        <f t="shared" si="71"/>
        <v>-18.30985915492958</v>
      </c>
    </row>
    <row r="421" spans="1:75" x14ac:dyDescent="0.2">
      <c r="A421" t="s">
        <v>299</v>
      </c>
      <c r="B421" t="s">
        <v>321</v>
      </c>
      <c r="C421" t="s">
        <v>106</v>
      </c>
      <c r="D421" t="s">
        <v>342</v>
      </c>
      <c r="E421" t="s">
        <v>367</v>
      </c>
      <c r="F421" t="s">
        <v>595</v>
      </c>
      <c r="G421">
        <v>9.5</v>
      </c>
      <c r="H421">
        <v>15.55</v>
      </c>
      <c r="I421">
        <v>15</v>
      </c>
      <c r="J421">
        <v>4.0999999999999996</v>
      </c>
      <c r="K421">
        <v>44.15</v>
      </c>
      <c r="L421">
        <v>3.2157894740000001</v>
      </c>
      <c r="M421">
        <v>139</v>
      </c>
      <c r="N421">
        <v>162</v>
      </c>
      <c r="O421">
        <v>23</v>
      </c>
      <c r="P421">
        <v>171</v>
      </c>
      <c r="Q421">
        <v>32</v>
      </c>
      <c r="R421">
        <v>16</v>
      </c>
      <c r="S421">
        <v>79.099999999999994</v>
      </c>
      <c r="T421">
        <v>23.021582729999999</v>
      </c>
      <c r="U421">
        <v>5.5555555559999998</v>
      </c>
      <c r="V421">
        <v>13</v>
      </c>
      <c r="W421">
        <v>17</v>
      </c>
      <c r="X421">
        <v>20</v>
      </c>
      <c r="Y421">
        <v>7</v>
      </c>
      <c r="Z421">
        <v>53.84615385</v>
      </c>
      <c r="AA421" t="s">
        <v>66</v>
      </c>
      <c r="AB421">
        <v>2</v>
      </c>
      <c r="AC421">
        <v>3</v>
      </c>
      <c r="AD421" t="s">
        <v>66</v>
      </c>
      <c r="AE421">
        <v>120</v>
      </c>
      <c r="AF421">
        <v>116</v>
      </c>
      <c r="AG421" t="s">
        <v>66</v>
      </c>
      <c r="AH421">
        <v>94</v>
      </c>
      <c r="AI421">
        <v>101</v>
      </c>
      <c r="AJ421" t="s">
        <v>66</v>
      </c>
      <c r="AK421">
        <v>82</v>
      </c>
      <c r="AL421">
        <v>67</v>
      </c>
      <c r="AM421">
        <v>88</v>
      </c>
      <c r="AN421">
        <v>84</v>
      </c>
      <c r="AO421">
        <v>-4.5454545450000001</v>
      </c>
      <c r="AP421">
        <v>-3.3333333330000001</v>
      </c>
      <c r="AQ421">
        <v>1.363636364</v>
      </c>
      <c r="AR421">
        <v>1.380952381</v>
      </c>
      <c r="AS421">
        <v>1.7316017E-2</v>
      </c>
      <c r="AT421">
        <v>0</v>
      </c>
      <c r="AU421" t="s">
        <v>66</v>
      </c>
      <c r="AV421">
        <v>0</v>
      </c>
      <c r="AW421">
        <v>2</v>
      </c>
      <c r="AX421">
        <v>0</v>
      </c>
      <c r="AY421">
        <v>1</v>
      </c>
      <c r="AZ421">
        <v>1</v>
      </c>
      <c r="BA421">
        <v>1</v>
      </c>
      <c r="BB421" t="s">
        <v>66</v>
      </c>
      <c r="BC421">
        <v>44.2</v>
      </c>
      <c r="BD421">
        <v>28.6</v>
      </c>
      <c r="BE421">
        <v>-35.294117649999997</v>
      </c>
      <c r="BF421">
        <v>0</v>
      </c>
      <c r="BG421">
        <v>28.6</v>
      </c>
      <c r="BH421">
        <v>-35.294117649999997</v>
      </c>
      <c r="BI421">
        <v>190</v>
      </c>
      <c r="BJ421">
        <v>18.8</v>
      </c>
      <c r="BK421">
        <v>5.2</v>
      </c>
      <c r="BL421">
        <f>190-48</f>
        <v>142</v>
      </c>
      <c r="BM421">
        <v>94</v>
      </c>
      <c r="BN421">
        <v>70</v>
      </c>
      <c r="BO421">
        <f t="shared" si="67"/>
        <v>82</v>
      </c>
      <c r="BP421">
        <v>3</v>
      </c>
      <c r="BQ421">
        <v>1</v>
      </c>
      <c r="BS421">
        <v>0</v>
      </c>
      <c r="BT421">
        <f t="shared" si="68"/>
        <v>26.842105263157894</v>
      </c>
      <c r="BU421">
        <f t="shared" si="69"/>
        <v>30.851063829787233</v>
      </c>
      <c r="BV421">
        <f t="shared" si="70"/>
        <v>15.492957746478872</v>
      </c>
      <c r="BW421">
        <f t="shared" si="71"/>
        <v>-7.3170731707317067</v>
      </c>
    </row>
    <row r="422" spans="1:75" x14ac:dyDescent="0.2">
      <c r="A422" t="s">
        <v>299</v>
      </c>
      <c r="B422" t="s">
        <v>321</v>
      </c>
      <c r="C422" t="s">
        <v>106</v>
      </c>
      <c r="D422" t="s">
        <v>342</v>
      </c>
      <c r="E422" t="s">
        <v>369</v>
      </c>
      <c r="F422" t="s">
        <v>596</v>
      </c>
      <c r="G422">
        <v>9.5</v>
      </c>
      <c r="H422">
        <v>15.55</v>
      </c>
      <c r="I422">
        <v>15</v>
      </c>
      <c r="J422">
        <v>4.0999999999999996</v>
      </c>
      <c r="K422">
        <v>44.15</v>
      </c>
      <c r="L422">
        <v>3.2157894740000001</v>
      </c>
      <c r="M422">
        <v>187</v>
      </c>
      <c r="N422">
        <v>232</v>
      </c>
      <c r="O422">
        <v>45</v>
      </c>
      <c r="P422">
        <v>238</v>
      </c>
      <c r="Q422">
        <v>51</v>
      </c>
      <c r="R422">
        <v>25.5</v>
      </c>
      <c r="S422">
        <v>98.1</v>
      </c>
      <c r="T422">
        <v>27.272727270000001</v>
      </c>
      <c r="U422">
        <v>2.5862068969999998</v>
      </c>
      <c r="V422">
        <v>17</v>
      </c>
      <c r="W422">
        <v>24</v>
      </c>
      <c r="X422">
        <v>23</v>
      </c>
      <c r="Y422">
        <v>6</v>
      </c>
      <c r="Z422">
        <v>35.294117649999997</v>
      </c>
      <c r="AA422">
        <v>10</v>
      </c>
      <c r="AB422">
        <v>8</v>
      </c>
      <c r="AC422">
        <v>9</v>
      </c>
      <c r="AD422" t="s">
        <v>66</v>
      </c>
      <c r="AE422">
        <v>143</v>
      </c>
      <c r="AF422">
        <v>129</v>
      </c>
      <c r="AG422" t="s">
        <v>66</v>
      </c>
      <c r="AH422">
        <v>96</v>
      </c>
      <c r="AI422">
        <v>80</v>
      </c>
      <c r="AJ422" t="s">
        <v>66</v>
      </c>
      <c r="AK422">
        <v>70</v>
      </c>
      <c r="AL422">
        <v>64</v>
      </c>
      <c r="AM422">
        <v>83</v>
      </c>
      <c r="AN422">
        <v>72</v>
      </c>
      <c r="AO422">
        <v>-13.253012050000001</v>
      </c>
      <c r="AP422">
        <v>-9.7902097900000005</v>
      </c>
      <c r="AQ422">
        <v>1.7228915659999999</v>
      </c>
      <c r="AR422">
        <v>1.7916666670000001</v>
      </c>
      <c r="AS422">
        <v>6.8775101000000005E-2</v>
      </c>
      <c r="AT422">
        <v>0</v>
      </c>
      <c r="AU422" t="s">
        <v>66</v>
      </c>
      <c r="AV422">
        <v>1</v>
      </c>
      <c r="AW422">
        <v>1</v>
      </c>
      <c r="AX422">
        <v>0</v>
      </c>
      <c r="AY422">
        <v>1</v>
      </c>
      <c r="AZ422">
        <v>1</v>
      </c>
      <c r="BA422">
        <v>1</v>
      </c>
      <c r="BB422" t="s">
        <v>66</v>
      </c>
      <c r="BC422">
        <v>43.9</v>
      </c>
      <c r="BD422">
        <v>43.1</v>
      </c>
      <c r="BE422">
        <v>-1.8223234619999999</v>
      </c>
      <c r="BF422">
        <v>0</v>
      </c>
      <c r="BG422">
        <v>43.1</v>
      </c>
      <c r="BH422">
        <v>-1.8223234619999999</v>
      </c>
      <c r="BI422">
        <v>255</v>
      </c>
      <c r="BJ422">
        <v>26.8</v>
      </c>
      <c r="BK422">
        <v>10.5</v>
      </c>
      <c r="BL422">
        <f>255-105</f>
        <v>150</v>
      </c>
      <c r="BM422">
        <v>80</v>
      </c>
      <c r="BN422">
        <v>60</v>
      </c>
      <c r="BO422">
        <f t="shared" si="67"/>
        <v>70</v>
      </c>
      <c r="BP422">
        <v>3</v>
      </c>
      <c r="BQ422">
        <v>1</v>
      </c>
      <c r="BS422">
        <v>0</v>
      </c>
      <c r="BT422">
        <f t="shared" si="68"/>
        <v>26.666666666666668</v>
      </c>
      <c r="BU422">
        <f t="shared" si="69"/>
        <v>36.567164179104481</v>
      </c>
      <c r="BV422">
        <f t="shared" si="70"/>
        <v>4.666666666666667</v>
      </c>
      <c r="BW422">
        <f t="shared" si="71"/>
        <v>-18.571428571428573</v>
      </c>
    </row>
    <row r="423" spans="1:75" x14ac:dyDescent="0.2">
      <c r="A423" t="s">
        <v>299</v>
      </c>
      <c r="B423" t="s">
        <v>321</v>
      </c>
      <c r="C423" t="s">
        <v>106</v>
      </c>
      <c r="D423" t="s">
        <v>342</v>
      </c>
      <c r="E423" t="s">
        <v>371</v>
      </c>
      <c r="F423" t="s">
        <v>597</v>
      </c>
      <c r="G423">
        <v>9.5</v>
      </c>
      <c r="H423">
        <v>15.55</v>
      </c>
      <c r="I423">
        <v>15</v>
      </c>
      <c r="J423">
        <v>4.0999999999999996</v>
      </c>
      <c r="K423">
        <v>44.15</v>
      </c>
      <c r="L423">
        <v>3.2157894740000001</v>
      </c>
      <c r="M423">
        <v>135</v>
      </c>
      <c r="N423">
        <v>155</v>
      </c>
      <c r="O423">
        <v>20</v>
      </c>
      <c r="P423">
        <v>141</v>
      </c>
      <c r="Q423">
        <v>6</v>
      </c>
      <c r="R423">
        <v>3</v>
      </c>
      <c r="S423">
        <v>53.1</v>
      </c>
      <c r="T423">
        <v>4.4444444440000002</v>
      </c>
      <c r="U423">
        <v>-9.0322580650000006</v>
      </c>
      <c r="V423">
        <v>13</v>
      </c>
      <c r="W423">
        <v>15</v>
      </c>
      <c r="X423">
        <v>13</v>
      </c>
      <c r="Y423">
        <v>0</v>
      </c>
      <c r="Z423">
        <v>0</v>
      </c>
      <c r="AA423" t="s">
        <v>66</v>
      </c>
      <c r="AB423">
        <v>2</v>
      </c>
      <c r="AC423">
        <v>3</v>
      </c>
      <c r="AD423" t="s">
        <v>66</v>
      </c>
      <c r="AE423">
        <v>97</v>
      </c>
      <c r="AF423">
        <v>77</v>
      </c>
      <c r="AG423" t="s">
        <v>66</v>
      </c>
      <c r="AH423">
        <v>58</v>
      </c>
      <c r="AI423">
        <v>51</v>
      </c>
      <c r="AJ423" t="s">
        <v>66</v>
      </c>
      <c r="AK423">
        <v>42</v>
      </c>
      <c r="AL423">
        <v>38</v>
      </c>
      <c r="AM423">
        <v>50</v>
      </c>
      <c r="AN423">
        <v>44.5</v>
      </c>
      <c r="AO423">
        <v>-11</v>
      </c>
      <c r="AP423">
        <v>-20.618556699999999</v>
      </c>
      <c r="AQ423">
        <v>1.94</v>
      </c>
      <c r="AR423">
        <v>1.7303370789999999</v>
      </c>
      <c r="AS423">
        <v>-0.209662921</v>
      </c>
      <c r="AT423">
        <v>0</v>
      </c>
      <c r="AU423" t="s">
        <v>66</v>
      </c>
      <c r="AV423">
        <v>1</v>
      </c>
      <c r="AW423">
        <v>4</v>
      </c>
      <c r="AX423">
        <v>0</v>
      </c>
      <c r="AY423">
        <v>1</v>
      </c>
      <c r="AZ423">
        <v>1</v>
      </c>
      <c r="BA423">
        <v>1</v>
      </c>
      <c r="BB423" t="s">
        <v>66</v>
      </c>
      <c r="BC423">
        <v>45.2</v>
      </c>
      <c r="BD423">
        <v>45.8</v>
      </c>
      <c r="BE423">
        <v>1.3274336280000001</v>
      </c>
      <c r="BF423">
        <v>0</v>
      </c>
      <c r="BG423">
        <v>45.8</v>
      </c>
      <c r="BH423">
        <v>1.3274336280000001</v>
      </c>
      <c r="BI423">
        <v>151</v>
      </c>
      <c r="BJ423">
        <v>14.6</v>
      </c>
      <c r="BK423">
        <v>3</v>
      </c>
      <c r="BL423">
        <f>151-64</f>
        <v>87</v>
      </c>
      <c r="BM423">
        <v>47</v>
      </c>
      <c r="BN423">
        <v>43</v>
      </c>
      <c r="BO423">
        <f t="shared" si="67"/>
        <v>45</v>
      </c>
      <c r="BP423">
        <v>3</v>
      </c>
      <c r="BQ423">
        <v>1</v>
      </c>
      <c r="BS423">
        <v>0</v>
      </c>
      <c r="BT423">
        <f t="shared" si="68"/>
        <v>10.596026490066226</v>
      </c>
      <c r="BU423">
        <f t="shared" si="69"/>
        <v>10.958904109589039</v>
      </c>
      <c r="BV423">
        <f t="shared" si="70"/>
        <v>-11.494252873563218</v>
      </c>
      <c r="BW423">
        <f t="shared" si="71"/>
        <v>-11.111111111111111</v>
      </c>
    </row>
    <row r="424" spans="1:75" x14ac:dyDescent="0.2">
      <c r="A424" t="s">
        <v>299</v>
      </c>
      <c r="B424" t="s">
        <v>321</v>
      </c>
      <c r="C424" t="s">
        <v>106</v>
      </c>
      <c r="D424" t="s">
        <v>342</v>
      </c>
      <c r="E424" t="s">
        <v>373</v>
      </c>
      <c r="F424" t="s">
        <v>598</v>
      </c>
      <c r="G424">
        <v>9.5</v>
      </c>
      <c r="H424">
        <v>15.55</v>
      </c>
      <c r="I424">
        <v>15</v>
      </c>
      <c r="J424">
        <v>4.0999999999999996</v>
      </c>
      <c r="K424">
        <v>44.15</v>
      </c>
      <c r="L424">
        <v>3.2157894740000001</v>
      </c>
      <c r="M424">
        <v>175</v>
      </c>
      <c r="N424">
        <v>210</v>
      </c>
      <c r="O424">
        <v>35</v>
      </c>
      <c r="P424">
        <v>203</v>
      </c>
      <c r="Q424">
        <v>28</v>
      </c>
      <c r="R424">
        <v>14</v>
      </c>
      <c r="S424">
        <v>75.099999999999994</v>
      </c>
      <c r="T424">
        <v>16</v>
      </c>
      <c r="U424">
        <v>-3.3333333330000001</v>
      </c>
      <c r="V424">
        <v>14</v>
      </c>
      <c r="W424">
        <v>17</v>
      </c>
      <c r="X424">
        <v>17</v>
      </c>
      <c r="Y424">
        <v>3</v>
      </c>
      <c r="Z424">
        <v>21.428571430000002</v>
      </c>
      <c r="AA424">
        <v>5</v>
      </c>
      <c r="AB424">
        <v>5</v>
      </c>
      <c r="AC424">
        <v>7</v>
      </c>
      <c r="AD424" t="s">
        <v>66</v>
      </c>
      <c r="AE424">
        <v>132</v>
      </c>
      <c r="AF424">
        <v>106</v>
      </c>
      <c r="AG424" t="s">
        <v>66</v>
      </c>
      <c r="AH424">
        <v>60</v>
      </c>
      <c r="AI424">
        <v>56</v>
      </c>
      <c r="AJ424" t="s">
        <v>66</v>
      </c>
      <c r="AK424">
        <v>50</v>
      </c>
      <c r="AL424">
        <v>47</v>
      </c>
      <c r="AM424">
        <v>55</v>
      </c>
      <c r="AN424">
        <v>51.5</v>
      </c>
      <c r="AO424">
        <v>-6.3636363640000004</v>
      </c>
      <c r="AP424">
        <v>-19.6969697</v>
      </c>
      <c r="AQ424">
        <v>2.4</v>
      </c>
      <c r="AR424">
        <v>2.0582524270000002</v>
      </c>
      <c r="AS424">
        <v>-0.34174757300000003</v>
      </c>
      <c r="AT424">
        <v>0</v>
      </c>
      <c r="AU424" t="s">
        <v>66</v>
      </c>
      <c r="AV424">
        <v>2</v>
      </c>
      <c r="AW424">
        <v>3</v>
      </c>
      <c r="AX424">
        <v>0</v>
      </c>
      <c r="AY424">
        <v>1</v>
      </c>
      <c r="AZ424">
        <v>1</v>
      </c>
      <c r="BA424">
        <v>1</v>
      </c>
      <c r="BB424" t="s">
        <v>66</v>
      </c>
      <c r="BC424">
        <v>54.5</v>
      </c>
      <c r="BD424">
        <v>54.1</v>
      </c>
      <c r="BE424">
        <v>-0.73394495400000004</v>
      </c>
      <c r="BF424">
        <v>0</v>
      </c>
      <c r="BG424">
        <v>54.1</v>
      </c>
      <c r="BH424">
        <v>-0.73394495400000004</v>
      </c>
      <c r="BI424">
        <v>205</v>
      </c>
      <c r="BJ424">
        <v>18.8</v>
      </c>
      <c r="BK424">
        <v>7.9</v>
      </c>
      <c r="BL424">
        <f>205-70</f>
        <v>135</v>
      </c>
      <c r="BM424">
        <v>70</v>
      </c>
      <c r="BN424">
        <v>50</v>
      </c>
      <c r="BO424">
        <f t="shared" si="67"/>
        <v>60</v>
      </c>
      <c r="BP424">
        <v>4</v>
      </c>
      <c r="BQ424">
        <v>1</v>
      </c>
      <c r="BS424">
        <v>0</v>
      </c>
      <c r="BT424">
        <f t="shared" si="68"/>
        <v>14.634146341463413</v>
      </c>
      <c r="BU424">
        <f t="shared" si="69"/>
        <v>25.531914893617024</v>
      </c>
      <c r="BV424">
        <f t="shared" si="70"/>
        <v>2.2222222222222223</v>
      </c>
      <c r="BW424">
        <f t="shared" si="71"/>
        <v>8.3333333333333321</v>
      </c>
    </row>
    <row r="425" spans="1:75" x14ac:dyDescent="0.2">
      <c r="A425" t="s">
        <v>299</v>
      </c>
      <c r="B425" t="s">
        <v>321</v>
      </c>
      <c r="C425" t="s">
        <v>106</v>
      </c>
      <c r="D425" t="s">
        <v>342</v>
      </c>
      <c r="E425" t="s">
        <v>347</v>
      </c>
      <c r="F425" t="s">
        <v>585</v>
      </c>
      <c r="G425">
        <v>9.5</v>
      </c>
      <c r="H425">
        <v>15.55</v>
      </c>
      <c r="I425">
        <v>15</v>
      </c>
      <c r="J425">
        <v>4.0999999999999996</v>
      </c>
      <c r="K425">
        <v>44.15</v>
      </c>
      <c r="L425">
        <v>3.2157894740000001</v>
      </c>
      <c r="M425">
        <v>163</v>
      </c>
      <c r="N425">
        <v>187</v>
      </c>
      <c r="O425">
        <v>24</v>
      </c>
      <c r="P425">
        <v>188</v>
      </c>
      <c r="Q425">
        <v>25</v>
      </c>
      <c r="R425">
        <v>12.5</v>
      </c>
      <c r="S425">
        <v>72.099999999999994</v>
      </c>
      <c r="T425">
        <v>15.33742331</v>
      </c>
      <c r="U425">
        <v>0.53475935799999996</v>
      </c>
      <c r="V425">
        <v>16</v>
      </c>
      <c r="W425">
        <v>18</v>
      </c>
      <c r="X425">
        <v>20</v>
      </c>
      <c r="Y425">
        <v>4</v>
      </c>
      <c r="Z425">
        <v>25</v>
      </c>
      <c r="AA425">
        <v>5</v>
      </c>
      <c r="AB425">
        <v>6</v>
      </c>
      <c r="AC425">
        <v>5</v>
      </c>
      <c r="AD425" t="s">
        <v>66</v>
      </c>
      <c r="AE425">
        <v>103</v>
      </c>
      <c r="AF425">
        <v>126</v>
      </c>
      <c r="AG425" t="s">
        <v>66</v>
      </c>
      <c r="AH425">
        <v>44</v>
      </c>
      <c r="AI425">
        <v>55</v>
      </c>
      <c r="AJ425" t="s">
        <v>66</v>
      </c>
      <c r="AK425">
        <v>27</v>
      </c>
      <c r="AL425">
        <v>37</v>
      </c>
      <c r="AM425">
        <v>35.5</v>
      </c>
      <c r="AN425">
        <v>46</v>
      </c>
      <c r="AO425">
        <v>29.577464790000001</v>
      </c>
      <c r="AP425">
        <v>22.330097089999999</v>
      </c>
      <c r="AQ425">
        <v>2.901408451</v>
      </c>
      <c r="AR425">
        <v>2.7391304349999999</v>
      </c>
      <c r="AS425">
        <v>-0.162278016</v>
      </c>
      <c r="AT425">
        <v>0</v>
      </c>
      <c r="AU425" t="s">
        <v>66</v>
      </c>
      <c r="AV425">
        <v>2</v>
      </c>
      <c r="AW425">
        <v>4</v>
      </c>
      <c r="AX425">
        <v>1</v>
      </c>
      <c r="AY425">
        <v>1</v>
      </c>
      <c r="AZ425">
        <v>1</v>
      </c>
      <c r="BA425">
        <v>1</v>
      </c>
      <c r="BB425" t="s">
        <v>66</v>
      </c>
      <c r="BC425">
        <v>42.2</v>
      </c>
      <c r="BD425">
        <v>34.700000000000003</v>
      </c>
      <c r="BE425">
        <v>-17.772511850000001</v>
      </c>
      <c r="BF425">
        <v>0</v>
      </c>
      <c r="BG425">
        <v>34.700000000000003</v>
      </c>
      <c r="BH425">
        <v>-17.772511850000001</v>
      </c>
      <c r="BI425">
        <v>201</v>
      </c>
      <c r="BJ425">
        <v>19.3</v>
      </c>
      <c r="BK425">
        <v>3.1</v>
      </c>
      <c r="BL425">
        <f>201-94</f>
        <v>107</v>
      </c>
      <c r="BM425">
        <v>42</v>
      </c>
      <c r="BN425">
        <v>10</v>
      </c>
      <c r="BO425">
        <f t="shared" si="67"/>
        <v>26</v>
      </c>
      <c r="BP425">
        <v>4</v>
      </c>
      <c r="BQ425">
        <v>1</v>
      </c>
      <c r="BS425">
        <v>0</v>
      </c>
      <c r="BT425">
        <f t="shared" si="68"/>
        <v>18.905472636815919</v>
      </c>
      <c r="BU425">
        <f t="shared" si="69"/>
        <v>17.098445595854926</v>
      </c>
      <c r="BV425">
        <f t="shared" si="70"/>
        <v>3.7383177570093453</v>
      </c>
      <c r="BW425">
        <f t="shared" si="71"/>
        <v>-36.538461538461533</v>
      </c>
    </row>
    <row r="426" spans="1:75" x14ac:dyDescent="0.2">
      <c r="A426" t="s">
        <v>299</v>
      </c>
      <c r="B426" t="s">
        <v>321</v>
      </c>
      <c r="C426" t="s">
        <v>106</v>
      </c>
      <c r="D426" t="s">
        <v>342</v>
      </c>
      <c r="E426" t="s">
        <v>349</v>
      </c>
      <c r="F426" t="s">
        <v>586</v>
      </c>
      <c r="G426">
        <v>9.5</v>
      </c>
      <c r="H426">
        <v>15.55</v>
      </c>
      <c r="I426">
        <v>15</v>
      </c>
      <c r="J426">
        <v>4.0999999999999996</v>
      </c>
      <c r="K426">
        <v>44.15</v>
      </c>
      <c r="L426">
        <v>3.2157894740000001</v>
      </c>
      <c r="M426">
        <v>127</v>
      </c>
      <c r="N426">
        <v>171</v>
      </c>
      <c r="O426">
        <v>44</v>
      </c>
      <c r="P426">
        <v>185</v>
      </c>
      <c r="Q426">
        <v>58</v>
      </c>
      <c r="R426">
        <v>29</v>
      </c>
      <c r="S426">
        <v>105.1</v>
      </c>
      <c r="T426">
        <v>45.669291340000001</v>
      </c>
      <c r="U426">
        <v>8.1871345029999993</v>
      </c>
      <c r="V426">
        <v>11</v>
      </c>
      <c r="W426">
        <v>13</v>
      </c>
      <c r="X426">
        <v>14</v>
      </c>
      <c r="Y426">
        <v>3</v>
      </c>
      <c r="Z426">
        <v>27.272727270000001</v>
      </c>
      <c r="AA426" t="s">
        <v>66</v>
      </c>
      <c r="AB426">
        <v>4</v>
      </c>
      <c r="AC426">
        <v>5</v>
      </c>
      <c r="AD426" t="s">
        <v>66</v>
      </c>
      <c r="AE426">
        <v>135</v>
      </c>
      <c r="AF426">
        <v>137</v>
      </c>
      <c r="AG426" t="s">
        <v>66</v>
      </c>
      <c r="AH426">
        <v>52</v>
      </c>
      <c r="AI426">
        <v>45</v>
      </c>
      <c r="AJ426" t="s">
        <v>66</v>
      </c>
      <c r="AK426">
        <v>32</v>
      </c>
      <c r="AL426">
        <v>43</v>
      </c>
      <c r="AM426">
        <v>42</v>
      </c>
      <c r="AN426">
        <v>44</v>
      </c>
      <c r="AO426">
        <v>4.7619047620000003</v>
      </c>
      <c r="AP426">
        <v>1.4814814810000001</v>
      </c>
      <c r="AQ426">
        <v>3.2142857139999998</v>
      </c>
      <c r="AR426">
        <v>3.113636364</v>
      </c>
      <c r="AS426">
        <v>-0.10064935</v>
      </c>
      <c r="AT426">
        <v>0</v>
      </c>
      <c r="AU426" t="s">
        <v>66</v>
      </c>
      <c r="AV426">
        <v>1</v>
      </c>
      <c r="AW426">
        <v>2</v>
      </c>
      <c r="AX426">
        <v>1</v>
      </c>
      <c r="AY426">
        <v>1</v>
      </c>
      <c r="AZ426">
        <v>1</v>
      </c>
      <c r="BA426">
        <v>1</v>
      </c>
      <c r="BB426" t="s">
        <v>66</v>
      </c>
      <c r="BC426">
        <v>49.6</v>
      </c>
      <c r="BD426">
        <v>55.1</v>
      </c>
      <c r="BE426">
        <v>11.088709679999999</v>
      </c>
      <c r="BF426">
        <v>0</v>
      </c>
      <c r="BG426">
        <v>55.1</v>
      </c>
      <c r="BH426">
        <v>11.088709679999999</v>
      </c>
      <c r="BI426">
        <v>198</v>
      </c>
      <c r="BJ426">
        <v>16.100000000000001</v>
      </c>
      <c r="BK426">
        <v>7</v>
      </c>
      <c r="BL426">
        <f>198-81</f>
        <v>117</v>
      </c>
      <c r="BM426">
        <v>35</v>
      </c>
      <c r="BN426">
        <v>35</v>
      </c>
      <c r="BO426">
        <f t="shared" si="67"/>
        <v>35</v>
      </c>
      <c r="BP426">
        <v>4</v>
      </c>
      <c r="BQ426">
        <v>1</v>
      </c>
      <c r="BS426">
        <v>0</v>
      </c>
      <c r="BT426">
        <f t="shared" si="68"/>
        <v>35.858585858585855</v>
      </c>
      <c r="BU426">
        <f t="shared" si="69"/>
        <v>31.677018633540378</v>
      </c>
      <c r="BV426">
        <f t="shared" si="70"/>
        <v>-15.384615384615385</v>
      </c>
      <c r="BW426">
        <f t="shared" si="71"/>
        <v>-20</v>
      </c>
    </row>
    <row r="427" spans="1:75" x14ac:dyDescent="0.2">
      <c r="A427" t="s">
        <v>299</v>
      </c>
      <c r="B427" t="s">
        <v>321</v>
      </c>
      <c r="C427" t="s">
        <v>106</v>
      </c>
      <c r="D427" t="s">
        <v>342</v>
      </c>
      <c r="E427" t="s">
        <v>351</v>
      </c>
      <c r="F427" t="s">
        <v>587</v>
      </c>
      <c r="G427">
        <v>9.5</v>
      </c>
      <c r="H427">
        <v>15.55</v>
      </c>
      <c r="I427">
        <v>15</v>
      </c>
      <c r="J427">
        <v>4.0999999999999996</v>
      </c>
      <c r="K427">
        <v>44.15</v>
      </c>
      <c r="L427">
        <v>3.2157894740000001</v>
      </c>
      <c r="M427">
        <v>220</v>
      </c>
      <c r="N427">
        <v>318</v>
      </c>
      <c r="O427">
        <v>98</v>
      </c>
      <c r="P427">
        <v>343</v>
      </c>
      <c r="Q427">
        <v>123</v>
      </c>
      <c r="R427">
        <v>61.5</v>
      </c>
      <c r="S427">
        <v>170.1</v>
      </c>
      <c r="T427">
        <v>55.909090910000003</v>
      </c>
      <c r="U427">
        <v>7.8616352200000001</v>
      </c>
      <c r="V427">
        <v>36</v>
      </c>
      <c r="W427">
        <v>44</v>
      </c>
      <c r="X427">
        <v>50</v>
      </c>
      <c r="Y427">
        <v>14</v>
      </c>
      <c r="Z427">
        <v>38.888888889999997</v>
      </c>
      <c r="AA427">
        <v>11</v>
      </c>
      <c r="AB427">
        <v>14</v>
      </c>
      <c r="AC427">
        <v>16</v>
      </c>
      <c r="AD427" t="s">
        <v>66</v>
      </c>
      <c r="AE427">
        <v>273</v>
      </c>
      <c r="AF427">
        <v>297</v>
      </c>
      <c r="AG427" t="s">
        <v>66</v>
      </c>
      <c r="AH427">
        <v>120</v>
      </c>
      <c r="AI427">
        <v>110</v>
      </c>
      <c r="AJ427" t="s">
        <v>66</v>
      </c>
      <c r="AK427">
        <v>120</v>
      </c>
      <c r="AL427">
        <v>109</v>
      </c>
      <c r="AM427">
        <v>120</v>
      </c>
      <c r="AN427">
        <v>109.5</v>
      </c>
      <c r="AO427">
        <v>-8.75</v>
      </c>
      <c r="AP427">
        <v>8.7912087910000007</v>
      </c>
      <c r="AQ427">
        <v>2.2749999999999999</v>
      </c>
      <c r="AR427">
        <v>2.7123287669999998</v>
      </c>
      <c r="AS427">
        <v>0.43732876700000001</v>
      </c>
      <c r="AT427">
        <v>0</v>
      </c>
      <c r="AU427" t="s">
        <v>66</v>
      </c>
      <c r="AV427">
        <v>2</v>
      </c>
      <c r="AW427">
        <v>1</v>
      </c>
      <c r="AX427">
        <v>1</v>
      </c>
      <c r="AY427">
        <v>1</v>
      </c>
      <c r="AZ427">
        <v>1</v>
      </c>
      <c r="BA427">
        <v>1</v>
      </c>
      <c r="BB427" t="s">
        <v>66</v>
      </c>
      <c r="BC427">
        <v>39.6</v>
      </c>
      <c r="BD427">
        <v>43.1</v>
      </c>
      <c r="BE427">
        <v>8.8383838380000004</v>
      </c>
      <c r="BF427">
        <v>0</v>
      </c>
      <c r="BG427">
        <v>43.1</v>
      </c>
      <c r="BH427">
        <v>8.8383838380000004</v>
      </c>
      <c r="BI427">
        <v>440</v>
      </c>
      <c r="BJ427">
        <v>55.5</v>
      </c>
      <c r="BK427">
        <v>23.3</v>
      </c>
      <c r="BL427">
        <f>440-92</f>
        <v>348</v>
      </c>
      <c r="BM427">
        <v>170</v>
      </c>
      <c r="BN427">
        <v>90</v>
      </c>
      <c r="BO427">
        <f t="shared" si="67"/>
        <v>130</v>
      </c>
      <c r="BP427">
        <v>4</v>
      </c>
      <c r="BQ427">
        <v>1</v>
      </c>
      <c r="BS427">
        <v>0</v>
      </c>
      <c r="BT427">
        <f t="shared" si="68"/>
        <v>50</v>
      </c>
      <c r="BU427">
        <f t="shared" si="69"/>
        <v>35.135135135135137</v>
      </c>
      <c r="BV427">
        <f t="shared" si="70"/>
        <v>21.551724137931032</v>
      </c>
      <c r="BW427">
        <f t="shared" si="71"/>
        <v>7.6923076923076925</v>
      </c>
    </row>
    <row r="428" spans="1:75" x14ac:dyDescent="0.2">
      <c r="A428" t="s">
        <v>299</v>
      </c>
      <c r="B428" t="s">
        <v>321</v>
      </c>
      <c r="C428" t="s">
        <v>106</v>
      </c>
      <c r="D428" t="s">
        <v>342</v>
      </c>
      <c r="E428" t="s">
        <v>357</v>
      </c>
      <c r="F428" t="s">
        <v>590</v>
      </c>
      <c r="G428">
        <v>9.5</v>
      </c>
      <c r="H428">
        <v>15.55</v>
      </c>
      <c r="I428">
        <v>15</v>
      </c>
      <c r="J428">
        <v>4.0999999999999996</v>
      </c>
      <c r="K428">
        <v>44.15</v>
      </c>
      <c r="L428">
        <v>3.2157894740000001</v>
      </c>
      <c r="M428">
        <v>190</v>
      </c>
      <c r="N428">
        <v>258</v>
      </c>
      <c r="O428">
        <v>68</v>
      </c>
      <c r="P428">
        <v>251</v>
      </c>
      <c r="Q428">
        <v>61</v>
      </c>
      <c r="R428">
        <v>30.5</v>
      </c>
      <c r="S428">
        <v>108.1</v>
      </c>
      <c r="T428">
        <v>32.10526316</v>
      </c>
      <c r="U428">
        <v>-2.7131782950000001</v>
      </c>
      <c r="V428">
        <v>21</v>
      </c>
      <c r="W428">
        <v>23</v>
      </c>
      <c r="X428">
        <v>31</v>
      </c>
      <c r="Y428">
        <v>10</v>
      </c>
      <c r="Z428">
        <v>47.619047620000003</v>
      </c>
      <c r="AA428">
        <v>7</v>
      </c>
      <c r="AB428">
        <v>10</v>
      </c>
      <c r="AC428">
        <v>8</v>
      </c>
      <c r="AD428" t="s">
        <v>66</v>
      </c>
      <c r="AE428">
        <v>230</v>
      </c>
      <c r="AF428">
        <v>225</v>
      </c>
      <c r="AG428" t="s">
        <v>66</v>
      </c>
      <c r="AH428">
        <v>58</v>
      </c>
      <c r="AI428">
        <v>82</v>
      </c>
      <c r="AJ428" t="s">
        <v>66</v>
      </c>
      <c r="AK428">
        <v>69</v>
      </c>
      <c r="AL428">
        <v>72</v>
      </c>
      <c r="AM428">
        <v>63.5</v>
      </c>
      <c r="AN428">
        <v>77</v>
      </c>
      <c r="AO428">
        <v>21.259842519999999</v>
      </c>
      <c r="AP428">
        <v>-2.1739130430000002</v>
      </c>
      <c r="AQ428">
        <v>3.622047244</v>
      </c>
      <c r="AR428">
        <v>2.9220779220000002</v>
      </c>
      <c r="AS428">
        <v>-0.69996932199999995</v>
      </c>
      <c r="AT428">
        <v>0</v>
      </c>
      <c r="AU428" t="s">
        <v>66</v>
      </c>
      <c r="AV428">
        <v>2</v>
      </c>
      <c r="AW428">
        <v>2</v>
      </c>
      <c r="AX428">
        <v>1</v>
      </c>
      <c r="AY428">
        <v>1</v>
      </c>
      <c r="AZ428">
        <v>1</v>
      </c>
      <c r="BA428">
        <v>1</v>
      </c>
      <c r="BB428" t="s">
        <v>66</v>
      </c>
      <c r="BC428">
        <v>44.4</v>
      </c>
      <c r="BD428">
        <v>35.4</v>
      </c>
      <c r="BE428">
        <v>-20.270270270000001</v>
      </c>
      <c r="BF428">
        <v>0</v>
      </c>
      <c r="BG428">
        <v>35.4</v>
      </c>
      <c r="BH428">
        <v>-20.270270270000001</v>
      </c>
      <c r="BI428">
        <v>257</v>
      </c>
      <c r="BJ428">
        <v>30.4</v>
      </c>
      <c r="BK428">
        <v>9.4</v>
      </c>
      <c r="BL428">
        <f>257-48</f>
        <v>209</v>
      </c>
      <c r="BM428">
        <v>116</v>
      </c>
      <c r="BN428">
        <v>78</v>
      </c>
      <c r="BO428">
        <f t="shared" si="67"/>
        <v>97</v>
      </c>
      <c r="BP428">
        <v>4</v>
      </c>
      <c r="BQ428">
        <v>1</v>
      </c>
      <c r="BS428">
        <v>0</v>
      </c>
      <c r="BT428">
        <f t="shared" si="68"/>
        <v>26.07003891050584</v>
      </c>
      <c r="BU428">
        <f t="shared" si="69"/>
        <v>30.921052631578945</v>
      </c>
      <c r="BV428">
        <f t="shared" si="70"/>
        <v>-10.047846889952153</v>
      </c>
      <c r="BW428">
        <f t="shared" si="71"/>
        <v>34.536082474226802</v>
      </c>
    </row>
    <row r="429" spans="1:75" x14ac:dyDescent="0.2">
      <c r="A429" t="s">
        <v>299</v>
      </c>
      <c r="B429" t="s">
        <v>321</v>
      </c>
      <c r="C429" t="s">
        <v>106</v>
      </c>
      <c r="D429" t="s">
        <v>342</v>
      </c>
      <c r="E429" t="s">
        <v>363</v>
      </c>
      <c r="F429" t="s">
        <v>593</v>
      </c>
      <c r="G429">
        <v>9.5</v>
      </c>
      <c r="H429">
        <v>15.55</v>
      </c>
      <c r="I429">
        <v>15</v>
      </c>
      <c r="J429">
        <v>4.0999999999999996</v>
      </c>
      <c r="K429">
        <v>44.15</v>
      </c>
      <c r="L429">
        <v>3.2157894740000001</v>
      </c>
      <c r="M429">
        <v>120</v>
      </c>
      <c r="N429">
        <v>140</v>
      </c>
      <c r="O429">
        <v>20</v>
      </c>
      <c r="P429">
        <v>140</v>
      </c>
      <c r="Q429">
        <v>20</v>
      </c>
      <c r="R429">
        <v>10</v>
      </c>
      <c r="S429">
        <v>67.099999999999994</v>
      </c>
      <c r="T429">
        <v>16.666666670000001</v>
      </c>
      <c r="U429">
        <v>0</v>
      </c>
      <c r="V429">
        <v>9</v>
      </c>
      <c r="W429">
        <v>11</v>
      </c>
      <c r="X429">
        <v>14</v>
      </c>
      <c r="Y429">
        <v>5</v>
      </c>
      <c r="Z429">
        <v>55.555555560000002</v>
      </c>
      <c r="AA429" t="s">
        <v>66</v>
      </c>
      <c r="AB429" t="s">
        <v>66</v>
      </c>
      <c r="AC429">
        <v>1</v>
      </c>
      <c r="AD429" t="s">
        <v>66</v>
      </c>
      <c r="AE429">
        <v>106</v>
      </c>
      <c r="AF429">
        <v>103</v>
      </c>
      <c r="AG429" t="s">
        <v>66</v>
      </c>
      <c r="AH429">
        <v>48</v>
      </c>
      <c r="AI429">
        <v>46</v>
      </c>
      <c r="AJ429" t="s">
        <v>66</v>
      </c>
      <c r="AK429">
        <v>34</v>
      </c>
      <c r="AL429">
        <v>34</v>
      </c>
      <c r="AM429">
        <v>41</v>
      </c>
      <c r="AN429">
        <v>40</v>
      </c>
      <c r="AO429">
        <v>-2.4390243900000002</v>
      </c>
      <c r="AP429">
        <v>-2.8301886789999999</v>
      </c>
      <c r="AQ429">
        <v>2.585365854</v>
      </c>
      <c r="AR429">
        <v>2.5750000000000002</v>
      </c>
      <c r="AS429">
        <v>-1.0365854000000001E-2</v>
      </c>
      <c r="AT429">
        <v>0</v>
      </c>
      <c r="AU429" t="s">
        <v>66</v>
      </c>
      <c r="AV429">
        <v>1</v>
      </c>
      <c r="AW429">
        <v>3</v>
      </c>
      <c r="AX429">
        <v>1</v>
      </c>
      <c r="AY429">
        <v>1</v>
      </c>
      <c r="AZ429">
        <v>1</v>
      </c>
      <c r="BA429">
        <v>1</v>
      </c>
      <c r="BB429" t="s">
        <v>66</v>
      </c>
      <c r="BC429">
        <v>40.6</v>
      </c>
      <c r="BD429">
        <v>30.2</v>
      </c>
      <c r="BE429">
        <v>-25.61576355</v>
      </c>
      <c r="BF429">
        <v>0</v>
      </c>
      <c r="BG429">
        <v>30.2</v>
      </c>
      <c r="BH429">
        <v>-25.61576355</v>
      </c>
      <c r="BI429">
        <v>138</v>
      </c>
      <c r="BJ429">
        <v>14.9</v>
      </c>
      <c r="BK429" t="s">
        <v>66</v>
      </c>
      <c r="BL429">
        <f>138-60</f>
        <v>78</v>
      </c>
      <c r="BM429">
        <v>40</v>
      </c>
      <c r="BN429">
        <v>35</v>
      </c>
      <c r="BO429">
        <f t="shared" si="67"/>
        <v>37.5</v>
      </c>
      <c r="BP429">
        <v>4</v>
      </c>
      <c r="BQ429">
        <v>1</v>
      </c>
      <c r="BS429">
        <v>0</v>
      </c>
      <c r="BT429">
        <f t="shared" si="68"/>
        <v>13.043478260869565</v>
      </c>
      <c r="BU429">
        <f t="shared" si="69"/>
        <v>39.597315436241615</v>
      </c>
      <c r="BV429">
        <f t="shared" si="70"/>
        <v>-35.897435897435898</v>
      </c>
      <c r="BW429">
        <f t="shared" si="71"/>
        <v>-9.3333333333333339</v>
      </c>
    </row>
    <row r="430" spans="1:75" x14ac:dyDescent="0.2">
      <c r="A430" t="s">
        <v>299</v>
      </c>
      <c r="B430" t="s">
        <v>321</v>
      </c>
      <c r="C430" t="s">
        <v>106</v>
      </c>
      <c r="D430" t="s">
        <v>342</v>
      </c>
      <c r="E430" t="s">
        <v>365</v>
      </c>
      <c r="F430" t="s">
        <v>594</v>
      </c>
      <c r="G430">
        <v>9.5</v>
      </c>
      <c r="H430">
        <v>15.55</v>
      </c>
      <c r="I430">
        <v>15</v>
      </c>
      <c r="J430">
        <v>4.0999999999999996</v>
      </c>
      <c r="K430">
        <v>44.15</v>
      </c>
      <c r="L430">
        <v>3.2157894740000001</v>
      </c>
      <c r="M430">
        <v>205</v>
      </c>
      <c r="N430">
        <v>237</v>
      </c>
      <c r="O430">
        <v>32</v>
      </c>
      <c r="P430">
        <v>241</v>
      </c>
      <c r="Q430">
        <v>36</v>
      </c>
      <c r="R430">
        <v>18</v>
      </c>
      <c r="S430">
        <v>83.1</v>
      </c>
      <c r="T430">
        <v>17.56097561</v>
      </c>
      <c r="U430">
        <v>1.6877637130000001</v>
      </c>
      <c r="V430">
        <v>19</v>
      </c>
      <c r="W430">
        <v>23</v>
      </c>
      <c r="X430">
        <v>24</v>
      </c>
      <c r="Y430">
        <v>5</v>
      </c>
      <c r="Z430">
        <v>26.315789469999999</v>
      </c>
      <c r="AA430">
        <v>6</v>
      </c>
      <c r="AB430">
        <v>8</v>
      </c>
      <c r="AC430">
        <v>9</v>
      </c>
      <c r="AD430" t="s">
        <v>66</v>
      </c>
      <c r="AE430">
        <v>164</v>
      </c>
      <c r="AF430">
        <v>152</v>
      </c>
      <c r="AG430" t="s">
        <v>66</v>
      </c>
      <c r="AH430">
        <v>82</v>
      </c>
      <c r="AI430">
        <v>63</v>
      </c>
      <c r="AJ430" t="s">
        <v>66</v>
      </c>
      <c r="AK430">
        <v>75</v>
      </c>
      <c r="AL430">
        <v>62</v>
      </c>
      <c r="AM430">
        <v>78.5</v>
      </c>
      <c r="AN430">
        <v>62.5</v>
      </c>
      <c r="AO430">
        <v>-20.382165610000001</v>
      </c>
      <c r="AP430">
        <v>-7.3170731709999997</v>
      </c>
      <c r="AQ430">
        <v>2.0891719750000002</v>
      </c>
      <c r="AR430">
        <v>2.4319999999999999</v>
      </c>
      <c r="AS430">
        <v>0.34282802499999998</v>
      </c>
      <c r="AT430">
        <v>0</v>
      </c>
      <c r="AU430" t="s">
        <v>66</v>
      </c>
      <c r="AV430">
        <v>2</v>
      </c>
      <c r="AW430">
        <v>2</v>
      </c>
      <c r="AX430">
        <v>1</v>
      </c>
      <c r="AY430">
        <v>1</v>
      </c>
      <c r="AZ430">
        <v>1</v>
      </c>
      <c r="BA430">
        <v>1</v>
      </c>
      <c r="BB430" t="s">
        <v>66</v>
      </c>
      <c r="BC430">
        <v>42.9</v>
      </c>
      <c r="BD430">
        <v>41.2</v>
      </c>
      <c r="BE430">
        <v>-3.9627039630000001</v>
      </c>
      <c r="BF430">
        <v>0</v>
      </c>
      <c r="BG430">
        <v>41.2</v>
      </c>
      <c r="BH430">
        <v>-3.9627039630000001</v>
      </c>
      <c r="BI430">
        <v>271</v>
      </c>
      <c r="BJ430">
        <v>26.2</v>
      </c>
      <c r="BK430">
        <v>11.5</v>
      </c>
      <c r="BL430">
        <f>271-117</f>
        <v>154</v>
      </c>
      <c r="BM430">
        <v>52</v>
      </c>
      <c r="BN430">
        <v>53</v>
      </c>
      <c r="BO430">
        <f t="shared" si="67"/>
        <v>52.5</v>
      </c>
      <c r="BP430">
        <v>4</v>
      </c>
      <c r="BQ430">
        <v>1</v>
      </c>
      <c r="BS430">
        <v>0</v>
      </c>
      <c r="BT430">
        <f t="shared" si="68"/>
        <v>24.354243542435423</v>
      </c>
      <c r="BU430">
        <f t="shared" si="69"/>
        <v>27.480916030534345</v>
      </c>
      <c r="BV430">
        <f t="shared" si="70"/>
        <v>-6.4935064935064926</v>
      </c>
      <c r="BW430">
        <f t="shared" si="71"/>
        <v>-49.523809523809526</v>
      </c>
    </row>
    <row r="431" spans="1:75" x14ac:dyDescent="0.2">
      <c r="A431" t="s">
        <v>299</v>
      </c>
      <c r="B431" t="s">
        <v>321</v>
      </c>
      <c r="C431" t="s">
        <v>106</v>
      </c>
      <c r="D431" t="s">
        <v>342</v>
      </c>
      <c r="E431" t="s">
        <v>375</v>
      </c>
      <c r="F431" t="s">
        <v>599</v>
      </c>
      <c r="G431">
        <v>9.5</v>
      </c>
      <c r="H431">
        <v>15.55</v>
      </c>
      <c r="I431">
        <v>15</v>
      </c>
      <c r="J431">
        <v>4.0999999999999996</v>
      </c>
      <c r="K431">
        <v>44.15</v>
      </c>
      <c r="L431">
        <v>3.2157894740000001</v>
      </c>
      <c r="M431">
        <v>251</v>
      </c>
      <c r="N431">
        <v>316</v>
      </c>
      <c r="O431">
        <v>65</v>
      </c>
      <c r="P431">
        <v>371</v>
      </c>
      <c r="Q431">
        <v>120</v>
      </c>
      <c r="R431">
        <v>60</v>
      </c>
      <c r="S431">
        <v>167.1</v>
      </c>
      <c r="T431">
        <v>47.808764940000003</v>
      </c>
      <c r="U431">
        <v>17.405063290000001</v>
      </c>
      <c r="V431">
        <v>27</v>
      </c>
      <c r="W431">
        <v>38</v>
      </c>
      <c r="X431">
        <v>59</v>
      </c>
      <c r="Y431">
        <v>32</v>
      </c>
      <c r="Z431">
        <v>118.5185185</v>
      </c>
      <c r="AA431">
        <v>14</v>
      </c>
      <c r="AB431">
        <v>28</v>
      </c>
      <c r="AC431">
        <v>29</v>
      </c>
      <c r="AD431" t="s">
        <v>66</v>
      </c>
      <c r="AE431">
        <v>250</v>
      </c>
      <c r="AF431">
        <v>255</v>
      </c>
      <c r="AG431" t="s">
        <v>66</v>
      </c>
      <c r="AH431">
        <v>110</v>
      </c>
      <c r="AI431">
        <v>180</v>
      </c>
      <c r="AJ431" t="s">
        <v>66</v>
      </c>
      <c r="AK431">
        <v>100</v>
      </c>
      <c r="AL431">
        <v>69</v>
      </c>
      <c r="AM431">
        <v>105</v>
      </c>
      <c r="AN431">
        <v>124.5</v>
      </c>
      <c r="AO431">
        <v>18.571428569999998</v>
      </c>
      <c r="AP431">
        <v>2</v>
      </c>
      <c r="AQ431">
        <v>2.3809523810000002</v>
      </c>
      <c r="AR431">
        <v>2.0481927710000001</v>
      </c>
      <c r="AS431">
        <v>-0.33275960999999998</v>
      </c>
      <c r="AT431">
        <v>0</v>
      </c>
      <c r="AU431" t="s">
        <v>66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 t="s">
        <v>66</v>
      </c>
      <c r="BC431">
        <v>53.6</v>
      </c>
      <c r="BD431">
        <v>62.7</v>
      </c>
      <c r="BE431">
        <v>16.977611939999999</v>
      </c>
      <c r="BF431">
        <v>0</v>
      </c>
      <c r="BG431">
        <v>62.7</v>
      </c>
      <c r="BH431">
        <v>16.977611939999999</v>
      </c>
      <c r="BI431">
        <v>440</v>
      </c>
      <c r="BJ431">
        <v>67.8</v>
      </c>
      <c r="BK431">
        <v>36.4</v>
      </c>
      <c r="BL431">
        <f>440-127</f>
        <v>313</v>
      </c>
      <c r="BM431">
        <v>175</v>
      </c>
      <c r="BN431">
        <v>150</v>
      </c>
      <c r="BO431">
        <f t="shared" si="67"/>
        <v>162.5</v>
      </c>
      <c r="BP431">
        <v>4</v>
      </c>
      <c r="BQ431">
        <v>1</v>
      </c>
      <c r="BS431">
        <v>0</v>
      </c>
      <c r="BT431">
        <f t="shared" si="68"/>
        <v>42.954545454545453</v>
      </c>
      <c r="BU431">
        <f t="shared" si="69"/>
        <v>60.176991150442468</v>
      </c>
      <c r="BV431">
        <f t="shared" si="70"/>
        <v>20.12779552715655</v>
      </c>
      <c r="BW431">
        <f t="shared" si="71"/>
        <v>35.384615384615387</v>
      </c>
    </row>
    <row r="432" spans="1:75" x14ac:dyDescent="0.2">
      <c r="A432" t="s">
        <v>299</v>
      </c>
      <c r="B432" t="s">
        <v>321</v>
      </c>
      <c r="C432" t="s">
        <v>106</v>
      </c>
      <c r="D432" t="s">
        <v>342</v>
      </c>
      <c r="E432" t="s">
        <v>377</v>
      </c>
      <c r="F432" t="s">
        <v>600</v>
      </c>
      <c r="G432">
        <v>9.5</v>
      </c>
      <c r="H432">
        <v>15.55</v>
      </c>
      <c r="I432">
        <v>15</v>
      </c>
      <c r="J432">
        <v>4.0999999999999996</v>
      </c>
      <c r="K432">
        <v>44.15</v>
      </c>
      <c r="L432">
        <v>3.2157894740000001</v>
      </c>
      <c r="M432">
        <v>104</v>
      </c>
      <c r="N432">
        <v>136</v>
      </c>
      <c r="O432">
        <v>32</v>
      </c>
      <c r="P432">
        <v>142</v>
      </c>
      <c r="Q432">
        <v>38</v>
      </c>
      <c r="R432">
        <v>19</v>
      </c>
      <c r="S432">
        <v>85.1</v>
      </c>
      <c r="T432">
        <v>36.53846154</v>
      </c>
      <c r="U432">
        <v>4.4117647059999996</v>
      </c>
      <c r="V432">
        <v>8</v>
      </c>
      <c r="W432">
        <v>14</v>
      </c>
      <c r="X432">
        <v>15</v>
      </c>
      <c r="Y432">
        <v>7</v>
      </c>
      <c r="Z432">
        <v>87.5</v>
      </c>
      <c r="AA432" t="s">
        <v>66</v>
      </c>
      <c r="AB432" t="s">
        <v>66</v>
      </c>
      <c r="AC432">
        <v>2</v>
      </c>
      <c r="AD432" t="s">
        <v>66</v>
      </c>
      <c r="AE432">
        <v>105</v>
      </c>
      <c r="AF432">
        <v>83</v>
      </c>
      <c r="AG432" t="s">
        <v>66</v>
      </c>
      <c r="AH432">
        <v>65</v>
      </c>
      <c r="AI432">
        <v>42</v>
      </c>
      <c r="AJ432" t="s">
        <v>66</v>
      </c>
      <c r="AK432">
        <v>38</v>
      </c>
      <c r="AL432">
        <v>29</v>
      </c>
      <c r="AM432">
        <v>51.5</v>
      </c>
      <c r="AN432">
        <v>35.5</v>
      </c>
      <c r="AO432">
        <v>-31.06796117</v>
      </c>
      <c r="AP432">
        <v>-20.952380949999998</v>
      </c>
      <c r="AQ432">
        <v>2.0388349510000001</v>
      </c>
      <c r="AR432">
        <v>2.3380281690000002</v>
      </c>
      <c r="AS432">
        <v>0.29919321799999998</v>
      </c>
      <c r="AT432">
        <v>0</v>
      </c>
      <c r="AU432" t="s">
        <v>66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 t="s">
        <v>66</v>
      </c>
      <c r="BC432">
        <v>55.7</v>
      </c>
      <c r="BD432">
        <v>59</v>
      </c>
      <c r="BE432">
        <v>5.9245960499999999</v>
      </c>
      <c r="BF432">
        <v>0</v>
      </c>
      <c r="BG432">
        <v>59</v>
      </c>
      <c r="BH432">
        <v>5.9245960499999999</v>
      </c>
      <c r="BI432">
        <v>163</v>
      </c>
      <c r="BJ432">
        <v>13.3</v>
      </c>
      <c r="BK432">
        <v>3</v>
      </c>
      <c r="BL432">
        <f>163-70</f>
        <v>93</v>
      </c>
      <c r="BM432">
        <v>34</v>
      </c>
      <c r="BN432">
        <v>20</v>
      </c>
      <c r="BO432">
        <f t="shared" si="67"/>
        <v>27</v>
      </c>
      <c r="BP432">
        <v>3</v>
      </c>
      <c r="BQ432">
        <v>1</v>
      </c>
      <c r="BS432">
        <v>0</v>
      </c>
      <c r="BT432">
        <f t="shared" si="68"/>
        <v>36.196319018404907</v>
      </c>
      <c r="BU432">
        <f t="shared" si="69"/>
        <v>39.849624060150376</v>
      </c>
      <c r="BV432">
        <f t="shared" si="70"/>
        <v>-12.903225806451612</v>
      </c>
      <c r="BW432">
        <f t="shared" si="71"/>
        <v>-90.740740740740748</v>
      </c>
    </row>
    <row r="433" spans="1:75" x14ac:dyDescent="0.2">
      <c r="A433" t="s">
        <v>299</v>
      </c>
      <c r="B433" t="s">
        <v>321</v>
      </c>
      <c r="C433" t="s">
        <v>106</v>
      </c>
      <c r="D433" t="s">
        <v>342</v>
      </c>
      <c r="E433" t="s">
        <v>379</v>
      </c>
      <c r="F433" t="s">
        <v>601</v>
      </c>
      <c r="G433">
        <v>9.5</v>
      </c>
      <c r="H433">
        <v>15.55</v>
      </c>
      <c r="I433">
        <v>15</v>
      </c>
      <c r="J433">
        <v>4.0999999999999996</v>
      </c>
      <c r="K433">
        <v>44.15</v>
      </c>
      <c r="L433">
        <v>3.2157894740000001</v>
      </c>
      <c r="M433">
        <v>180</v>
      </c>
      <c r="N433">
        <v>197</v>
      </c>
      <c r="O433">
        <v>17</v>
      </c>
      <c r="P433">
        <v>197</v>
      </c>
      <c r="Q433">
        <v>17</v>
      </c>
      <c r="R433">
        <v>8.5</v>
      </c>
      <c r="S433">
        <v>64.099999999999994</v>
      </c>
      <c r="T433">
        <v>9.4444444440000002</v>
      </c>
      <c r="U433">
        <v>0</v>
      </c>
      <c r="V433">
        <v>23</v>
      </c>
      <c r="W433">
        <v>32</v>
      </c>
      <c r="X433">
        <v>28</v>
      </c>
      <c r="Y433">
        <v>5</v>
      </c>
      <c r="Z433">
        <v>21.739130429999999</v>
      </c>
      <c r="AA433">
        <v>6</v>
      </c>
      <c r="AB433">
        <v>7</v>
      </c>
      <c r="AC433">
        <v>8</v>
      </c>
      <c r="AD433" t="s">
        <v>66</v>
      </c>
      <c r="AE433">
        <v>167</v>
      </c>
      <c r="AF433">
        <v>144</v>
      </c>
      <c r="AG433" t="s">
        <v>66</v>
      </c>
      <c r="AH433">
        <v>85</v>
      </c>
      <c r="AI433">
        <v>74</v>
      </c>
      <c r="AJ433" t="s">
        <v>66</v>
      </c>
      <c r="AK433">
        <v>74</v>
      </c>
      <c r="AL433">
        <v>72</v>
      </c>
      <c r="AM433">
        <v>79.5</v>
      </c>
      <c r="AN433">
        <v>73</v>
      </c>
      <c r="AO433">
        <v>-8.1761006290000005</v>
      </c>
      <c r="AP433">
        <v>-13.772455089999999</v>
      </c>
      <c r="AQ433">
        <v>2.1006289310000001</v>
      </c>
      <c r="AR433">
        <v>1.9726027399999999</v>
      </c>
      <c r="AS433">
        <v>-0.12802619100000001</v>
      </c>
      <c r="AT433">
        <v>0</v>
      </c>
      <c r="AU433" t="s">
        <v>66</v>
      </c>
      <c r="AV433">
        <v>1</v>
      </c>
      <c r="AW433">
        <v>2</v>
      </c>
      <c r="AX433">
        <v>1</v>
      </c>
      <c r="AY433">
        <v>1</v>
      </c>
      <c r="AZ433">
        <v>1</v>
      </c>
      <c r="BA433">
        <v>1</v>
      </c>
      <c r="BB433" t="s">
        <v>66</v>
      </c>
      <c r="BC433">
        <v>43.2</v>
      </c>
      <c r="BD433">
        <v>35.6</v>
      </c>
      <c r="BE433">
        <v>-17.592592589999999</v>
      </c>
      <c r="BF433">
        <v>0</v>
      </c>
      <c r="BG433">
        <v>35.6</v>
      </c>
      <c r="BH433">
        <v>-17.592592589999999</v>
      </c>
      <c r="BI433">
        <v>243</v>
      </c>
      <c r="BJ433">
        <v>27.9</v>
      </c>
      <c r="BK433">
        <v>9.6</v>
      </c>
      <c r="BL433">
        <v>210</v>
      </c>
      <c r="BM433">
        <v>70</v>
      </c>
      <c r="BN433">
        <v>100</v>
      </c>
      <c r="BO433">
        <f t="shared" si="67"/>
        <v>85</v>
      </c>
      <c r="BP433">
        <v>4</v>
      </c>
      <c r="BQ433">
        <v>1</v>
      </c>
      <c r="BS433">
        <v>0</v>
      </c>
      <c r="BT433">
        <f t="shared" si="68"/>
        <v>25.925925925925924</v>
      </c>
      <c r="BU433">
        <f t="shared" si="69"/>
        <v>17.562724014336915</v>
      </c>
      <c r="BV433">
        <f t="shared" si="70"/>
        <v>20.476190476190474</v>
      </c>
      <c r="BW433">
        <f t="shared" si="71"/>
        <v>6.4705882352941186</v>
      </c>
    </row>
    <row r="434" spans="1:75" x14ac:dyDescent="0.2">
      <c r="A434" t="s">
        <v>299</v>
      </c>
      <c r="B434" t="s">
        <v>321</v>
      </c>
      <c r="C434" t="s">
        <v>106</v>
      </c>
      <c r="D434" t="s">
        <v>342</v>
      </c>
      <c r="E434" t="s">
        <v>381</v>
      </c>
      <c r="F434" t="s">
        <v>602</v>
      </c>
      <c r="G434">
        <v>9.5</v>
      </c>
      <c r="H434">
        <v>15.55</v>
      </c>
      <c r="I434">
        <v>15</v>
      </c>
      <c r="J434">
        <v>4.0999999999999996</v>
      </c>
      <c r="K434">
        <v>44.15</v>
      </c>
      <c r="L434">
        <v>3.2157894740000001</v>
      </c>
      <c r="M434">
        <v>102</v>
      </c>
      <c r="N434">
        <v>125</v>
      </c>
      <c r="O434">
        <v>23</v>
      </c>
      <c r="P434">
        <v>125</v>
      </c>
      <c r="Q434">
        <v>23</v>
      </c>
      <c r="R434">
        <v>11.5</v>
      </c>
      <c r="S434">
        <v>70.099999999999994</v>
      </c>
      <c r="T434">
        <v>22.549019609999998</v>
      </c>
      <c r="U434">
        <v>0</v>
      </c>
      <c r="V434">
        <v>11</v>
      </c>
      <c r="W434">
        <v>14</v>
      </c>
      <c r="X434">
        <v>15</v>
      </c>
      <c r="Y434">
        <v>4</v>
      </c>
      <c r="Z434">
        <v>36.363636360000001</v>
      </c>
      <c r="AA434" t="s">
        <v>66</v>
      </c>
      <c r="AB434" t="s">
        <v>66</v>
      </c>
      <c r="AC434" t="s">
        <v>66</v>
      </c>
      <c r="AD434" t="s">
        <v>66</v>
      </c>
      <c r="AE434">
        <v>69</v>
      </c>
      <c r="AF434">
        <v>65</v>
      </c>
      <c r="AG434" t="s">
        <v>66</v>
      </c>
      <c r="AH434">
        <v>8</v>
      </c>
      <c r="AI434">
        <v>55</v>
      </c>
      <c r="AJ434" t="s">
        <v>66</v>
      </c>
      <c r="AK434">
        <v>62</v>
      </c>
      <c r="AL434">
        <v>23</v>
      </c>
      <c r="AM434">
        <v>35</v>
      </c>
      <c r="AN434">
        <v>39</v>
      </c>
      <c r="AO434">
        <v>11.42857143</v>
      </c>
      <c r="AP434">
        <v>-5.7971014490000004</v>
      </c>
      <c r="AQ434">
        <v>1.9714285709999999</v>
      </c>
      <c r="AR434">
        <v>1.6666666670000001</v>
      </c>
      <c r="AS434">
        <v>-0.30476190399999997</v>
      </c>
      <c r="AT434">
        <v>0</v>
      </c>
      <c r="AU434" t="s">
        <v>66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 t="s">
        <v>66</v>
      </c>
      <c r="BC434">
        <v>42.9</v>
      </c>
      <c r="BD434">
        <v>37.700000000000003</v>
      </c>
      <c r="BE434">
        <v>-12.121212119999999</v>
      </c>
      <c r="BF434">
        <v>0</v>
      </c>
      <c r="BG434">
        <v>37.700000000000003</v>
      </c>
      <c r="BH434">
        <v>-12.121212119999999</v>
      </c>
      <c r="BI434">
        <v>131</v>
      </c>
      <c r="BJ434">
        <v>7.7</v>
      </c>
      <c r="BK434" t="s">
        <v>66</v>
      </c>
      <c r="BL434">
        <f>131-62</f>
        <v>69</v>
      </c>
      <c r="BM434">
        <v>38</v>
      </c>
      <c r="BN434">
        <v>30</v>
      </c>
      <c r="BO434">
        <f t="shared" si="67"/>
        <v>34</v>
      </c>
      <c r="BP434">
        <v>3</v>
      </c>
      <c r="BQ434">
        <v>1</v>
      </c>
      <c r="BS434">
        <v>0</v>
      </c>
      <c r="BT434">
        <f t="shared" si="68"/>
        <v>22.137404580152673</v>
      </c>
      <c r="BU434">
        <f t="shared" si="69"/>
        <v>-42.857142857142854</v>
      </c>
      <c r="BV434">
        <f t="shared" si="70"/>
        <v>0</v>
      </c>
      <c r="BW434">
        <f t="shared" si="71"/>
        <v>-2.9411764705882351</v>
      </c>
    </row>
    <row r="435" spans="1:75" x14ac:dyDescent="0.2">
      <c r="A435" t="s">
        <v>60</v>
      </c>
      <c r="B435" t="s">
        <v>61</v>
      </c>
      <c r="C435" t="s">
        <v>62</v>
      </c>
      <c r="D435" t="s">
        <v>603</v>
      </c>
      <c r="E435" t="s">
        <v>604</v>
      </c>
      <c r="F435" t="s">
        <v>605</v>
      </c>
      <c r="G435">
        <v>2.7</v>
      </c>
      <c r="H435">
        <v>5.9</v>
      </c>
      <c r="I435">
        <v>5.75</v>
      </c>
      <c r="J435">
        <v>3.6</v>
      </c>
      <c r="K435">
        <v>17.95</v>
      </c>
      <c r="L435">
        <v>4.3148148150000001</v>
      </c>
      <c r="M435">
        <v>33</v>
      </c>
      <c r="N435">
        <v>39</v>
      </c>
      <c r="O435">
        <v>6</v>
      </c>
      <c r="P435">
        <v>43</v>
      </c>
      <c r="Q435">
        <v>10</v>
      </c>
      <c r="R435">
        <v>5</v>
      </c>
      <c r="S435">
        <v>57.1</v>
      </c>
      <c r="T435">
        <v>30.3030303</v>
      </c>
      <c r="U435">
        <v>10.256410259999999</v>
      </c>
      <c r="V435">
        <v>4</v>
      </c>
      <c r="W435">
        <v>5</v>
      </c>
      <c r="X435">
        <v>6</v>
      </c>
      <c r="Y435">
        <v>2</v>
      </c>
      <c r="Z435">
        <v>50</v>
      </c>
      <c r="AA435" t="s">
        <v>66</v>
      </c>
      <c r="AB435" t="s">
        <v>66</v>
      </c>
      <c r="AC435" t="s">
        <v>66</v>
      </c>
      <c r="AD435" t="s">
        <v>66</v>
      </c>
      <c r="AE435">
        <v>29</v>
      </c>
      <c r="AF435">
        <v>33</v>
      </c>
      <c r="AG435" t="s">
        <v>66</v>
      </c>
      <c r="AH435">
        <v>19</v>
      </c>
      <c r="AI435">
        <v>21</v>
      </c>
      <c r="AJ435" t="s">
        <v>66</v>
      </c>
      <c r="AK435">
        <v>14</v>
      </c>
      <c r="AL435">
        <v>19</v>
      </c>
      <c r="AM435">
        <v>16.5</v>
      </c>
      <c r="AN435">
        <v>20</v>
      </c>
      <c r="AO435">
        <v>21.212121209999999</v>
      </c>
      <c r="AP435">
        <v>13.79310345</v>
      </c>
      <c r="AQ435">
        <v>1.757575758</v>
      </c>
      <c r="AR435">
        <v>1.65</v>
      </c>
      <c r="AS435">
        <v>-0.10757575799999999</v>
      </c>
      <c r="AT435">
        <v>0</v>
      </c>
      <c r="AU435" t="s">
        <v>66</v>
      </c>
      <c r="AV435">
        <v>0</v>
      </c>
      <c r="AW435">
        <v>0</v>
      </c>
      <c r="AX435">
        <v>0</v>
      </c>
      <c r="AY435">
        <v>1</v>
      </c>
      <c r="AZ435">
        <v>1</v>
      </c>
      <c r="BA435">
        <v>1</v>
      </c>
      <c r="BB435" t="s">
        <v>66</v>
      </c>
      <c r="BC435" t="s">
        <v>66</v>
      </c>
      <c r="BD435" t="s">
        <v>66</v>
      </c>
      <c r="BE435" t="s">
        <v>66</v>
      </c>
      <c r="BF435">
        <v>0</v>
      </c>
      <c r="BG435" t="s">
        <v>66</v>
      </c>
      <c r="BH435" t="s">
        <v>66</v>
      </c>
      <c r="BI435">
        <v>62</v>
      </c>
      <c r="BJ435">
        <v>7.3</v>
      </c>
      <c r="BK435" t="s">
        <v>66</v>
      </c>
      <c r="BL435">
        <v>51</v>
      </c>
      <c r="BM435">
        <v>29</v>
      </c>
      <c r="BN435">
        <v>19</v>
      </c>
      <c r="BO435">
        <f t="shared" si="67"/>
        <v>24</v>
      </c>
      <c r="BP435">
        <v>4</v>
      </c>
      <c r="BQ435">
        <v>1</v>
      </c>
      <c r="BS435">
        <v>0</v>
      </c>
      <c r="BT435">
        <f t="shared" si="68"/>
        <v>46.774193548387096</v>
      </c>
      <c r="BU435">
        <f t="shared" si="69"/>
        <v>45.205479452054789</v>
      </c>
      <c r="BV435">
        <f t="shared" si="70"/>
        <v>43.137254901960787</v>
      </c>
      <c r="BW435">
        <f t="shared" si="71"/>
        <v>31.25</v>
      </c>
    </row>
    <row r="436" spans="1:75" x14ac:dyDescent="0.2">
      <c r="A436" t="s">
        <v>60</v>
      </c>
      <c r="B436" t="s">
        <v>61</v>
      </c>
      <c r="C436" t="s">
        <v>62</v>
      </c>
      <c r="D436" t="s">
        <v>603</v>
      </c>
      <c r="E436" t="s">
        <v>606</v>
      </c>
      <c r="F436" t="s">
        <v>607</v>
      </c>
      <c r="G436">
        <v>2.7</v>
      </c>
      <c r="H436">
        <v>5.9</v>
      </c>
      <c r="I436">
        <v>5.75</v>
      </c>
      <c r="J436">
        <v>3.6</v>
      </c>
      <c r="K436">
        <v>17.95</v>
      </c>
      <c r="L436">
        <v>4.3148148150000001</v>
      </c>
      <c r="M436">
        <v>15</v>
      </c>
      <c r="N436">
        <v>22</v>
      </c>
      <c r="O436">
        <v>7</v>
      </c>
      <c r="P436">
        <v>26</v>
      </c>
      <c r="Q436">
        <v>11</v>
      </c>
      <c r="R436">
        <v>5.5</v>
      </c>
      <c r="S436">
        <v>58.1</v>
      </c>
      <c r="T436">
        <v>73.333333330000002</v>
      </c>
      <c r="U436">
        <v>18.18181818</v>
      </c>
      <c r="V436">
        <v>2</v>
      </c>
      <c r="W436">
        <v>4</v>
      </c>
      <c r="X436">
        <v>5</v>
      </c>
      <c r="Y436">
        <v>3</v>
      </c>
      <c r="Z436">
        <v>150</v>
      </c>
      <c r="AA436" t="s">
        <v>66</v>
      </c>
      <c r="AB436" t="s">
        <v>66</v>
      </c>
      <c r="AC436" t="s">
        <v>66</v>
      </c>
      <c r="AD436" t="s">
        <v>66</v>
      </c>
      <c r="AE436">
        <v>17</v>
      </c>
      <c r="AF436">
        <v>20</v>
      </c>
      <c r="AG436" t="s">
        <v>66</v>
      </c>
      <c r="AH436">
        <v>14</v>
      </c>
      <c r="AI436">
        <v>15</v>
      </c>
      <c r="AJ436" t="s">
        <v>66</v>
      </c>
      <c r="AK436">
        <v>10</v>
      </c>
      <c r="AL436">
        <v>13</v>
      </c>
      <c r="AM436">
        <v>12</v>
      </c>
      <c r="AN436">
        <v>14</v>
      </c>
      <c r="AO436">
        <v>16.666666670000001</v>
      </c>
      <c r="AP436">
        <v>17.647058820000002</v>
      </c>
      <c r="AQ436">
        <v>1.4166666670000001</v>
      </c>
      <c r="AR436">
        <v>1.428571429</v>
      </c>
      <c r="AS436">
        <v>1.1904761999999999E-2</v>
      </c>
      <c r="AT436">
        <v>0</v>
      </c>
      <c r="AU436" t="s">
        <v>66</v>
      </c>
      <c r="AV436">
        <v>0</v>
      </c>
      <c r="AW436">
        <v>2</v>
      </c>
      <c r="AX436">
        <v>0</v>
      </c>
      <c r="AY436">
        <v>1</v>
      </c>
      <c r="AZ436">
        <v>1</v>
      </c>
      <c r="BA436">
        <v>1</v>
      </c>
      <c r="BB436" t="s">
        <v>66</v>
      </c>
      <c r="BC436" t="s">
        <v>66</v>
      </c>
      <c r="BD436" t="s">
        <v>66</v>
      </c>
      <c r="BE436" t="s">
        <v>66</v>
      </c>
      <c r="BF436">
        <v>0</v>
      </c>
      <c r="BG436" t="s">
        <v>66</v>
      </c>
      <c r="BH436" t="s">
        <v>66</v>
      </c>
      <c r="BI436">
        <v>42</v>
      </c>
      <c r="BJ436">
        <v>5.2</v>
      </c>
      <c r="BK436" t="s">
        <v>66</v>
      </c>
      <c r="BL436">
        <v>31</v>
      </c>
      <c r="BM436">
        <v>24</v>
      </c>
      <c r="BN436">
        <v>18</v>
      </c>
      <c r="BO436">
        <f t="shared" si="67"/>
        <v>21</v>
      </c>
      <c r="BP436">
        <v>4</v>
      </c>
      <c r="BQ436">
        <v>1</v>
      </c>
      <c r="BS436">
        <v>0</v>
      </c>
      <c r="BT436">
        <f t="shared" si="68"/>
        <v>64.285714285714292</v>
      </c>
      <c r="BU436">
        <f t="shared" si="69"/>
        <v>61.53846153846154</v>
      </c>
      <c r="BV436">
        <f t="shared" si="70"/>
        <v>45.161290322580641</v>
      </c>
      <c r="BW436">
        <f t="shared" si="71"/>
        <v>42.857142857142854</v>
      </c>
    </row>
    <row r="437" spans="1:75" x14ac:dyDescent="0.2">
      <c r="A437" t="s">
        <v>60</v>
      </c>
      <c r="B437" t="s">
        <v>61</v>
      </c>
      <c r="C437" t="s">
        <v>62</v>
      </c>
      <c r="D437" t="s">
        <v>603</v>
      </c>
      <c r="E437" t="s">
        <v>608</v>
      </c>
      <c r="F437" t="s">
        <v>609</v>
      </c>
      <c r="G437">
        <v>2.7</v>
      </c>
      <c r="H437">
        <v>5.9</v>
      </c>
      <c r="I437">
        <v>5.75</v>
      </c>
      <c r="J437">
        <v>3.6</v>
      </c>
      <c r="K437">
        <v>17.95</v>
      </c>
      <c r="L437">
        <v>4.3148148150000001</v>
      </c>
      <c r="M437">
        <v>9</v>
      </c>
      <c r="N437">
        <v>15</v>
      </c>
      <c r="O437">
        <v>6</v>
      </c>
      <c r="P437">
        <v>14</v>
      </c>
      <c r="Q437">
        <v>5</v>
      </c>
      <c r="R437">
        <v>2.5</v>
      </c>
      <c r="S437">
        <v>52.1</v>
      </c>
      <c r="T437">
        <v>55.555555560000002</v>
      </c>
      <c r="U437">
        <v>-6.6666666670000003</v>
      </c>
      <c r="V437">
        <v>2</v>
      </c>
      <c r="W437">
        <v>4</v>
      </c>
      <c r="X437">
        <v>3</v>
      </c>
      <c r="Y437">
        <v>1</v>
      </c>
      <c r="Z437">
        <v>50</v>
      </c>
      <c r="AA437" t="s">
        <v>66</v>
      </c>
      <c r="AB437" t="s">
        <v>66</v>
      </c>
      <c r="AC437" t="s">
        <v>66</v>
      </c>
      <c r="AD437" t="s">
        <v>66</v>
      </c>
      <c r="AE437">
        <v>12</v>
      </c>
      <c r="AF437">
        <v>12</v>
      </c>
      <c r="AG437" t="s">
        <v>66</v>
      </c>
      <c r="AH437">
        <v>6</v>
      </c>
      <c r="AI437">
        <v>9</v>
      </c>
      <c r="AJ437" t="s">
        <v>66</v>
      </c>
      <c r="AK437">
        <v>4</v>
      </c>
      <c r="AL437">
        <v>7</v>
      </c>
      <c r="AM437">
        <v>5</v>
      </c>
      <c r="AN437">
        <v>8</v>
      </c>
      <c r="AO437">
        <v>60</v>
      </c>
      <c r="AP437">
        <v>0</v>
      </c>
      <c r="AQ437">
        <v>2.4</v>
      </c>
      <c r="AR437">
        <v>1.5</v>
      </c>
      <c r="AS437">
        <v>-0.9</v>
      </c>
      <c r="AT437">
        <v>0</v>
      </c>
      <c r="AU437" t="s">
        <v>66</v>
      </c>
      <c r="AV437">
        <v>0</v>
      </c>
      <c r="AW437">
        <v>0</v>
      </c>
      <c r="AX437">
        <v>0</v>
      </c>
      <c r="AY437">
        <v>1</v>
      </c>
      <c r="AZ437">
        <v>1</v>
      </c>
      <c r="BA437">
        <v>1</v>
      </c>
      <c r="BB437" t="s">
        <v>66</v>
      </c>
      <c r="BC437" t="s">
        <v>66</v>
      </c>
      <c r="BD437" t="s">
        <v>66</v>
      </c>
      <c r="BE437" t="s">
        <v>66</v>
      </c>
      <c r="BF437">
        <v>0</v>
      </c>
      <c r="BG437" t="s">
        <v>66</v>
      </c>
      <c r="BH437" t="s">
        <v>66</v>
      </c>
      <c r="BI437">
        <v>27</v>
      </c>
      <c r="BJ437">
        <v>4.2</v>
      </c>
      <c r="BK437" t="s">
        <v>66</v>
      </c>
      <c r="BL437">
        <v>22</v>
      </c>
      <c r="BM437">
        <v>13</v>
      </c>
      <c r="BN437">
        <v>6</v>
      </c>
      <c r="BO437">
        <f t="shared" si="67"/>
        <v>9.5</v>
      </c>
      <c r="BP437">
        <v>4</v>
      </c>
      <c r="BQ437">
        <v>1</v>
      </c>
      <c r="BS437">
        <v>0</v>
      </c>
      <c r="BT437">
        <f t="shared" si="68"/>
        <v>66.666666666666657</v>
      </c>
      <c r="BU437">
        <f t="shared" si="69"/>
        <v>52.380952380952387</v>
      </c>
      <c r="BV437">
        <f t="shared" si="70"/>
        <v>45.454545454545453</v>
      </c>
      <c r="BW437">
        <f t="shared" si="71"/>
        <v>47.368421052631575</v>
      </c>
    </row>
    <row r="438" spans="1:75" x14ac:dyDescent="0.2">
      <c r="A438" t="s">
        <v>60</v>
      </c>
      <c r="B438" t="s">
        <v>61</v>
      </c>
      <c r="C438" t="s">
        <v>62</v>
      </c>
      <c r="D438" t="s">
        <v>603</v>
      </c>
      <c r="E438" t="s">
        <v>610</v>
      </c>
      <c r="F438" t="s">
        <v>611</v>
      </c>
      <c r="G438">
        <v>2.7</v>
      </c>
      <c r="H438">
        <v>5.9</v>
      </c>
      <c r="I438">
        <v>5.75</v>
      </c>
      <c r="J438">
        <v>3.6</v>
      </c>
      <c r="K438">
        <v>17.95</v>
      </c>
      <c r="L438">
        <v>4.3148148150000001</v>
      </c>
      <c r="M438">
        <v>14</v>
      </c>
      <c r="N438">
        <v>28</v>
      </c>
      <c r="O438">
        <v>14</v>
      </c>
      <c r="P438">
        <v>39</v>
      </c>
      <c r="Q438">
        <v>25</v>
      </c>
      <c r="R438">
        <v>12.5</v>
      </c>
      <c r="S438">
        <v>72.099999999999994</v>
      </c>
      <c r="T438">
        <v>178.57142859999999</v>
      </c>
      <c r="U438">
        <v>39.285714290000001</v>
      </c>
      <c r="V438">
        <v>2</v>
      </c>
      <c r="W438">
        <v>4</v>
      </c>
      <c r="X438">
        <v>5</v>
      </c>
      <c r="Y438">
        <v>3</v>
      </c>
      <c r="Z438">
        <v>150</v>
      </c>
      <c r="AA438" t="s">
        <v>66</v>
      </c>
      <c r="AB438" t="s">
        <v>66</v>
      </c>
      <c r="AC438" t="s">
        <v>66</v>
      </c>
      <c r="AD438" t="s">
        <v>66</v>
      </c>
      <c r="AE438">
        <v>21</v>
      </c>
      <c r="AF438">
        <v>33</v>
      </c>
      <c r="AG438" t="s">
        <v>66</v>
      </c>
      <c r="AH438">
        <v>13</v>
      </c>
      <c r="AI438">
        <v>17</v>
      </c>
      <c r="AJ438" t="s">
        <v>66</v>
      </c>
      <c r="AK438">
        <v>10</v>
      </c>
      <c r="AL438">
        <v>14</v>
      </c>
      <c r="AM438">
        <v>11.5</v>
      </c>
      <c r="AN438">
        <v>15.5</v>
      </c>
      <c r="AO438">
        <v>34.782608699999997</v>
      </c>
      <c r="AP438">
        <v>57.142857139999997</v>
      </c>
      <c r="AQ438">
        <v>1.826086957</v>
      </c>
      <c r="AR438">
        <v>2.1290322580000001</v>
      </c>
      <c r="AS438">
        <v>0.302945301</v>
      </c>
      <c r="AT438">
        <v>0</v>
      </c>
      <c r="AU438" t="s">
        <v>66</v>
      </c>
      <c r="AV438">
        <v>0</v>
      </c>
      <c r="AW438">
        <v>0</v>
      </c>
      <c r="AX438">
        <v>0</v>
      </c>
      <c r="AY438">
        <v>1</v>
      </c>
      <c r="AZ438">
        <v>1</v>
      </c>
      <c r="BA438">
        <v>1</v>
      </c>
      <c r="BB438" t="s">
        <v>66</v>
      </c>
      <c r="BC438" t="s">
        <v>66</v>
      </c>
      <c r="BD438" t="s">
        <v>66</v>
      </c>
      <c r="BE438" t="s">
        <v>66</v>
      </c>
      <c r="BF438">
        <v>0</v>
      </c>
      <c r="BG438" t="s">
        <v>66</v>
      </c>
      <c r="BH438" t="s">
        <v>66</v>
      </c>
      <c r="BI438">
        <v>54</v>
      </c>
      <c r="BJ438">
        <v>5.4</v>
      </c>
      <c r="BK438" t="s">
        <v>66</v>
      </c>
      <c r="BL438">
        <v>65</v>
      </c>
      <c r="BM438">
        <v>27</v>
      </c>
      <c r="BN438">
        <v>21</v>
      </c>
      <c r="BO438">
        <f t="shared" si="67"/>
        <v>24</v>
      </c>
      <c r="BP438">
        <v>4</v>
      </c>
      <c r="BQ438">
        <v>1</v>
      </c>
      <c r="BS438">
        <v>0</v>
      </c>
      <c r="BT438">
        <f t="shared" si="68"/>
        <v>74.074074074074076</v>
      </c>
      <c r="BU438">
        <f t="shared" si="69"/>
        <v>62.962962962962962</v>
      </c>
      <c r="BV438">
        <f t="shared" si="70"/>
        <v>67.692307692307693</v>
      </c>
      <c r="BW438">
        <f t="shared" si="71"/>
        <v>52.083333333333336</v>
      </c>
    </row>
    <row r="439" spans="1:75" x14ac:dyDescent="0.2">
      <c r="A439" t="s">
        <v>60</v>
      </c>
      <c r="B439" t="s">
        <v>61</v>
      </c>
      <c r="C439" t="s">
        <v>62</v>
      </c>
      <c r="D439" t="s">
        <v>603</v>
      </c>
      <c r="E439" t="s">
        <v>612</v>
      </c>
      <c r="F439" t="s">
        <v>613</v>
      </c>
      <c r="G439">
        <v>2.7</v>
      </c>
      <c r="H439">
        <v>5.9</v>
      </c>
      <c r="I439">
        <v>5.75</v>
      </c>
      <c r="J439">
        <v>3.6</v>
      </c>
      <c r="K439">
        <v>17.95</v>
      </c>
      <c r="L439">
        <v>4.3148148150000001</v>
      </c>
      <c r="M439">
        <v>27</v>
      </c>
      <c r="N439">
        <v>43</v>
      </c>
      <c r="O439">
        <v>16</v>
      </c>
      <c r="P439">
        <v>53</v>
      </c>
      <c r="Q439">
        <v>26</v>
      </c>
      <c r="R439">
        <v>13</v>
      </c>
      <c r="S439">
        <v>73.099999999999994</v>
      </c>
      <c r="T439">
        <v>96.296296299999995</v>
      </c>
      <c r="U439">
        <v>23.25581395</v>
      </c>
      <c r="V439">
        <v>4</v>
      </c>
      <c r="W439">
        <v>7</v>
      </c>
      <c r="X439">
        <v>7</v>
      </c>
      <c r="Y439">
        <v>3</v>
      </c>
      <c r="Z439">
        <v>75</v>
      </c>
      <c r="AA439" t="s">
        <v>66</v>
      </c>
      <c r="AB439" t="s">
        <v>66</v>
      </c>
      <c r="AC439" t="s">
        <v>66</v>
      </c>
      <c r="AD439" t="s">
        <v>66</v>
      </c>
      <c r="AE439">
        <v>37</v>
      </c>
      <c r="AF439">
        <v>47</v>
      </c>
      <c r="AG439" t="s">
        <v>66</v>
      </c>
      <c r="AH439">
        <v>23</v>
      </c>
      <c r="AI439">
        <v>29</v>
      </c>
      <c r="AJ439" t="s">
        <v>66</v>
      </c>
      <c r="AK439">
        <v>20</v>
      </c>
      <c r="AL439">
        <v>24</v>
      </c>
      <c r="AM439">
        <v>21.5</v>
      </c>
      <c r="AN439">
        <v>26.5</v>
      </c>
      <c r="AO439">
        <v>23.25581395</v>
      </c>
      <c r="AP439">
        <v>27.027027029999999</v>
      </c>
      <c r="AQ439">
        <v>1.720930233</v>
      </c>
      <c r="AR439">
        <v>1.773584906</v>
      </c>
      <c r="AS439">
        <v>5.2654672999999999E-2</v>
      </c>
      <c r="AT439">
        <v>0</v>
      </c>
      <c r="AU439" t="s">
        <v>66</v>
      </c>
      <c r="AV439">
        <v>0</v>
      </c>
      <c r="AW439">
        <v>0</v>
      </c>
      <c r="AX439">
        <v>0</v>
      </c>
      <c r="AY439">
        <v>1</v>
      </c>
      <c r="AZ439">
        <v>1</v>
      </c>
      <c r="BA439">
        <v>1</v>
      </c>
      <c r="BB439" t="s">
        <v>66</v>
      </c>
      <c r="BC439" t="s">
        <v>66</v>
      </c>
      <c r="BD439" t="s">
        <v>66</v>
      </c>
      <c r="BE439" t="s">
        <v>66</v>
      </c>
      <c r="BF439">
        <v>0</v>
      </c>
      <c r="BG439" t="s">
        <v>66</v>
      </c>
      <c r="BH439" t="s">
        <v>66</v>
      </c>
      <c r="BI439">
        <v>78</v>
      </c>
      <c r="BJ439">
        <v>8.9</v>
      </c>
      <c r="BK439" t="s">
        <v>66</v>
      </c>
      <c r="BL439">
        <v>68</v>
      </c>
      <c r="BM439">
        <v>49</v>
      </c>
      <c r="BN439">
        <v>31</v>
      </c>
      <c r="BO439">
        <f t="shared" si="67"/>
        <v>40</v>
      </c>
      <c r="BP439">
        <v>4</v>
      </c>
      <c r="BQ439">
        <v>1</v>
      </c>
      <c r="BS439">
        <v>0</v>
      </c>
      <c r="BT439">
        <f t="shared" si="68"/>
        <v>65.384615384615387</v>
      </c>
      <c r="BU439">
        <f t="shared" si="69"/>
        <v>55.056179775280903</v>
      </c>
      <c r="BV439">
        <f t="shared" si="70"/>
        <v>45.588235294117645</v>
      </c>
      <c r="BW439">
        <f t="shared" si="71"/>
        <v>46.25</v>
      </c>
    </row>
    <row r="440" spans="1:75" x14ac:dyDescent="0.2">
      <c r="A440" t="s">
        <v>60</v>
      </c>
      <c r="B440" t="s">
        <v>61</v>
      </c>
      <c r="C440" t="s">
        <v>62</v>
      </c>
      <c r="D440" t="s">
        <v>603</v>
      </c>
      <c r="E440" t="s">
        <v>614</v>
      </c>
      <c r="F440" t="s">
        <v>615</v>
      </c>
      <c r="G440">
        <v>2.7</v>
      </c>
      <c r="H440">
        <v>5.9</v>
      </c>
      <c r="I440">
        <v>5.75</v>
      </c>
      <c r="J440">
        <v>3.6</v>
      </c>
      <c r="K440">
        <v>17.95</v>
      </c>
      <c r="L440">
        <v>4.3148148150000001</v>
      </c>
      <c r="M440">
        <v>11</v>
      </c>
      <c r="N440">
        <v>23</v>
      </c>
      <c r="O440">
        <v>12</v>
      </c>
      <c r="P440">
        <v>28</v>
      </c>
      <c r="Q440">
        <v>17</v>
      </c>
      <c r="R440">
        <v>8.5</v>
      </c>
      <c r="S440">
        <v>64.099999999999994</v>
      </c>
      <c r="T440">
        <v>154.54545450000001</v>
      </c>
      <c r="U440">
        <v>21.739130429999999</v>
      </c>
      <c r="V440">
        <v>2</v>
      </c>
      <c r="W440">
        <v>5</v>
      </c>
      <c r="X440">
        <v>7</v>
      </c>
      <c r="Y440">
        <v>5</v>
      </c>
      <c r="Z440">
        <v>250</v>
      </c>
      <c r="AA440" t="s">
        <v>66</v>
      </c>
      <c r="AB440" t="s">
        <v>66</v>
      </c>
      <c r="AC440" t="s">
        <v>66</v>
      </c>
      <c r="AD440" t="s">
        <v>66</v>
      </c>
      <c r="AE440">
        <v>18</v>
      </c>
      <c r="AF440">
        <v>25</v>
      </c>
      <c r="AG440" t="s">
        <v>66</v>
      </c>
      <c r="AH440">
        <v>15</v>
      </c>
      <c r="AI440">
        <v>16</v>
      </c>
      <c r="AJ440" t="s">
        <v>66</v>
      </c>
      <c r="AK440">
        <v>9</v>
      </c>
      <c r="AL440">
        <v>12</v>
      </c>
      <c r="AM440">
        <v>12</v>
      </c>
      <c r="AN440">
        <v>14</v>
      </c>
      <c r="AO440">
        <v>16.666666670000001</v>
      </c>
      <c r="AP440">
        <v>38.888888889999997</v>
      </c>
      <c r="AQ440">
        <v>1.5</v>
      </c>
      <c r="AR440">
        <v>1.7857142859999999</v>
      </c>
      <c r="AS440">
        <v>0.28571428599999998</v>
      </c>
      <c r="AT440">
        <v>0</v>
      </c>
      <c r="AU440" t="s">
        <v>66</v>
      </c>
      <c r="AV440">
        <v>0</v>
      </c>
      <c r="AW440">
        <v>0</v>
      </c>
      <c r="AX440">
        <v>0</v>
      </c>
      <c r="AY440">
        <v>1</v>
      </c>
      <c r="AZ440">
        <v>1</v>
      </c>
      <c r="BA440">
        <v>1</v>
      </c>
      <c r="BB440" t="s">
        <v>66</v>
      </c>
      <c r="BC440" t="s">
        <v>66</v>
      </c>
      <c r="BD440" t="s">
        <v>66</v>
      </c>
      <c r="BE440" t="s">
        <v>66</v>
      </c>
      <c r="BF440">
        <v>0</v>
      </c>
      <c r="BG440" t="s">
        <v>66</v>
      </c>
      <c r="BH440" t="s">
        <v>66</v>
      </c>
      <c r="BI440">
        <v>28</v>
      </c>
      <c r="BJ440">
        <v>4.2</v>
      </c>
      <c r="BK440" t="s">
        <v>66</v>
      </c>
      <c r="BL440">
        <v>18</v>
      </c>
      <c r="BM440">
        <v>14</v>
      </c>
      <c r="BN440">
        <v>6</v>
      </c>
      <c r="BO440">
        <f t="shared" si="67"/>
        <v>10</v>
      </c>
      <c r="BP440">
        <v>3</v>
      </c>
      <c r="BQ440">
        <v>1</v>
      </c>
      <c r="BS440">
        <v>0</v>
      </c>
      <c r="BT440">
        <f t="shared" si="68"/>
        <v>60.714285714285708</v>
      </c>
      <c r="BU440">
        <f t="shared" si="69"/>
        <v>52.380952380952387</v>
      </c>
      <c r="BV440">
        <f t="shared" si="70"/>
        <v>0</v>
      </c>
      <c r="BW440">
        <f t="shared" si="71"/>
        <v>-20</v>
      </c>
    </row>
    <row r="441" spans="1:75" x14ac:dyDescent="0.2">
      <c r="A441" t="s">
        <v>60</v>
      </c>
      <c r="B441" t="s">
        <v>61</v>
      </c>
      <c r="C441" t="s">
        <v>62</v>
      </c>
      <c r="D441" t="s">
        <v>603</v>
      </c>
      <c r="E441" t="s">
        <v>616</v>
      </c>
      <c r="F441" t="s">
        <v>617</v>
      </c>
      <c r="G441">
        <v>2.7</v>
      </c>
      <c r="H441">
        <v>5.9</v>
      </c>
      <c r="I441">
        <v>5.75</v>
      </c>
      <c r="J441">
        <v>3.6</v>
      </c>
      <c r="K441">
        <v>17.95</v>
      </c>
      <c r="L441">
        <v>4.3148148150000001</v>
      </c>
      <c r="M441">
        <v>28</v>
      </c>
      <c r="N441">
        <v>41</v>
      </c>
      <c r="O441">
        <v>13</v>
      </c>
      <c r="P441">
        <v>45</v>
      </c>
      <c r="Q441">
        <v>17</v>
      </c>
      <c r="R441">
        <v>8.5</v>
      </c>
      <c r="S441">
        <v>64.099999999999994</v>
      </c>
      <c r="T441">
        <v>60.714285709999999</v>
      </c>
      <c r="U441">
        <v>9.7560975610000007</v>
      </c>
      <c r="V441">
        <v>4</v>
      </c>
      <c r="W441">
        <v>5</v>
      </c>
      <c r="X441">
        <v>7</v>
      </c>
      <c r="Y441">
        <v>3</v>
      </c>
      <c r="Z441">
        <v>75</v>
      </c>
      <c r="AA441" t="s">
        <v>66</v>
      </c>
      <c r="AB441" t="s">
        <v>66</v>
      </c>
      <c r="AC441" t="s">
        <v>66</v>
      </c>
      <c r="AD441" t="s">
        <v>66</v>
      </c>
      <c r="AE441">
        <v>30</v>
      </c>
      <c r="AF441">
        <v>38</v>
      </c>
      <c r="AG441" t="s">
        <v>66</v>
      </c>
      <c r="AH441">
        <v>23</v>
      </c>
      <c r="AI441">
        <v>29</v>
      </c>
      <c r="AJ441" t="s">
        <v>66</v>
      </c>
      <c r="AK441">
        <v>16</v>
      </c>
      <c r="AL441">
        <v>22</v>
      </c>
      <c r="AM441">
        <v>19.5</v>
      </c>
      <c r="AN441">
        <v>25.5</v>
      </c>
      <c r="AO441">
        <v>30.76923077</v>
      </c>
      <c r="AP441">
        <v>26.666666670000001</v>
      </c>
      <c r="AQ441">
        <v>1.538461538</v>
      </c>
      <c r="AR441">
        <v>1.4901960780000001</v>
      </c>
      <c r="AS441">
        <v>-4.8265460000000003E-2</v>
      </c>
      <c r="AT441">
        <v>0</v>
      </c>
      <c r="AU441" t="s">
        <v>66</v>
      </c>
      <c r="AV441">
        <v>0</v>
      </c>
      <c r="AW441">
        <v>0</v>
      </c>
      <c r="AX441">
        <v>0</v>
      </c>
      <c r="AY441">
        <v>1</v>
      </c>
      <c r="AZ441">
        <v>1</v>
      </c>
      <c r="BA441">
        <v>1</v>
      </c>
      <c r="BB441" t="s">
        <v>66</v>
      </c>
      <c r="BC441" t="s">
        <v>66</v>
      </c>
      <c r="BD441" t="s">
        <v>66</v>
      </c>
      <c r="BE441" t="s">
        <v>66</v>
      </c>
      <c r="BF441">
        <v>0</v>
      </c>
      <c r="BG441" t="s">
        <v>66</v>
      </c>
      <c r="BH441" t="s">
        <v>66</v>
      </c>
      <c r="BI441">
        <v>67</v>
      </c>
      <c r="BJ441">
        <v>8.6999999999999993</v>
      </c>
      <c r="BK441" t="s">
        <v>66</v>
      </c>
      <c r="BL441">
        <v>57</v>
      </c>
      <c r="BM441">
        <v>39</v>
      </c>
      <c r="BN441">
        <v>35</v>
      </c>
      <c r="BO441">
        <f t="shared" si="67"/>
        <v>37</v>
      </c>
      <c r="BP441">
        <v>4</v>
      </c>
      <c r="BQ441">
        <v>1</v>
      </c>
      <c r="BS441">
        <v>0</v>
      </c>
      <c r="BT441">
        <f t="shared" si="68"/>
        <v>58.208955223880601</v>
      </c>
      <c r="BU441">
        <f t="shared" si="69"/>
        <v>54.022988505747129</v>
      </c>
      <c r="BV441">
        <f t="shared" si="70"/>
        <v>47.368421052631575</v>
      </c>
      <c r="BW441">
        <f t="shared" si="71"/>
        <v>47.297297297297298</v>
      </c>
    </row>
    <row r="442" spans="1:75" x14ac:dyDescent="0.2">
      <c r="A442" t="s">
        <v>60</v>
      </c>
      <c r="B442" t="s">
        <v>61</v>
      </c>
      <c r="C442" t="s">
        <v>62</v>
      </c>
      <c r="D442" t="s">
        <v>603</v>
      </c>
      <c r="E442" t="s">
        <v>618</v>
      </c>
      <c r="F442" t="s">
        <v>619</v>
      </c>
      <c r="G442">
        <v>2.7</v>
      </c>
      <c r="H442">
        <v>5.9</v>
      </c>
      <c r="I442">
        <v>5.75</v>
      </c>
      <c r="J442">
        <v>3.6</v>
      </c>
      <c r="K442">
        <v>17.95</v>
      </c>
      <c r="L442">
        <v>4.3148148150000001</v>
      </c>
      <c r="M442">
        <v>22</v>
      </c>
      <c r="N442">
        <v>31</v>
      </c>
      <c r="O442">
        <v>9</v>
      </c>
      <c r="P442">
        <v>36</v>
      </c>
      <c r="Q442">
        <v>14</v>
      </c>
      <c r="R442">
        <v>7</v>
      </c>
      <c r="S442">
        <v>61.1</v>
      </c>
      <c r="T442">
        <v>63.636363639999999</v>
      </c>
      <c r="U442">
        <v>16.129032259999999</v>
      </c>
      <c r="V442">
        <v>4</v>
      </c>
      <c r="W442">
        <v>6</v>
      </c>
      <c r="X442">
        <v>8</v>
      </c>
      <c r="Y442">
        <v>4</v>
      </c>
      <c r="Z442">
        <v>100</v>
      </c>
      <c r="AA442" t="s">
        <v>66</v>
      </c>
      <c r="AB442" t="s">
        <v>66</v>
      </c>
      <c r="AC442" t="s">
        <v>66</v>
      </c>
      <c r="AD442" t="s">
        <v>66</v>
      </c>
      <c r="AE442">
        <v>25</v>
      </c>
      <c r="AF442">
        <v>33</v>
      </c>
      <c r="AG442" t="s">
        <v>66</v>
      </c>
      <c r="AH442">
        <v>18</v>
      </c>
      <c r="AI442">
        <v>20</v>
      </c>
      <c r="AJ442" t="s">
        <v>66</v>
      </c>
      <c r="AK442">
        <v>12</v>
      </c>
      <c r="AL442">
        <v>18</v>
      </c>
      <c r="AM442">
        <v>15</v>
      </c>
      <c r="AN442">
        <v>19</v>
      </c>
      <c r="AO442">
        <v>26.666666670000001</v>
      </c>
      <c r="AP442">
        <v>32</v>
      </c>
      <c r="AQ442">
        <v>1.6666666670000001</v>
      </c>
      <c r="AR442">
        <v>1.736842105</v>
      </c>
      <c r="AS442">
        <v>7.0175438000000007E-2</v>
      </c>
      <c r="AT442">
        <v>0</v>
      </c>
      <c r="AU442" t="s">
        <v>66</v>
      </c>
      <c r="AV442">
        <v>0</v>
      </c>
      <c r="AW442">
        <v>2</v>
      </c>
      <c r="AX442">
        <v>0</v>
      </c>
      <c r="AY442">
        <v>1</v>
      </c>
      <c r="AZ442">
        <v>1</v>
      </c>
      <c r="BA442">
        <v>1</v>
      </c>
      <c r="BB442" t="s">
        <v>66</v>
      </c>
      <c r="BC442" t="s">
        <v>66</v>
      </c>
      <c r="BD442" t="s">
        <v>66</v>
      </c>
      <c r="BE442" t="s">
        <v>66</v>
      </c>
      <c r="BF442">
        <v>0</v>
      </c>
      <c r="BG442" t="s">
        <v>66</v>
      </c>
      <c r="BH442" t="s">
        <v>66</v>
      </c>
      <c r="BI442">
        <v>29</v>
      </c>
      <c r="BJ442">
        <v>9.1999999999999993</v>
      </c>
      <c r="BK442" t="s">
        <v>66</v>
      </c>
      <c r="BL442">
        <v>17</v>
      </c>
      <c r="BM442">
        <v>19</v>
      </c>
      <c r="BN442">
        <v>11</v>
      </c>
      <c r="BO442">
        <f t="shared" si="67"/>
        <v>15</v>
      </c>
      <c r="BP442">
        <v>3</v>
      </c>
      <c r="BQ442">
        <v>1</v>
      </c>
      <c r="BS442">
        <v>0</v>
      </c>
      <c r="BT442">
        <f t="shared" si="68"/>
        <v>24.137931034482758</v>
      </c>
      <c r="BU442">
        <f t="shared" si="69"/>
        <v>56.521739130434781</v>
      </c>
      <c r="BV442">
        <f t="shared" si="70"/>
        <v>-47.058823529411761</v>
      </c>
      <c r="BW442">
        <f t="shared" si="71"/>
        <v>0</v>
      </c>
    </row>
    <row r="443" spans="1:75" x14ac:dyDescent="0.2">
      <c r="A443" t="s">
        <v>60</v>
      </c>
      <c r="B443" t="s">
        <v>61</v>
      </c>
      <c r="C443" t="s">
        <v>62</v>
      </c>
      <c r="D443" t="s">
        <v>603</v>
      </c>
      <c r="E443" t="s">
        <v>620</v>
      </c>
      <c r="F443" t="s">
        <v>621</v>
      </c>
      <c r="G443">
        <v>2.7</v>
      </c>
      <c r="H443">
        <v>5.9</v>
      </c>
      <c r="I443">
        <v>5.75</v>
      </c>
      <c r="J443">
        <v>3.6</v>
      </c>
      <c r="K443">
        <v>17.95</v>
      </c>
      <c r="L443">
        <v>4.3148148150000001</v>
      </c>
      <c r="M443">
        <v>19</v>
      </c>
      <c r="N443">
        <v>31</v>
      </c>
      <c r="O443">
        <v>12</v>
      </c>
      <c r="P443">
        <v>34</v>
      </c>
      <c r="Q443">
        <v>15</v>
      </c>
      <c r="R443">
        <v>7.5</v>
      </c>
      <c r="S443">
        <v>62.1</v>
      </c>
      <c r="T443">
        <v>78.947368420000004</v>
      </c>
      <c r="U443">
        <v>9.6774193549999996</v>
      </c>
      <c r="V443">
        <v>2</v>
      </c>
      <c r="W443">
        <v>4</v>
      </c>
      <c r="X443">
        <v>5</v>
      </c>
      <c r="Y443">
        <v>3</v>
      </c>
      <c r="Z443">
        <v>150</v>
      </c>
      <c r="AA443" t="s">
        <v>66</v>
      </c>
      <c r="AB443" t="s">
        <v>66</v>
      </c>
      <c r="AC443" t="s">
        <v>66</v>
      </c>
      <c r="AD443" t="s">
        <v>66</v>
      </c>
      <c r="AE443">
        <v>23</v>
      </c>
      <c r="AF443">
        <v>28</v>
      </c>
      <c r="AG443" t="s">
        <v>66</v>
      </c>
      <c r="AH443">
        <v>14</v>
      </c>
      <c r="AI443">
        <v>18</v>
      </c>
      <c r="AJ443" t="s">
        <v>66</v>
      </c>
      <c r="AK443">
        <v>15</v>
      </c>
      <c r="AL443">
        <v>16</v>
      </c>
      <c r="AM443">
        <v>14.5</v>
      </c>
      <c r="AN443">
        <v>17</v>
      </c>
      <c r="AO443">
        <v>17.241379309999999</v>
      </c>
      <c r="AP443">
        <v>21.739130429999999</v>
      </c>
      <c r="AQ443">
        <v>1.5862068970000001</v>
      </c>
      <c r="AR443">
        <v>1.6470588239999999</v>
      </c>
      <c r="AS443">
        <v>6.0851927E-2</v>
      </c>
      <c r="AT443">
        <v>0</v>
      </c>
      <c r="AU443" t="s">
        <v>66</v>
      </c>
      <c r="AV443">
        <v>0</v>
      </c>
      <c r="AW443">
        <v>0</v>
      </c>
      <c r="AX443">
        <v>0</v>
      </c>
      <c r="AY443">
        <v>1</v>
      </c>
      <c r="AZ443">
        <v>1</v>
      </c>
      <c r="BA443">
        <v>1</v>
      </c>
      <c r="BB443" t="s">
        <v>66</v>
      </c>
      <c r="BC443" t="s">
        <v>66</v>
      </c>
      <c r="BD443" t="s">
        <v>66</v>
      </c>
      <c r="BE443" t="s">
        <v>66</v>
      </c>
      <c r="BF443">
        <v>0</v>
      </c>
      <c r="BG443" t="s">
        <v>66</v>
      </c>
      <c r="BH443" t="s">
        <v>66</v>
      </c>
      <c r="BI443">
        <v>53</v>
      </c>
      <c r="BJ443">
        <v>7.7</v>
      </c>
      <c r="BK443" t="s">
        <v>66</v>
      </c>
      <c r="BL443">
        <v>47</v>
      </c>
      <c r="BM443">
        <v>33</v>
      </c>
      <c r="BN443">
        <v>24</v>
      </c>
      <c r="BO443">
        <f t="shared" si="67"/>
        <v>28.5</v>
      </c>
      <c r="BP443">
        <v>4</v>
      </c>
      <c r="BQ443">
        <v>1</v>
      </c>
      <c r="BS443">
        <v>0</v>
      </c>
      <c r="BT443">
        <f t="shared" si="68"/>
        <v>64.15094339622641</v>
      </c>
      <c r="BU443">
        <f t="shared" si="69"/>
        <v>74.025974025974023</v>
      </c>
      <c r="BV443">
        <f t="shared" si="70"/>
        <v>51.063829787234042</v>
      </c>
      <c r="BW443">
        <f t="shared" si="71"/>
        <v>49.122807017543856</v>
      </c>
    </row>
    <row r="444" spans="1:75" x14ac:dyDescent="0.2">
      <c r="A444" t="s">
        <v>60</v>
      </c>
      <c r="B444" t="s">
        <v>61</v>
      </c>
      <c r="C444" t="s">
        <v>62</v>
      </c>
      <c r="D444" t="s">
        <v>603</v>
      </c>
      <c r="E444" t="s">
        <v>622</v>
      </c>
      <c r="F444" t="s">
        <v>623</v>
      </c>
      <c r="G444">
        <v>2.7</v>
      </c>
      <c r="H444">
        <v>5.9</v>
      </c>
      <c r="I444">
        <v>5.75</v>
      </c>
      <c r="J444">
        <v>3.6</v>
      </c>
      <c r="K444">
        <v>17.95</v>
      </c>
      <c r="L444">
        <v>4.3148148150000001</v>
      </c>
      <c r="M444">
        <v>8</v>
      </c>
      <c r="N444">
        <v>17</v>
      </c>
      <c r="O444">
        <v>9</v>
      </c>
      <c r="P444">
        <v>16</v>
      </c>
      <c r="Q444">
        <v>8</v>
      </c>
      <c r="R444">
        <v>4</v>
      </c>
      <c r="S444">
        <v>55.1</v>
      </c>
      <c r="T444">
        <v>100</v>
      </c>
      <c r="U444">
        <v>-5.8823529409999997</v>
      </c>
      <c r="V444">
        <v>1</v>
      </c>
      <c r="W444">
        <v>4</v>
      </c>
      <c r="X444">
        <v>3</v>
      </c>
      <c r="Y444">
        <v>2</v>
      </c>
      <c r="Z444">
        <v>200</v>
      </c>
      <c r="AA444" t="s">
        <v>66</v>
      </c>
      <c r="AB444" t="s">
        <v>66</v>
      </c>
      <c r="AC444" t="s">
        <v>66</v>
      </c>
      <c r="AD444" t="s">
        <v>66</v>
      </c>
      <c r="AE444">
        <v>15</v>
      </c>
      <c r="AF444">
        <v>10</v>
      </c>
      <c r="AG444" t="s">
        <v>66</v>
      </c>
      <c r="AH444">
        <v>8</v>
      </c>
      <c r="AI444">
        <v>9</v>
      </c>
      <c r="AJ444" t="s">
        <v>66</v>
      </c>
      <c r="AK444">
        <v>4</v>
      </c>
      <c r="AL444">
        <v>7</v>
      </c>
      <c r="AM444">
        <v>6</v>
      </c>
      <c r="AN444">
        <v>8</v>
      </c>
      <c r="AO444">
        <v>33.333333330000002</v>
      </c>
      <c r="AP444">
        <v>-33.333333330000002</v>
      </c>
      <c r="AQ444">
        <v>2.5</v>
      </c>
      <c r="AR444">
        <v>1.25</v>
      </c>
      <c r="AS444">
        <v>-1.25</v>
      </c>
      <c r="AT444">
        <v>0</v>
      </c>
      <c r="AU444" t="s">
        <v>66</v>
      </c>
      <c r="AV444">
        <v>0</v>
      </c>
      <c r="AW444">
        <v>0</v>
      </c>
      <c r="AX444">
        <v>0</v>
      </c>
      <c r="AY444">
        <v>1</v>
      </c>
      <c r="AZ444">
        <v>1</v>
      </c>
      <c r="BA444">
        <v>1</v>
      </c>
      <c r="BB444" t="s">
        <v>66</v>
      </c>
      <c r="BC444" t="s">
        <v>66</v>
      </c>
      <c r="BD444" t="s">
        <v>66</v>
      </c>
      <c r="BE444" t="s">
        <v>66</v>
      </c>
      <c r="BF444">
        <v>0</v>
      </c>
      <c r="BG444" t="s">
        <v>66</v>
      </c>
      <c r="BH444" t="s">
        <v>66</v>
      </c>
      <c r="BI444">
        <v>19</v>
      </c>
      <c r="BJ444">
        <v>3.6</v>
      </c>
      <c r="BK444" t="s">
        <v>66</v>
      </c>
      <c r="BL444">
        <v>14</v>
      </c>
      <c r="BM444">
        <v>13</v>
      </c>
      <c r="BN444">
        <v>6</v>
      </c>
      <c r="BO444">
        <f t="shared" si="67"/>
        <v>9.5</v>
      </c>
      <c r="BP444">
        <v>4</v>
      </c>
      <c r="BQ444">
        <v>1</v>
      </c>
      <c r="BS444">
        <v>0</v>
      </c>
      <c r="BT444">
        <f t="shared" si="68"/>
        <v>57.894736842105267</v>
      </c>
      <c r="BU444">
        <f t="shared" si="69"/>
        <v>72.222222222222214</v>
      </c>
      <c r="BV444">
        <f t="shared" si="70"/>
        <v>-7.1428571428571423</v>
      </c>
      <c r="BW444">
        <f t="shared" si="71"/>
        <v>36.84210526315789</v>
      </c>
    </row>
    <row r="445" spans="1:75" x14ac:dyDescent="0.2">
      <c r="A445" t="s">
        <v>60</v>
      </c>
      <c r="B445" t="s">
        <v>61</v>
      </c>
      <c r="C445" t="s">
        <v>62</v>
      </c>
      <c r="D445" t="s">
        <v>603</v>
      </c>
      <c r="E445" t="s">
        <v>624</v>
      </c>
      <c r="F445" t="s">
        <v>625</v>
      </c>
      <c r="G445">
        <v>2.7</v>
      </c>
      <c r="H445">
        <v>5.9</v>
      </c>
      <c r="I445">
        <v>5.75</v>
      </c>
      <c r="J445">
        <v>3.6</v>
      </c>
      <c r="K445">
        <v>17.95</v>
      </c>
      <c r="L445">
        <v>4.3148148150000001</v>
      </c>
      <c r="M445">
        <v>9</v>
      </c>
      <c r="N445">
        <v>19</v>
      </c>
      <c r="O445">
        <v>10</v>
      </c>
      <c r="P445">
        <v>21</v>
      </c>
      <c r="Q445">
        <v>12</v>
      </c>
      <c r="R445">
        <v>6</v>
      </c>
      <c r="S445">
        <v>59.1</v>
      </c>
      <c r="T445">
        <v>133.33333329999999</v>
      </c>
      <c r="U445">
        <v>10.52631579</v>
      </c>
      <c r="V445">
        <v>1</v>
      </c>
      <c r="W445">
        <v>3</v>
      </c>
      <c r="X445">
        <v>3</v>
      </c>
      <c r="Y445">
        <v>2</v>
      </c>
      <c r="Z445">
        <v>200</v>
      </c>
      <c r="AA445" t="s">
        <v>66</v>
      </c>
      <c r="AB445" t="s">
        <v>66</v>
      </c>
      <c r="AC445" t="s">
        <v>66</v>
      </c>
      <c r="AD445" t="s">
        <v>66</v>
      </c>
      <c r="AE445">
        <v>12</v>
      </c>
      <c r="AF445">
        <v>11</v>
      </c>
      <c r="AG445" t="s">
        <v>66</v>
      </c>
      <c r="AH445">
        <v>8</v>
      </c>
      <c r="AI445">
        <v>9</v>
      </c>
      <c r="AJ445" t="s">
        <v>66</v>
      </c>
      <c r="AK445">
        <v>4</v>
      </c>
      <c r="AL445">
        <v>6</v>
      </c>
      <c r="AM445">
        <v>6</v>
      </c>
      <c r="AN445">
        <v>7.5</v>
      </c>
      <c r="AO445">
        <v>25</v>
      </c>
      <c r="AP445">
        <v>-8.3333333330000006</v>
      </c>
      <c r="AQ445">
        <v>2</v>
      </c>
      <c r="AR445">
        <v>1.4666666669999999</v>
      </c>
      <c r="AS445">
        <v>-0.53333333299999997</v>
      </c>
      <c r="AT445">
        <v>0</v>
      </c>
      <c r="AU445" t="s">
        <v>66</v>
      </c>
      <c r="AV445">
        <v>0</v>
      </c>
      <c r="AW445">
        <v>0</v>
      </c>
      <c r="AX445">
        <v>0</v>
      </c>
      <c r="AY445">
        <v>1</v>
      </c>
      <c r="AZ445">
        <v>1</v>
      </c>
      <c r="BA445">
        <v>1</v>
      </c>
      <c r="BB445" t="s">
        <v>66</v>
      </c>
      <c r="BC445" t="s">
        <v>66</v>
      </c>
      <c r="BD445" t="s">
        <v>66</v>
      </c>
      <c r="BE445" t="s">
        <v>66</v>
      </c>
      <c r="BF445">
        <v>0</v>
      </c>
      <c r="BG445" t="s">
        <v>66</v>
      </c>
      <c r="BH445" t="s">
        <v>66</v>
      </c>
      <c r="BI445">
        <v>24</v>
      </c>
      <c r="BJ445">
        <v>3.9</v>
      </c>
      <c r="BK445" t="s">
        <v>66</v>
      </c>
      <c r="BL445">
        <v>18</v>
      </c>
      <c r="BM445">
        <v>15</v>
      </c>
      <c r="BN445">
        <v>10</v>
      </c>
      <c r="BO445">
        <f t="shared" si="67"/>
        <v>12.5</v>
      </c>
      <c r="BP445">
        <v>4</v>
      </c>
      <c r="BQ445">
        <v>1</v>
      </c>
      <c r="BS445">
        <v>0</v>
      </c>
      <c r="BT445">
        <f t="shared" si="68"/>
        <v>62.5</v>
      </c>
      <c r="BU445">
        <f t="shared" si="69"/>
        <v>74.358974358974365</v>
      </c>
      <c r="BV445">
        <f t="shared" si="70"/>
        <v>33.333333333333329</v>
      </c>
      <c r="BW445">
        <f t="shared" si="71"/>
        <v>52</v>
      </c>
    </row>
    <row r="446" spans="1:75" x14ac:dyDescent="0.2">
      <c r="A446" t="s">
        <v>60</v>
      </c>
      <c r="B446" t="s">
        <v>61</v>
      </c>
      <c r="C446" t="s">
        <v>62</v>
      </c>
      <c r="D446" t="s">
        <v>603</v>
      </c>
      <c r="E446" t="s">
        <v>626</v>
      </c>
      <c r="F446" t="s">
        <v>627</v>
      </c>
      <c r="G446">
        <v>2.7</v>
      </c>
      <c r="H446">
        <v>5.9</v>
      </c>
      <c r="I446">
        <v>5.75</v>
      </c>
      <c r="J446">
        <v>3.6</v>
      </c>
      <c r="K446">
        <v>17.95</v>
      </c>
      <c r="L446">
        <v>4.3148148150000001</v>
      </c>
      <c r="M446">
        <v>12</v>
      </c>
      <c r="N446">
        <v>20</v>
      </c>
      <c r="O446">
        <v>8</v>
      </c>
      <c r="P446">
        <v>18</v>
      </c>
      <c r="Q446">
        <v>6</v>
      </c>
      <c r="R446">
        <v>3</v>
      </c>
      <c r="S446">
        <v>53.1</v>
      </c>
      <c r="T446">
        <v>50</v>
      </c>
      <c r="U446">
        <v>-10</v>
      </c>
      <c r="V446">
        <v>2</v>
      </c>
      <c r="W446">
        <v>3</v>
      </c>
      <c r="X446">
        <v>3</v>
      </c>
      <c r="Y446">
        <v>1</v>
      </c>
      <c r="Z446">
        <v>50</v>
      </c>
      <c r="AA446" t="s">
        <v>66</v>
      </c>
      <c r="AB446" t="s">
        <v>66</v>
      </c>
      <c r="AC446" t="s">
        <v>66</v>
      </c>
      <c r="AD446" t="s">
        <v>66</v>
      </c>
      <c r="AE446">
        <v>14</v>
      </c>
      <c r="AF446">
        <v>15</v>
      </c>
      <c r="AG446" t="s">
        <v>66</v>
      </c>
      <c r="AH446">
        <v>8</v>
      </c>
      <c r="AI446">
        <v>7</v>
      </c>
      <c r="AJ446" t="s">
        <v>66</v>
      </c>
      <c r="AK446">
        <v>3</v>
      </c>
      <c r="AL446">
        <v>5</v>
      </c>
      <c r="AM446">
        <v>5.5</v>
      </c>
      <c r="AN446">
        <v>6</v>
      </c>
      <c r="AO446">
        <v>9.0909090910000003</v>
      </c>
      <c r="AP446">
        <v>7.1428571429999996</v>
      </c>
      <c r="AQ446">
        <v>2.5454545450000001</v>
      </c>
      <c r="AR446">
        <v>2.5</v>
      </c>
      <c r="AS446">
        <v>-4.5454544999999999E-2</v>
      </c>
      <c r="AT446">
        <v>0</v>
      </c>
      <c r="AU446" t="s">
        <v>66</v>
      </c>
      <c r="AV446">
        <v>0</v>
      </c>
      <c r="AW446">
        <v>0</v>
      </c>
      <c r="AX446">
        <v>0</v>
      </c>
      <c r="AY446">
        <v>1</v>
      </c>
      <c r="AZ446">
        <v>1</v>
      </c>
      <c r="BA446">
        <v>1</v>
      </c>
      <c r="BB446" t="s">
        <v>66</v>
      </c>
      <c r="BC446" t="s">
        <v>66</v>
      </c>
      <c r="BD446" t="s">
        <v>66</v>
      </c>
      <c r="BE446" t="s">
        <v>66</v>
      </c>
      <c r="BF446">
        <v>0</v>
      </c>
      <c r="BG446" t="s">
        <v>66</v>
      </c>
      <c r="BH446" t="s">
        <v>66</v>
      </c>
      <c r="BI446">
        <v>24</v>
      </c>
      <c r="BJ446">
        <v>3.3</v>
      </c>
      <c r="BK446" t="s">
        <v>66</v>
      </c>
      <c r="BL446">
        <v>19</v>
      </c>
      <c r="BM446">
        <v>13</v>
      </c>
      <c r="BN446">
        <v>4</v>
      </c>
      <c r="BO446">
        <f t="shared" si="67"/>
        <v>8.5</v>
      </c>
      <c r="BP446">
        <v>4</v>
      </c>
      <c r="BQ446">
        <v>1</v>
      </c>
      <c r="BS446">
        <v>0</v>
      </c>
      <c r="BT446">
        <f t="shared" si="68"/>
        <v>50</v>
      </c>
      <c r="BU446">
        <f t="shared" si="69"/>
        <v>39.393939393939391</v>
      </c>
      <c r="BV446">
        <f t="shared" si="70"/>
        <v>26.315789473684209</v>
      </c>
      <c r="BW446">
        <f t="shared" si="71"/>
        <v>35.294117647058826</v>
      </c>
    </row>
    <row r="447" spans="1:75" x14ac:dyDescent="0.2">
      <c r="A447" t="s">
        <v>60</v>
      </c>
      <c r="B447" t="s">
        <v>61</v>
      </c>
      <c r="C447" t="s">
        <v>62</v>
      </c>
      <c r="D447" t="s">
        <v>603</v>
      </c>
      <c r="E447" t="s">
        <v>628</v>
      </c>
      <c r="F447" t="s">
        <v>629</v>
      </c>
      <c r="G447">
        <v>2.7</v>
      </c>
      <c r="H447">
        <v>5.9</v>
      </c>
      <c r="I447">
        <v>5.75</v>
      </c>
      <c r="J447">
        <v>3.6</v>
      </c>
      <c r="K447">
        <v>17.95</v>
      </c>
      <c r="L447">
        <v>4.3148148150000001</v>
      </c>
      <c r="M447">
        <v>7</v>
      </c>
      <c r="N447">
        <v>15</v>
      </c>
      <c r="O447">
        <v>8</v>
      </c>
      <c r="P447">
        <v>14</v>
      </c>
      <c r="Q447">
        <v>7</v>
      </c>
      <c r="R447">
        <v>3.5</v>
      </c>
      <c r="S447">
        <v>54.1</v>
      </c>
      <c r="T447">
        <v>100</v>
      </c>
      <c r="U447">
        <v>-6.6666666670000003</v>
      </c>
      <c r="V447">
        <v>1</v>
      </c>
      <c r="W447">
        <v>1</v>
      </c>
      <c r="X447">
        <v>2</v>
      </c>
      <c r="Y447">
        <v>1</v>
      </c>
      <c r="Z447">
        <v>100</v>
      </c>
      <c r="AA447" t="s">
        <v>66</v>
      </c>
      <c r="AB447" t="s">
        <v>66</v>
      </c>
      <c r="AC447" t="s">
        <v>66</v>
      </c>
      <c r="AD447" t="s">
        <v>66</v>
      </c>
      <c r="AE447">
        <v>8</v>
      </c>
      <c r="AF447">
        <v>9</v>
      </c>
      <c r="AG447" t="s">
        <v>66</v>
      </c>
      <c r="AH447">
        <v>5</v>
      </c>
      <c r="AI447">
        <v>6</v>
      </c>
      <c r="AJ447" t="s">
        <v>66</v>
      </c>
      <c r="AK447">
        <v>4</v>
      </c>
      <c r="AL447">
        <v>4</v>
      </c>
      <c r="AM447">
        <v>4.5</v>
      </c>
      <c r="AN447">
        <v>5</v>
      </c>
      <c r="AO447">
        <v>11.11111111</v>
      </c>
      <c r="AP447">
        <v>12.5</v>
      </c>
      <c r="AQ447">
        <v>1.7777777779999999</v>
      </c>
      <c r="AR447">
        <v>1.8</v>
      </c>
      <c r="AS447">
        <v>2.2222222E-2</v>
      </c>
      <c r="AT447">
        <v>0</v>
      </c>
      <c r="AU447" t="s">
        <v>66</v>
      </c>
      <c r="AV447">
        <v>0</v>
      </c>
      <c r="AW447">
        <v>0</v>
      </c>
      <c r="AX447">
        <v>0</v>
      </c>
      <c r="AY447">
        <v>1</v>
      </c>
      <c r="AZ447">
        <v>1</v>
      </c>
      <c r="BA447">
        <v>1</v>
      </c>
      <c r="BB447" t="s">
        <v>66</v>
      </c>
      <c r="BC447" t="s">
        <v>66</v>
      </c>
      <c r="BD447" t="s">
        <v>66</v>
      </c>
      <c r="BE447" t="s">
        <v>66</v>
      </c>
      <c r="BF447">
        <v>0</v>
      </c>
      <c r="BG447" t="s">
        <v>66</v>
      </c>
      <c r="BH447" t="s">
        <v>66</v>
      </c>
      <c r="BI447">
        <v>16</v>
      </c>
      <c r="BJ447">
        <v>3.4</v>
      </c>
      <c r="BK447" t="s">
        <v>66</v>
      </c>
      <c r="BL447">
        <v>10</v>
      </c>
      <c r="BM447">
        <v>12</v>
      </c>
      <c r="BN447">
        <v>8</v>
      </c>
      <c r="BO447">
        <f t="shared" si="67"/>
        <v>10</v>
      </c>
      <c r="BP447">
        <v>4</v>
      </c>
      <c r="BQ447">
        <v>1</v>
      </c>
      <c r="BS447">
        <v>0</v>
      </c>
      <c r="BT447">
        <f t="shared" si="68"/>
        <v>56.25</v>
      </c>
      <c r="BU447">
        <f t="shared" si="69"/>
        <v>70.588235294117652</v>
      </c>
      <c r="BV447">
        <f t="shared" si="70"/>
        <v>20</v>
      </c>
      <c r="BW447">
        <f t="shared" si="71"/>
        <v>55.000000000000007</v>
      </c>
    </row>
    <row r="448" spans="1:75" x14ac:dyDescent="0.2">
      <c r="A448" t="s">
        <v>60</v>
      </c>
      <c r="B448" t="s">
        <v>61</v>
      </c>
      <c r="C448" t="s">
        <v>62</v>
      </c>
      <c r="D448" t="s">
        <v>603</v>
      </c>
      <c r="E448" t="s">
        <v>630</v>
      </c>
      <c r="F448" t="s">
        <v>631</v>
      </c>
      <c r="G448">
        <v>2.7</v>
      </c>
      <c r="H448">
        <v>5.9</v>
      </c>
      <c r="I448">
        <v>5.75</v>
      </c>
      <c r="J448">
        <v>3.6</v>
      </c>
      <c r="K448">
        <v>17.95</v>
      </c>
      <c r="L448">
        <v>4.3148148150000001</v>
      </c>
      <c r="M448">
        <v>17</v>
      </c>
      <c r="N448">
        <v>25</v>
      </c>
      <c r="O448">
        <v>8</v>
      </c>
      <c r="P448">
        <v>31</v>
      </c>
      <c r="Q448">
        <v>14</v>
      </c>
      <c r="R448">
        <v>7</v>
      </c>
      <c r="S448">
        <v>61.1</v>
      </c>
      <c r="T448">
        <v>82.352941180000002</v>
      </c>
      <c r="U448">
        <v>24</v>
      </c>
      <c r="V448">
        <v>3</v>
      </c>
      <c r="W448">
        <v>3</v>
      </c>
      <c r="X448">
        <v>3</v>
      </c>
      <c r="Y448">
        <v>0</v>
      </c>
      <c r="Z448">
        <v>0</v>
      </c>
      <c r="AA448" t="s">
        <v>66</v>
      </c>
      <c r="AB448" t="s">
        <v>66</v>
      </c>
      <c r="AC448" t="s">
        <v>66</v>
      </c>
      <c r="AD448" t="s">
        <v>66</v>
      </c>
      <c r="AE448">
        <v>18</v>
      </c>
      <c r="AF448">
        <v>24</v>
      </c>
      <c r="AG448" t="s">
        <v>66</v>
      </c>
      <c r="AH448">
        <v>13</v>
      </c>
      <c r="AI448">
        <v>15</v>
      </c>
      <c r="AJ448" t="s">
        <v>66</v>
      </c>
      <c r="AK448">
        <v>10</v>
      </c>
      <c r="AL448">
        <v>12</v>
      </c>
      <c r="AM448">
        <v>11.5</v>
      </c>
      <c r="AN448">
        <v>13.5</v>
      </c>
      <c r="AO448">
        <v>17.391304349999999</v>
      </c>
      <c r="AP448">
        <v>33.333333330000002</v>
      </c>
      <c r="AQ448">
        <v>1.565217391</v>
      </c>
      <c r="AR448">
        <v>1.7777777779999999</v>
      </c>
      <c r="AS448">
        <v>0.21256038699999999</v>
      </c>
      <c r="AT448">
        <v>0</v>
      </c>
      <c r="AU448" t="s">
        <v>66</v>
      </c>
      <c r="AV448">
        <v>0</v>
      </c>
      <c r="AW448">
        <v>0</v>
      </c>
      <c r="AX448">
        <v>0</v>
      </c>
      <c r="AY448">
        <v>1</v>
      </c>
      <c r="AZ448">
        <v>1</v>
      </c>
      <c r="BA448">
        <v>1</v>
      </c>
      <c r="BB448" t="s">
        <v>66</v>
      </c>
      <c r="BC448" t="s">
        <v>66</v>
      </c>
      <c r="BD448" t="s">
        <v>66</v>
      </c>
      <c r="BE448" t="s">
        <v>66</v>
      </c>
      <c r="BF448">
        <v>0</v>
      </c>
      <c r="BG448" t="s">
        <v>66</v>
      </c>
      <c r="BH448" t="s">
        <v>66</v>
      </c>
      <c r="BI448">
        <v>40</v>
      </c>
      <c r="BJ448">
        <v>5.2</v>
      </c>
      <c r="BK448" t="s">
        <v>66</v>
      </c>
      <c r="BL448">
        <v>32</v>
      </c>
      <c r="BM448">
        <v>21</v>
      </c>
      <c r="BN448">
        <v>17</v>
      </c>
      <c r="BO448">
        <f t="shared" ref="BO448:BO479" si="72">AVERAGE(BM448,BN448)</f>
        <v>19</v>
      </c>
      <c r="BP448">
        <v>4</v>
      </c>
      <c r="BQ448">
        <v>1</v>
      </c>
      <c r="BS448">
        <v>0</v>
      </c>
      <c r="BT448">
        <f t="shared" ref="BT448:BT479" si="73">(BI448-M448)/BI448*100</f>
        <v>57.499999999999993</v>
      </c>
      <c r="BU448">
        <f t="shared" ref="BU448:BU479" si="74">(BJ448-V448)/BJ448*100</f>
        <v>42.307692307692307</v>
      </c>
      <c r="BV448">
        <f t="shared" ref="BV448:BV479" si="75">(BL448-AE448)/BL448*100</f>
        <v>43.75</v>
      </c>
      <c r="BW448">
        <f t="shared" ref="BW448:BW479" si="76">(BO448-AM448)/BO448*100</f>
        <v>39.473684210526315</v>
      </c>
    </row>
    <row r="449" spans="1:75" x14ac:dyDescent="0.2">
      <c r="A449" t="s">
        <v>60</v>
      </c>
      <c r="B449" t="s">
        <v>61</v>
      </c>
      <c r="C449" t="s">
        <v>62</v>
      </c>
      <c r="D449" t="s">
        <v>603</v>
      </c>
      <c r="E449" t="s">
        <v>632</v>
      </c>
      <c r="F449" t="s">
        <v>633</v>
      </c>
      <c r="G449">
        <v>2.7</v>
      </c>
      <c r="H449">
        <v>5.9</v>
      </c>
      <c r="I449">
        <v>5.75</v>
      </c>
      <c r="J449">
        <v>3.6</v>
      </c>
      <c r="K449">
        <v>17.95</v>
      </c>
      <c r="L449">
        <v>4.3148148150000001</v>
      </c>
      <c r="M449">
        <v>21</v>
      </c>
      <c r="N449">
        <v>27</v>
      </c>
      <c r="O449">
        <v>6</v>
      </c>
      <c r="P449">
        <v>34</v>
      </c>
      <c r="Q449">
        <v>13</v>
      </c>
      <c r="R449">
        <v>6.5</v>
      </c>
      <c r="S449">
        <v>60.1</v>
      </c>
      <c r="T449">
        <v>61.904761899999997</v>
      </c>
      <c r="U449">
        <v>25.925925929999998</v>
      </c>
      <c r="V449">
        <v>2</v>
      </c>
      <c r="W449">
        <v>4</v>
      </c>
      <c r="X449">
        <v>5</v>
      </c>
      <c r="Y449">
        <v>3</v>
      </c>
      <c r="Z449">
        <v>150</v>
      </c>
      <c r="AA449" t="s">
        <v>66</v>
      </c>
      <c r="AB449" t="s">
        <v>66</v>
      </c>
      <c r="AC449" t="s">
        <v>66</v>
      </c>
      <c r="AD449" t="s">
        <v>66</v>
      </c>
      <c r="AE449">
        <v>22</v>
      </c>
      <c r="AF449">
        <v>27</v>
      </c>
      <c r="AG449" t="s">
        <v>66</v>
      </c>
      <c r="AH449">
        <v>16</v>
      </c>
      <c r="AI449">
        <v>19</v>
      </c>
      <c r="AJ449" t="s">
        <v>66</v>
      </c>
      <c r="AK449">
        <v>12</v>
      </c>
      <c r="AL449">
        <v>16</v>
      </c>
      <c r="AM449">
        <v>14</v>
      </c>
      <c r="AN449">
        <v>17.5</v>
      </c>
      <c r="AO449">
        <v>25</v>
      </c>
      <c r="AP449">
        <v>22.727272729999999</v>
      </c>
      <c r="AQ449">
        <v>1.571428571</v>
      </c>
      <c r="AR449">
        <v>1.542857143</v>
      </c>
      <c r="AS449">
        <v>-2.8571427999999999E-2</v>
      </c>
      <c r="AT449">
        <v>0</v>
      </c>
      <c r="AU449" t="s">
        <v>66</v>
      </c>
      <c r="AV449">
        <v>0</v>
      </c>
      <c r="AW449">
        <v>1</v>
      </c>
      <c r="AX449">
        <v>0</v>
      </c>
      <c r="AY449">
        <v>1</v>
      </c>
      <c r="AZ449">
        <v>1</v>
      </c>
      <c r="BA449">
        <v>1</v>
      </c>
      <c r="BB449" t="s">
        <v>66</v>
      </c>
      <c r="BC449" t="s">
        <v>66</v>
      </c>
      <c r="BD449" t="s">
        <v>66</v>
      </c>
      <c r="BE449" t="s">
        <v>66</v>
      </c>
      <c r="BF449">
        <v>0</v>
      </c>
      <c r="BG449" t="s">
        <v>66</v>
      </c>
      <c r="BH449" t="s">
        <v>66</v>
      </c>
      <c r="BI449">
        <v>49</v>
      </c>
      <c r="BJ449">
        <v>7.1</v>
      </c>
      <c r="BK449" t="s">
        <v>66</v>
      </c>
      <c r="BL449">
        <v>42</v>
      </c>
      <c r="BM449">
        <v>30</v>
      </c>
      <c r="BN449">
        <v>17</v>
      </c>
      <c r="BO449">
        <f t="shared" si="72"/>
        <v>23.5</v>
      </c>
      <c r="BP449">
        <v>4</v>
      </c>
      <c r="BQ449">
        <v>1</v>
      </c>
      <c r="BS449">
        <v>0</v>
      </c>
      <c r="BT449">
        <f t="shared" si="73"/>
        <v>57.142857142857139</v>
      </c>
      <c r="BU449">
        <f t="shared" si="74"/>
        <v>71.830985915492946</v>
      </c>
      <c r="BV449">
        <f t="shared" si="75"/>
        <v>47.619047619047613</v>
      </c>
      <c r="BW449">
        <f t="shared" si="76"/>
        <v>40.425531914893611</v>
      </c>
    </row>
    <row r="450" spans="1:75" x14ac:dyDescent="0.2">
      <c r="A450" t="s">
        <v>60</v>
      </c>
      <c r="B450" t="s">
        <v>61</v>
      </c>
      <c r="C450" t="s">
        <v>62</v>
      </c>
      <c r="D450" t="s">
        <v>603</v>
      </c>
      <c r="E450" t="s">
        <v>634</v>
      </c>
      <c r="F450" t="s">
        <v>635</v>
      </c>
      <c r="G450">
        <v>2.7</v>
      </c>
      <c r="H450">
        <v>5.9</v>
      </c>
      <c r="I450">
        <v>5.75</v>
      </c>
      <c r="J450">
        <v>3.6</v>
      </c>
      <c r="K450">
        <v>17.95</v>
      </c>
      <c r="L450">
        <v>4.3148148150000001</v>
      </c>
      <c r="M450">
        <v>7</v>
      </c>
      <c r="N450">
        <v>15</v>
      </c>
      <c r="O450">
        <v>8</v>
      </c>
      <c r="P450">
        <v>13</v>
      </c>
      <c r="Q450">
        <v>6</v>
      </c>
      <c r="R450">
        <v>3</v>
      </c>
      <c r="S450">
        <v>53.1</v>
      </c>
      <c r="T450">
        <v>85.714285709999999</v>
      </c>
      <c r="U450">
        <v>-13.33333333</v>
      </c>
      <c r="V450">
        <v>1</v>
      </c>
      <c r="W450">
        <v>1</v>
      </c>
      <c r="X450">
        <v>2</v>
      </c>
      <c r="Y450">
        <v>1</v>
      </c>
      <c r="Z450">
        <v>100</v>
      </c>
      <c r="AA450" t="s">
        <v>66</v>
      </c>
      <c r="AB450" t="s">
        <v>66</v>
      </c>
      <c r="AC450" t="s">
        <v>66</v>
      </c>
      <c r="AD450" t="s">
        <v>66</v>
      </c>
      <c r="AE450">
        <v>11</v>
      </c>
      <c r="AF450">
        <v>9</v>
      </c>
      <c r="AG450" t="s">
        <v>66</v>
      </c>
      <c r="AH450">
        <v>4</v>
      </c>
      <c r="AI450">
        <v>3</v>
      </c>
      <c r="AJ450" t="s">
        <v>66</v>
      </c>
      <c r="AK450">
        <v>3</v>
      </c>
      <c r="AL450">
        <v>3</v>
      </c>
      <c r="AM450">
        <v>3.5</v>
      </c>
      <c r="AN450">
        <v>3</v>
      </c>
      <c r="AO450">
        <v>-14.28571429</v>
      </c>
      <c r="AP450">
        <v>-18.18181818</v>
      </c>
      <c r="AQ450">
        <v>3.1428571430000001</v>
      </c>
      <c r="AR450">
        <v>3</v>
      </c>
      <c r="AS450">
        <v>-0.14285714299999999</v>
      </c>
      <c r="AT450">
        <v>0</v>
      </c>
      <c r="AU450" t="s">
        <v>66</v>
      </c>
      <c r="AV450">
        <v>0</v>
      </c>
      <c r="AW450">
        <v>1</v>
      </c>
      <c r="AX450">
        <v>0</v>
      </c>
      <c r="AY450">
        <v>1</v>
      </c>
      <c r="AZ450">
        <v>1</v>
      </c>
      <c r="BA450">
        <v>1</v>
      </c>
      <c r="BB450" t="s">
        <v>66</v>
      </c>
      <c r="BC450" t="s">
        <v>66</v>
      </c>
      <c r="BD450" t="s">
        <v>66</v>
      </c>
      <c r="BE450" t="s">
        <v>66</v>
      </c>
      <c r="BF450">
        <v>0</v>
      </c>
      <c r="BG450" t="s">
        <v>66</v>
      </c>
      <c r="BH450" t="s">
        <v>66</v>
      </c>
      <c r="BI450">
        <v>18</v>
      </c>
      <c r="BJ450">
        <v>4.5</v>
      </c>
      <c r="BK450" t="s">
        <v>66</v>
      </c>
      <c r="BL450">
        <v>11</v>
      </c>
      <c r="BM450">
        <v>7</v>
      </c>
      <c r="BN450">
        <v>5</v>
      </c>
      <c r="BO450">
        <f t="shared" si="72"/>
        <v>6</v>
      </c>
      <c r="BP450">
        <v>4</v>
      </c>
      <c r="BQ450">
        <v>1</v>
      </c>
      <c r="BS450">
        <v>0</v>
      </c>
      <c r="BT450">
        <f t="shared" si="73"/>
        <v>61.111111111111114</v>
      </c>
      <c r="BU450">
        <f t="shared" si="74"/>
        <v>77.777777777777786</v>
      </c>
      <c r="BV450">
        <f t="shared" si="75"/>
        <v>0</v>
      </c>
      <c r="BW450">
        <f t="shared" si="76"/>
        <v>41.666666666666671</v>
      </c>
    </row>
    <row r="451" spans="1:75" x14ac:dyDescent="0.2">
      <c r="A451" t="s">
        <v>60</v>
      </c>
      <c r="B451" t="s">
        <v>61</v>
      </c>
      <c r="C451" t="s">
        <v>62</v>
      </c>
      <c r="D451" t="s">
        <v>603</v>
      </c>
      <c r="E451" t="s">
        <v>636</v>
      </c>
      <c r="F451" t="s">
        <v>637</v>
      </c>
      <c r="G451">
        <v>2.7</v>
      </c>
      <c r="H451">
        <v>5.9</v>
      </c>
      <c r="I451">
        <v>5.75</v>
      </c>
      <c r="J451">
        <v>3.6</v>
      </c>
      <c r="K451">
        <v>17.95</v>
      </c>
      <c r="L451">
        <v>4.3148148150000001</v>
      </c>
      <c r="M451">
        <v>10</v>
      </c>
      <c r="N451">
        <v>18</v>
      </c>
      <c r="O451">
        <v>8</v>
      </c>
      <c r="P451">
        <v>22</v>
      </c>
      <c r="Q451">
        <v>12</v>
      </c>
      <c r="R451">
        <v>6</v>
      </c>
      <c r="S451">
        <v>59.1</v>
      </c>
      <c r="T451">
        <v>120</v>
      </c>
      <c r="U451">
        <v>22.222222219999999</v>
      </c>
      <c r="V451">
        <v>2</v>
      </c>
      <c r="W451">
        <v>3</v>
      </c>
      <c r="X451">
        <v>5</v>
      </c>
      <c r="Y451">
        <v>3</v>
      </c>
      <c r="Z451">
        <v>150</v>
      </c>
      <c r="AA451" t="s">
        <v>66</v>
      </c>
      <c r="AB451" t="s">
        <v>66</v>
      </c>
      <c r="AC451" t="s">
        <v>66</v>
      </c>
      <c r="AD451" t="s">
        <v>66</v>
      </c>
      <c r="AE451">
        <v>12</v>
      </c>
      <c r="AF451">
        <v>16</v>
      </c>
      <c r="AG451" t="s">
        <v>66</v>
      </c>
      <c r="AH451">
        <v>10</v>
      </c>
      <c r="AI451">
        <v>12</v>
      </c>
      <c r="AJ451" t="s">
        <v>66</v>
      </c>
      <c r="AK451">
        <v>6</v>
      </c>
      <c r="AL451">
        <v>9</v>
      </c>
      <c r="AM451">
        <v>8</v>
      </c>
      <c r="AN451">
        <v>10.5</v>
      </c>
      <c r="AO451">
        <v>31.25</v>
      </c>
      <c r="AP451">
        <v>33.333333330000002</v>
      </c>
      <c r="AQ451">
        <v>1.5</v>
      </c>
      <c r="AR451">
        <v>1.523809524</v>
      </c>
      <c r="AS451">
        <v>2.3809523999999999E-2</v>
      </c>
      <c r="AT451">
        <v>0</v>
      </c>
      <c r="AU451" t="s">
        <v>66</v>
      </c>
      <c r="AV451">
        <v>0</v>
      </c>
      <c r="AW451">
        <v>0</v>
      </c>
      <c r="AX451">
        <v>0</v>
      </c>
      <c r="AY451">
        <v>1</v>
      </c>
      <c r="AZ451">
        <v>1</v>
      </c>
      <c r="BA451">
        <v>1</v>
      </c>
      <c r="BB451" t="s">
        <v>66</v>
      </c>
      <c r="BC451" t="s">
        <v>66</v>
      </c>
      <c r="BD451" t="s">
        <v>66</v>
      </c>
      <c r="BE451" t="s">
        <v>66</v>
      </c>
      <c r="BF451">
        <v>0</v>
      </c>
      <c r="BG451" t="s">
        <v>66</v>
      </c>
      <c r="BH451" t="s">
        <v>66</v>
      </c>
      <c r="BI451">
        <v>42</v>
      </c>
      <c r="BJ451">
        <v>6</v>
      </c>
      <c r="BK451" t="s">
        <v>66</v>
      </c>
      <c r="BL451">
        <v>34</v>
      </c>
      <c r="BM451">
        <v>24</v>
      </c>
      <c r="BN451">
        <v>15</v>
      </c>
      <c r="BO451">
        <f t="shared" si="72"/>
        <v>19.5</v>
      </c>
      <c r="BP451">
        <v>4</v>
      </c>
      <c r="BQ451">
        <v>1</v>
      </c>
      <c r="BS451">
        <v>0</v>
      </c>
      <c r="BT451">
        <f t="shared" si="73"/>
        <v>76.19047619047619</v>
      </c>
      <c r="BU451">
        <f t="shared" si="74"/>
        <v>66.666666666666657</v>
      </c>
      <c r="BV451">
        <f t="shared" si="75"/>
        <v>64.705882352941174</v>
      </c>
      <c r="BW451">
        <f t="shared" si="76"/>
        <v>58.974358974358978</v>
      </c>
    </row>
    <row r="452" spans="1:75" x14ac:dyDescent="0.2">
      <c r="A452" t="s">
        <v>60</v>
      </c>
      <c r="B452" t="s">
        <v>61</v>
      </c>
      <c r="C452" t="s">
        <v>62</v>
      </c>
      <c r="D452" t="s">
        <v>603</v>
      </c>
      <c r="E452" t="s">
        <v>638</v>
      </c>
      <c r="F452" t="s">
        <v>639</v>
      </c>
      <c r="G452">
        <v>2.7</v>
      </c>
      <c r="H452">
        <v>5.9</v>
      </c>
      <c r="I452">
        <v>5.75</v>
      </c>
      <c r="J452">
        <v>3.6</v>
      </c>
      <c r="K452">
        <v>17.95</v>
      </c>
      <c r="L452">
        <v>4.3148148150000001</v>
      </c>
      <c r="M452">
        <v>12</v>
      </c>
      <c r="N452">
        <v>18</v>
      </c>
      <c r="O452">
        <v>6</v>
      </c>
      <c r="P452">
        <v>19</v>
      </c>
      <c r="Q452">
        <v>7</v>
      </c>
      <c r="R452">
        <v>3.5</v>
      </c>
      <c r="S452">
        <v>54.1</v>
      </c>
      <c r="T452">
        <v>58.333333330000002</v>
      </c>
      <c r="U452">
        <v>5.5555555559999998</v>
      </c>
      <c r="V452">
        <v>2</v>
      </c>
      <c r="W452">
        <v>3</v>
      </c>
      <c r="X452">
        <v>3</v>
      </c>
      <c r="Y452">
        <v>1</v>
      </c>
      <c r="Z452">
        <v>50</v>
      </c>
      <c r="AA452" t="s">
        <v>66</v>
      </c>
      <c r="AB452" t="s">
        <v>66</v>
      </c>
      <c r="AC452" t="s">
        <v>66</v>
      </c>
      <c r="AD452" t="s">
        <v>66</v>
      </c>
      <c r="AE452">
        <v>13</v>
      </c>
      <c r="AF452">
        <v>13</v>
      </c>
      <c r="AG452" t="s">
        <v>66</v>
      </c>
      <c r="AH452">
        <v>8</v>
      </c>
      <c r="AI452">
        <v>11</v>
      </c>
      <c r="AJ452" t="s">
        <v>66</v>
      </c>
      <c r="AK452">
        <v>3</v>
      </c>
      <c r="AL452">
        <v>7</v>
      </c>
      <c r="AM452">
        <v>5.5</v>
      </c>
      <c r="AN452">
        <v>9</v>
      </c>
      <c r="AO452">
        <v>63.636363639999999</v>
      </c>
      <c r="AP452">
        <v>0</v>
      </c>
      <c r="AQ452">
        <v>2.363636364</v>
      </c>
      <c r="AR452">
        <v>1.4444444439999999</v>
      </c>
      <c r="AS452">
        <v>-0.91919192000000005</v>
      </c>
      <c r="AT452">
        <v>0</v>
      </c>
      <c r="AU452" t="s">
        <v>66</v>
      </c>
      <c r="AV452">
        <v>0</v>
      </c>
      <c r="AW452">
        <v>1</v>
      </c>
      <c r="AX452">
        <v>0</v>
      </c>
      <c r="AY452">
        <v>1</v>
      </c>
      <c r="AZ452">
        <v>1</v>
      </c>
      <c r="BA452">
        <v>1</v>
      </c>
      <c r="BB452" t="s">
        <v>66</v>
      </c>
      <c r="BC452" t="s">
        <v>66</v>
      </c>
      <c r="BD452" t="s">
        <v>66</v>
      </c>
      <c r="BE452" t="s">
        <v>66</v>
      </c>
      <c r="BF452">
        <v>0</v>
      </c>
      <c r="BG452" t="s">
        <v>66</v>
      </c>
      <c r="BH452" t="s">
        <v>66</v>
      </c>
      <c r="BI452">
        <v>25</v>
      </c>
      <c r="BJ452">
        <v>2.8</v>
      </c>
      <c r="BK452" t="s">
        <v>66</v>
      </c>
      <c r="BL452">
        <v>18</v>
      </c>
      <c r="BM452">
        <v>17</v>
      </c>
      <c r="BN452">
        <v>6</v>
      </c>
      <c r="BO452">
        <f t="shared" si="72"/>
        <v>11.5</v>
      </c>
      <c r="BP452">
        <v>4</v>
      </c>
      <c r="BQ452">
        <v>1</v>
      </c>
      <c r="BS452">
        <v>0</v>
      </c>
      <c r="BT452">
        <f t="shared" si="73"/>
        <v>52</v>
      </c>
      <c r="BU452">
        <f t="shared" si="74"/>
        <v>28.571428571428566</v>
      </c>
      <c r="BV452">
        <f t="shared" si="75"/>
        <v>27.777777777777779</v>
      </c>
      <c r="BW452">
        <f t="shared" si="76"/>
        <v>52.173913043478258</v>
      </c>
    </row>
    <row r="453" spans="1:75" x14ac:dyDescent="0.2">
      <c r="A453" t="s">
        <v>60</v>
      </c>
      <c r="B453" t="s">
        <v>61</v>
      </c>
      <c r="C453" t="s">
        <v>62</v>
      </c>
      <c r="D453" t="s">
        <v>603</v>
      </c>
      <c r="E453" t="s">
        <v>640</v>
      </c>
      <c r="F453" t="s">
        <v>641</v>
      </c>
      <c r="G453">
        <v>2.7</v>
      </c>
      <c r="H453">
        <v>5.9</v>
      </c>
      <c r="I453">
        <v>5.75</v>
      </c>
      <c r="J453">
        <v>3.6</v>
      </c>
      <c r="K453">
        <v>17.95</v>
      </c>
      <c r="L453">
        <v>4.3148148150000001</v>
      </c>
      <c r="M453">
        <v>12</v>
      </c>
      <c r="N453">
        <v>20</v>
      </c>
      <c r="O453">
        <v>8</v>
      </c>
      <c r="P453">
        <v>21</v>
      </c>
      <c r="Q453">
        <v>9</v>
      </c>
      <c r="R453">
        <v>4.5</v>
      </c>
      <c r="S453">
        <v>56.1</v>
      </c>
      <c r="T453">
        <v>75</v>
      </c>
      <c r="U453">
        <v>5</v>
      </c>
      <c r="V453">
        <v>2</v>
      </c>
      <c r="W453">
        <v>4</v>
      </c>
      <c r="X453">
        <v>4</v>
      </c>
      <c r="Y453">
        <v>2</v>
      </c>
      <c r="Z453">
        <v>100</v>
      </c>
      <c r="AA453" t="s">
        <v>66</v>
      </c>
      <c r="AB453" t="s">
        <v>66</v>
      </c>
      <c r="AC453" t="s">
        <v>66</v>
      </c>
      <c r="AD453" t="s">
        <v>66</v>
      </c>
      <c r="AE453">
        <v>16</v>
      </c>
      <c r="AF453">
        <v>15</v>
      </c>
      <c r="AG453" t="s">
        <v>66</v>
      </c>
      <c r="AH453">
        <v>12</v>
      </c>
      <c r="AI453">
        <v>12</v>
      </c>
      <c r="AJ453" t="s">
        <v>66</v>
      </c>
      <c r="AK453">
        <v>4</v>
      </c>
      <c r="AL453">
        <v>4</v>
      </c>
      <c r="AM453">
        <v>8</v>
      </c>
      <c r="AN453">
        <v>8</v>
      </c>
      <c r="AO453">
        <v>0</v>
      </c>
      <c r="AP453">
        <v>-6.25</v>
      </c>
      <c r="AQ453">
        <v>2</v>
      </c>
      <c r="AR453">
        <v>1.875</v>
      </c>
      <c r="AS453">
        <v>-0.125</v>
      </c>
      <c r="AT453">
        <v>0</v>
      </c>
      <c r="AU453" t="s">
        <v>66</v>
      </c>
      <c r="AV453">
        <v>2</v>
      </c>
      <c r="AW453">
        <v>2</v>
      </c>
      <c r="AX453">
        <v>0</v>
      </c>
      <c r="AY453">
        <v>1</v>
      </c>
      <c r="AZ453">
        <v>1</v>
      </c>
      <c r="BA453">
        <v>1</v>
      </c>
      <c r="BB453" t="s">
        <v>66</v>
      </c>
      <c r="BC453" t="s">
        <v>66</v>
      </c>
      <c r="BD453" t="s">
        <v>66</v>
      </c>
      <c r="BE453" t="s">
        <v>66</v>
      </c>
      <c r="BF453">
        <v>0</v>
      </c>
      <c r="BG453" t="s">
        <v>66</v>
      </c>
      <c r="BH453" t="s">
        <v>66</v>
      </c>
      <c r="BI453">
        <v>31</v>
      </c>
      <c r="BJ453">
        <v>5.4</v>
      </c>
      <c r="BK453" t="s">
        <v>66</v>
      </c>
      <c r="BL453">
        <v>22</v>
      </c>
      <c r="BM453">
        <v>21</v>
      </c>
      <c r="BN453">
        <v>13</v>
      </c>
      <c r="BO453">
        <f t="shared" si="72"/>
        <v>17</v>
      </c>
      <c r="BP453">
        <v>4</v>
      </c>
      <c r="BQ453">
        <v>1</v>
      </c>
      <c r="BS453">
        <v>0</v>
      </c>
      <c r="BT453">
        <f t="shared" si="73"/>
        <v>61.29032258064516</v>
      </c>
      <c r="BU453">
        <f t="shared" si="74"/>
        <v>62.962962962962962</v>
      </c>
      <c r="BV453">
        <f t="shared" si="75"/>
        <v>27.27272727272727</v>
      </c>
      <c r="BW453">
        <f t="shared" si="76"/>
        <v>52.941176470588239</v>
      </c>
    </row>
    <row r="454" spans="1:75" x14ac:dyDescent="0.2">
      <c r="A454" t="s">
        <v>60</v>
      </c>
      <c r="B454" t="s">
        <v>61</v>
      </c>
      <c r="C454" t="s">
        <v>62</v>
      </c>
      <c r="D454" t="s">
        <v>603</v>
      </c>
      <c r="E454" t="s">
        <v>642</v>
      </c>
      <c r="F454" t="s">
        <v>643</v>
      </c>
      <c r="G454">
        <v>2.7</v>
      </c>
      <c r="H454">
        <v>5.9</v>
      </c>
      <c r="I454">
        <v>5.75</v>
      </c>
      <c r="J454">
        <v>3.6</v>
      </c>
      <c r="K454">
        <v>17.95</v>
      </c>
      <c r="L454">
        <v>4.3148148150000001</v>
      </c>
      <c r="M454">
        <v>11</v>
      </c>
      <c r="N454">
        <v>21</v>
      </c>
      <c r="O454">
        <v>10</v>
      </c>
      <c r="P454">
        <v>26</v>
      </c>
      <c r="Q454">
        <v>15</v>
      </c>
      <c r="R454">
        <v>7.5</v>
      </c>
      <c r="S454">
        <v>62.1</v>
      </c>
      <c r="T454">
        <v>136.36363639999999</v>
      </c>
      <c r="U454">
        <v>23.809523810000002</v>
      </c>
      <c r="V454">
        <v>1</v>
      </c>
      <c r="W454">
        <v>4</v>
      </c>
      <c r="X454">
        <v>4</v>
      </c>
      <c r="Y454">
        <v>3</v>
      </c>
      <c r="Z454">
        <v>300</v>
      </c>
      <c r="AA454" t="s">
        <v>66</v>
      </c>
      <c r="AB454" t="s">
        <v>66</v>
      </c>
      <c r="AC454" t="s">
        <v>66</v>
      </c>
      <c r="AD454" t="s">
        <v>66</v>
      </c>
      <c r="AE454">
        <v>18</v>
      </c>
      <c r="AF454">
        <v>18</v>
      </c>
      <c r="AG454" t="s">
        <v>66</v>
      </c>
      <c r="AH454">
        <v>9</v>
      </c>
      <c r="AI454">
        <v>11</v>
      </c>
      <c r="AJ454" t="s">
        <v>66</v>
      </c>
      <c r="AK454">
        <v>7</v>
      </c>
      <c r="AL454">
        <v>8</v>
      </c>
      <c r="AM454">
        <v>8</v>
      </c>
      <c r="AN454">
        <v>9.5</v>
      </c>
      <c r="AO454">
        <v>18.75</v>
      </c>
      <c r="AP454">
        <v>0</v>
      </c>
      <c r="AQ454">
        <v>2.25</v>
      </c>
      <c r="AR454">
        <v>1.8947368419999999</v>
      </c>
      <c r="AS454">
        <v>-0.35526315800000002</v>
      </c>
      <c r="AT454">
        <v>0</v>
      </c>
      <c r="AU454" t="s">
        <v>66</v>
      </c>
      <c r="AV454">
        <v>0</v>
      </c>
      <c r="AW454">
        <v>0</v>
      </c>
      <c r="AX454">
        <v>0</v>
      </c>
      <c r="AY454">
        <v>1</v>
      </c>
      <c r="AZ454">
        <v>1</v>
      </c>
      <c r="BA454">
        <v>1</v>
      </c>
      <c r="BB454" t="s">
        <v>66</v>
      </c>
      <c r="BC454" t="s">
        <v>66</v>
      </c>
      <c r="BD454" t="s">
        <v>66</v>
      </c>
      <c r="BE454" t="s">
        <v>66</v>
      </c>
      <c r="BF454">
        <v>0</v>
      </c>
      <c r="BG454" t="s">
        <v>66</v>
      </c>
      <c r="BH454" t="s">
        <v>66</v>
      </c>
      <c r="BI454">
        <v>39</v>
      </c>
      <c r="BJ454">
        <v>4.5</v>
      </c>
      <c r="BK454" t="s">
        <v>66</v>
      </c>
      <c r="BL454">
        <v>29</v>
      </c>
      <c r="BM454">
        <v>18</v>
      </c>
      <c r="BN454">
        <v>12</v>
      </c>
      <c r="BO454">
        <f t="shared" si="72"/>
        <v>15</v>
      </c>
      <c r="BP454">
        <v>4</v>
      </c>
      <c r="BQ454">
        <v>1</v>
      </c>
      <c r="BS454">
        <v>0</v>
      </c>
      <c r="BT454">
        <f t="shared" si="73"/>
        <v>71.794871794871796</v>
      </c>
      <c r="BU454">
        <f t="shared" si="74"/>
        <v>77.777777777777786</v>
      </c>
      <c r="BV454">
        <f t="shared" si="75"/>
        <v>37.931034482758619</v>
      </c>
      <c r="BW454">
        <f t="shared" si="76"/>
        <v>46.666666666666664</v>
      </c>
    </row>
    <row r="455" spans="1:75" x14ac:dyDescent="0.2">
      <c r="A455" t="s">
        <v>127</v>
      </c>
      <c r="B455" t="s">
        <v>128</v>
      </c>
      <c r="C455" t="s">
        <v>62</v>
      </c>
      <c r="D455" t="s">
        <v>603</v>
      </c>
      <c r="E455" t="s">
        <v>604</v>
      </c>
      <c r="F455" t="s">
        <v>664</v>
      </c>
      <c r="G455">
        <v>3.85</v>
      </c>
      <c r="H455">
        <v>7.5</v>
      </c>
      <c r="I455">
        <v>4.45</v>
      </c>
      <c r="J455">
        <v>0.95</v>
      </c>
      <c r="K455">
        <v>16.75</v>
      </c>
      <c r="L455">
        <v>3.1038961039999999</v>
      </c>
      <c r="M455">
        <v>16</v>
      </c>
      <c r="N455">
        <v>22</v>
      </c>
      <c r="O455">
        <v>6</v>
      </c>
      <c r="P455">
        <v>23</v>
      </c>
      <c r="Q455">
        <v>7</v>
      </c>
      <c r="R455">
        <v>3.5</v>
      </c>
      <c r="S455">
        <v>54.1</v>
      </c>
      <c r="T455">
        <v>43.75</v>
      </c>
      <c r="U455">
        <v>4.5454545450000001</v>
      </c>
      <c r="V455">
        <v>2</v>
      </c>
      <c r="W455">
        <v>4</v>
      </c>
      <c r="X455">
        <v>4</v>
      </c>
      <c r="Y455">
        <v>2</v>
      </c>
      <c r="Z455">
        <v>100</v>
      </c>
      <c r="AA455" t="s">
        <v>66</v>
      </c>
      <c r="AB455" t="s">
        <v>66</v>
      </c>
      <c r="AC455" t="s">
        <v>66</v>
      </c>
      <c r="AD455" t="s">
        <v>66</v>
      </c>
      <c r="AE455">
        <v>18</v>
      </c>
      <c r="AF455">
        <v>20</v>
      </c>
      <c r="AG455" t="s">
        <v>66</v>
      </c>
      <c r="AH455">
        <v>14</v>
      </c>
      <c r="AI455">
        <v>14</v>
      </c>
      <c r="AJ455" t="s">
        <v>66</v>
      </c>
      <c r="AK455">
        <v>9</v>
      </c>
      <c r="AL455">
        <v>13</v>
      </c>
      <c r="AM455">
        <v>11.5</v>
      </c>
      <c r="AN455">
        <v>13.5</v>
      </c>
      <c r="AO455">
        <v>17.391304349999999</v>
      </c>
      <c r="AP455">
        <v>11.11111111</v>
      </c>
      <c r="AQ455">
        <v>1.565217391</v>
      </c>
      <c r="AR455">
        <v>1.4814814810000001</v>
      </c>
      <c r="AS455">
        <v>-8.3735909999999997E-2</v>
      </c>
      <c r="AT455">
        <v>0</v>
      </c>
      <c r="AU455" t="s">
        <v>66</v>
      </c>
      <c r="AV455">
        <v>1</v>
      </c>
      <c r="AW455">
        <v>0</v>
      </c>
      <c r="AX455">
        <v>0</v>
      </c>
      <c r="AY455">
        <v>1</v>
      </c>
      <c r="AZ455">
        <v>1</v>
      </c>
      <c r="BA455">
        <v>1</v>
      </c>
      <c r="BB455" t="s">
        <v>66</v>
      </c>
      <c r="BC455" t="s">
        <v>66</v>
      </c>
      <c r="BD455" t="s">
        <v>66</v>
      </c>
      <c r="BE455" t="s">
        <v>66</v>
      </c>
      <c r="BF455">
        <v>0</v>
      </c>
      <c r="BG455" t="s">
        <v>66</v>
      </c>
      <c r="BH455" t="s">
        <v>66</v>
      </c>
      <c r="BI455">
        <v>35</v>
      </c>
      <c r="BJ455">
        <v>6.2</v>
      </c>
      <c r="BK455" t="s">
        <v>66</v>
      </c>
      <c r="BL455">
        <v>34</v>
      </c>
      <c r="BM455">
        <v>14</v>
      </c>
      <c r="BN455">
        <v>12</v>
      </c>
      <c r="BO455">
        <f t="shared" si="72"/>
        <v>13</v>
      </c>
      <c r="BP455">
        <v>4</v>
      </c>
      <c r="BQ455">
        <v>1</v>
      </c>
      <c r="BS455">
        <v>0</v>
      </c>
      <c r="BT455">
        <f t="shared" si="73"/>
        <v>54.285714285714285</v>
      </c>
      <c r="BU455">
        <f t="shared" si="74"/>
        <v>67.741935483870975</v>
      </c>
      <c r="BV455">
        <f t="shared" si="75"/>
        <v>47.058823529411761</v>
      </c>
      <c r="BW455">
        <f t="shared" si="76"/>
        <v>11.538461538461538</v>
      </c>
    </row>
    <row r="456" spans="1:75" x14ac:dyDescent="0.2">
      <c r="A456" t="s">
        <v>127</v>
      </c>
      <c r="B456" t="s">
        <v>128</v>
      </c>
      <c r="C456" t="s">
        <v>62</v>
      </c>
      <c r="D456" t="s">
        <v>603</v>
      </c>
      <c r="E456" t="s">
        <v>606</v>
      </c>
      <c r="F456" t="s">
        <v>665</v>
      </c>
      <c r="G456">
        <v>3.85</v>
      </c>
      <c r="H456">
        <v>7.5</v>
      </c>
      <c r="I456">
        <v>4.45</v>
      </c>
      <c r="J456">
        <v>0.95</v>
      </c>
      <c r="K456">
        <v>16.75</v>
      </c>
      <c r="L456">
        <v>3.1038961039999999</v>
      </c>
      <c r="M456">
        <v>26</v>
      </c>
      <c r="N456">
        <v>37</v>
      </c>
      <c r="O456">
        <v>11</v>
      </c>
      <c r="P456">
        <v>42</v>
      </c>
      <c r="Q456">
        <v>16</v>
      </c>
      <c r="R456">
        <v>8</v>
      </c>
      <c r="S456">
        <v>63.1</v>
      </c>
      <c r="T456">
        <v>61.53846154</v>
      </c>
      <c r="U456">
        <v>13.513513509999999</v>
      </c>
      <c r="V456">
        <v>3</v>
      </c>
      <c r="W456">
        <v>6</v>
      </c>
      <c r="X456">
        <v>7</v>
      </c>
      <c r="Y456">
        <v>4</v>
      </c>
      <c r="Z456">
        <v>133.33333329999999</v>
      </c>
      <c r="AA456" t="s">
        <v>66</v>
      </c>
      <c r="AB456" t="s">
        <v>66</v>
      </c>
      <c r="AC456" t="s">
        <v>66</v>
      </c>
      <c r="AD456" t="s">
        <v>66</v>
      </c>
      <c r="AE456">
        <v>29</v>
      </c>
      <c r="AF456">
        <v>38</v>
      </c>
      <c r="AG456" t="s">
        <v>66</v>
      </c>
      <c r="AH456">
        <v>18</v>
      </c>
      <c r="AI456">
        <v>23</v>
      </c>
      <c r="AJ456" t="s">
        <v>66</v>
      </c>
      <c r="AK456">
        <v>15</v>
      </c>
      <c r="AL456">
        <v>21</v>
      </c>
      <c r="AM456">
        <v>16.5</v>
      </c>
      <c r="AN456">
        <v>22</v>
      </c>
      <c r="AO456">
        <v>33.333333330000002</v>
      </c>
      <c r="AP456">
        <v>31.03448276</v>
      </c>
      <c r="AQ456">
        <v>1.757575758</v>
      </c>
      <c r="AR456">
        <v>1.7272727269999999</v>
      </c>
      <c r="AS456">
        <v>-3.0303031000000001E-2</v>
      </c>
      <c r="AT456">
        <v>0</v>
      </c>
      <c r="AU456" t="s">
        <v>66</v>
      </c>
      <c r="AV456">
        <v>0</v>
      </c>
      <c r="AW456">
        <v>0</v>
      </c>
      <c r="AX456">
        <v>0</v>
      </c>
      <c r="AY456">
        <v>1</v>
      </c>
      <c r="AZ456">
        <v>1</v>
      </c>
      <c r="BA456">
        <v>1</v>
      </c>
      <c r="BB456" t="s">
        <v>66</v>
      </c>
      <c r="BC456" t="s">
        <v>66</v>
      </c>
      <c r="BD456" t="s">
        <v>66</v>
      </c>
      <c r="BE456" t="s">
        <v>66</v>
      </c>
      <c r="BF456">
        <v>0</v>
      </c>
      <c r="BG456" t="s">
        <v>66</v>
      </c>
      <c r="BH456" t="s">
        <v>66</v>
      </c>
      <c r="BI456">
        <v>55</v>
      </c>
      <c r="BJ456">
        <v>8.3000000000000007</v>
      </c>
      <c r="BK456" t="s">
        <v>66</v>
      </c>
      <c r="BL456">
        <v>45</v>
      </c>
      <c r="BM456">
        <v>30</v>
      </c>
      <c r="BN456">
        <v>24</v>
      </c>
      <c r="BO456">
        <f t="shared" si="72"/>
        <v>27</v>
      </c>
      <c r="BP456">
        <v>4</v>
      </c>
      <c r="BQ456">
        <v>1</v>
      </c>
      <c r="BS456">
        <v>0</v>
      </c>
      <c r="BT456">
        <f t="shared" si="73"/>
        <v>52.72727272727272</v>
      </c>
      <c r="BU456">
        <f t="shared" si="74"/>
        <v>63.855421686746993</v>
      </c>
      <c r="BV456">
        <f t="shared" si="75"/>
        <v>35.555555555555557</v>
      </c>
      <c r="BW456">
        <f t="shared" si="76"/>
        <v>38.888888888888893</v>
      </c>
    </row>
    <row r="457" spans="1:75" x14ac:dyDescent="0.2">
      <c r="A457" t="s">
        <v>127</v>
      </c>
      <c r="B457" t="s">
        <v>128</v>
      </c>
      <c r="C457" t="s">
        <v>62</v>
      </c>
      <c r="D457" t="s">
        <v>603</v>
      </c>
      <c r="E457" t="s">
        <v>608</v>
      </c>
      <c r="F457" t="s">
        <v>666</v>
      </c>
      <c r="G457">
        <v>3.85</v>
      </c>
      <c r="H457">
        <v>7.5</v>
      </c>
      <c r="I457">
        <v>4.45</v>
      </c>
      <c r="J457">
        <v>0.95</v>
      </c>
      <c r="K457">
        <v>16.75</v>
      </c>
      <c r="L457">
        <v>3.1038961039999999</v>
      </c>
      <c r="M457">
        <v>14</v>
      </c>
      <c r="N457">
        <v>24</v>
      </c>
      <c r="O457">
        <v>10</v>
      </c>
      <c r="P457">
        <v>31</v>
      </c>
      <c r="Q457">
        <v>17</v>
      </c>
      <c r="R457">
        <v>8.5</v>
      </c>
      <c r="S457">
        <v>64.099999999999994</v>
      </c>
      <c r="T457">
        <v>121.4285714</v>
      </c>
      <c r="U457">
        <v>29.166666670000001</v>
      </c>
      <c r="V457">
        <v>3</v>
      </c>
      <c r="W457">
        <v>3</v>
      </c>
      <c r="X457">
        <v>5</v>
      </c>
      <c r="Y457">
        <v>2</v>
      </c>
      <c r="Z457">
        <v>66.666666669999998</v>
      </c>
      <c r="AA457" t="s">
        <v>66</v>
      </c>
      <c r="AB457" t="s">
        <v>66</v>
      </c>
      <c r="AC457" t="s">
        <v>66</v>
      </c>
      <c r="AD457" t="s">
        <v>66</v>
      </c>
      <c r="AE457">
        <v>21</v>
      </c>
      <c r="AF457">
        <v>24</v>
      </c>
      <c r="AG457" t="s">
        <v>66</v>
      </c>
      <c r="AH457">
        <v>12</v>
      </c>
      <c r="AI457">
        <v>16</v>
      </c>
      <c r="AJ457" t="s">
        <v>66</v>
      </c>
      <c r="AK457">
        <v>9</v>
      </c>
      <c r="AL457">
        <v>11</v>
      </c>
      <c r="AM457">
        <v>10.5</v>
      </c>
      <c r="AN457">
        <v>13.5</v>
      </c>
      <c r="AO457">
        <v>28.571428569999998</v>
      </c>
      <c r="AP457">
        <v>14.28571429</v>
      </c>
      <c r="AQ457">
        <v>2</v>
      </c>
      <c r="AR457">
        <v>1.7777777779999999</v>
      </c>
      <c r="AS457">
        <v>-0.222222222</v>
      </c>
      <c r="AT457">
        <v>0</v>
      </c>
      <c r="AU457" t="s">
        <v>66</v>
      </c>
      <c r="AV457">
        <v>0</v>
      </c>
      <c r="AW457">
        <v>0</v>
      </c>
      <c r="AX457">
        <v>0</v>
      </c>
      <c r="AY457">
        <v>1</v>
      </c>
      <c r="AZ457">
        <v>1</v>
      </c>
      <c r="BA457">
        <v>1</v>
      </c>
      <c r="BB457" t="s">
        <v>66</v>
      </c>
      <c r="BC457" t="s">
        <v>66</v>
      </c>
      <c r="BD457" t="s">
        <v>66</v>
      </c>
      <c r="BE457" t="s">
        <v>66</v>
      </c>
      <c r="BF457">
        <v>0</v>
      </c>
      <c r="BG457" t="s">
        <v>66</v>
      </c>
      <c r="BH457" t="s">
        <v>66</v>
      </c>
      <c r="BI457">
        <v>55</v>
      </c>
      <c r="BJ457">
        <v>7.3</v>
      </c>
      <c r="BK457" t="s">
        <v>66</v>
      </c>
      <c r="BL457">
        <v>43</v>
      </c>
      <c r="BM457">
        <v>26</v>
      </c>
      <c r="BN457">
        <v>20</v>
      </c>
      <c r="BO457">
        <f t="shared" si="72"/>
        <v>23</v>
      </c>
      <c r="BP457">
        <v>4</v>
      </c>
      <c r="BQ457">
        <v>1</v>
      </c>
      <c r="BS457">
        <v>0</v>
      </c>
      <c r="BT457">
        <f t="shared" si="73"/>
        <v>74.545454545454547</v>
      </c>
      <c r="BU457">
        <f t="shared" si="74"/>
        <v>58.904109589041099</v>
      </c>
      <c r="BV457">
        <f t="shared" si="75"/>
        <v>51.162790697674424</v>
      </c>
      <c r="BW457">
        <f t="shared" si="76"/>
        <v>54.347826086956516</v>
      </c>
    </row>
    <row r="458" spans="1:75" x14ac:dyDescent="0.2">
      <c r="A458" t="s">
        <v>127</v>
      </c>
      <c r="B458" t="s">
        <v>128</v>
      </c>
      <c r="C458" t="s">
        <v>62</v>
      </c>
      <c r="D458" t="s">
        <v>603</v>
      </c>
      <c r="E458" t="s">
        <v>610</v>
      </c>
      <c r="F458" t="s">
        <v>667</v>
      </c>
      <c r="G458">
        <v>3.85</v>
      </c>
      <c r="H458">
        <v>7.5</v>
      </c>
      <c r="I458">
        <v>4.45</v>
      </c>
      <c r="J458">
        <v>0.95</v>
      </c>
      <c r="K458">
        <v>16.75</v>
      </c>
      <c r="L458">
        <v>3.1038961039999999</v>
      </c>
      <c r="M458">
        <v>55</v>
      </c>
      <c r="N458">
        <v>68</v>
      </c>
      <c r="O458">
        <v>13</v>
      </c>
      <c r="P458">
        <v>73</v>
      </c>
      <c r="Q458">
        <v>18</v>
      </c>
      <c r="R458">
        <v>9</v>
      </c>
      <c r="S458">
        <v>65.099999999999994</v>
      </c>
      <c r="T458">
        <v>32.727272730000003</v>
      </c>
      <c r="U458">
        <v>7.3529411759999999</v>
      </c>
      <c r="V458">
        <v>9</v>
      </c>
      <c r="W458">
        <v>13</v>
      </c>
      <c r="X458">
        <v>12</v>
      </c>
      <c r="Y458">
        <v>3</v>
      </c>
      <c r="Z458">
        <v>33.333333330000002</v>
      </c>
      <c r="AA458" t="s">
        <v>66</v>
      </c>
      <c r="AB458" t="s">
        <v>66</v>
      </c>
      <c r="AC458" t="s">
        <v>66</v>
      </c>
      <c r="AD458" t="s">
        <v>66</v>
      </c>
      <c r="AE458">
        <v>59</v>
      </c>
      <c r="AF458">
        <v>67</v>
      </c>
      <c r="AG458" t="s">
        <v>66</v>
      </c>
      <c r="AH458">
        <v>42</v>
      </c>
      <c r="AI458">
        <v>42</v>
      </c>
      <c r="AJ458" t="s">
        <v>66</v>
      </c>
      <c r="AK458">
        <v>27</v>
      </c>
      <c r="AL458">
        <v>31</v>
      </c>
      <c r="AM458">
        <v>34.5</v>
      </c>
      <c r="AN458">
        <v>36.5</v>
      </c>
      <c r="AO458">
        <v>5.7971014490000004</v>
      </c>
      <c r="AP458">
        <v>13.559322030000001</v>
      </c>
      <c r="AQ458">
        <v>1.7101449280000001</v>
      </c>
      <c r="AR458">
        <v>1.835616438</v>
      </c>
      <c r="AS458">
        <v>0.12547151000000001</v>
      </c>
      <c r="AT458">
        <v>0</v>
      </c>
      <c r="AU458" t="s">
        <v>66</v>
      </c>
      <c r="AV458">
        <v>1</v>
      </c>
      <c r="AW458">
        <v>0</v>
      </c>
      <c r="AX458">
        <v>0</v>
      </c>
      <c r="AY458">
        <v>1</v>
      </c>
      <c r="AZ458">
        <v>1</v>
      </c>
      <c r="BA458">
        <v>1</v>
      </c>
      <c r="BB458" t="s">
        <v>66</v>
      </c>
      <c r="BC458" t="s">
        <v>66</v>
      </c>
      <c r="BD458" t="s">
        <v>66</v>
      </c>
      <c r="BE458" t="s">
        <v>66</v>
      </c>
      <c r="BF458">
        <v>0</v>
      </c>
      <c r="BG458" t="s">
        <v>66</v>
      </c>
      <c r="BH458" t="s">
        <v>66</v>
      </c>
      <c r="BI458">
        <v>106</v>
      </c>
      <c r="BJ458">
        <v>16.399999999999999</v>
      </c>
      <c r="BK458" t="s">
        <v>66</v>
      </c>
      <c r="BL458">
        <f>106-13</f>
        <v>93</v>
      </c>
      <c r="BM458">
        <v>64</v>
      </c>
      <c r="BN458">
        <v>44</v>
      </c>
      <c r="BO458">
        <f t="shared" si="72"/>
        <v>54</v>
      </c>
      <c r="BP458">
        <v>4</v>
      </c>
      <c r="BQ458">
        <v>1</v>
      </c>
      <c r="BS458">
        <v>0</v>
      </c>
      <c r="BT458">
        <f t="shared" si="73"/>
        <v>48.113207547169814</v>
      </c>
      <c r="BU458">
        <f t="shared" si="74"/>
        <v>45.121951219512191</v>
      </c>
      <c r="BV458">
        <f t="shared" si="75"/>
        <v>36.55913978494624</v>
      </c>
      <c r="BW458">
        <f t="shared" si="76"/>
        <v>36.111111111111107</v>
      </c>
    </row>
    <row r="459" spans="1:75" x14ac:dyDescent="0.2">
      <c r="A459" t="s">
        <v>127</v>
      </c>
      <c r="B459" t="s">
        <v>128</v>
      </c>
      <c r="C459" t="s">
        <v>62</v>
      </c>
      <c r="D459" t="s">
        <v>603</v>
      </c>
      <c r="E459" t="s">
        <v>612</v>
      </c>
      <c r="F459" t="s">
        <v>668</v>
      </c>
      <c r="G459">
        <v>3.85</v>
      </c>
      <c r="H459">
        <v>7.5</v>
      </c>
      <c r="I459">
        <v>4.45</v>
      </c>
      <c r="J459">
        <v>0.95</v>
      </c>
      <c r="K459">
        <v>16.75</v>
      </c>
      <c r="L459">
        <v>3.1038961039999999</v>
      </c>
      <c r="M459">
        <v>16</v>
      </c>
      <c r="N459">
        <v>22</v>
      </c>
      <c r="O459">
        <v>6</v>
      </c>
      <c r="P459">
        <v>24</v>
      </c>
      <c r="Q459">
        <v>8</v>
      </c>
      <c r="R459">
        <v>4</v>
      </c>
      <c r="S459">
        <v>55.1</v>
      </c>
      <c r="T459">
        <v>50</v>
      </c>
      <c r="U459">
        <v>9.0909090910000003</v>
      </c>
      <c r="V459">
        <v>3</v>
      </c>
      <c r="W459">
        <v>3</v>
      </c>
      <c r="X459">
        <v>4</v>
      </c>
      <c r="Y459">
        <v>1</v>
      </c>
      <c r="Z459">
        <v>33.333333330000002</v>
      </c>
      <c r="AA459" t="s">
        <v>66</v>
      </c>
      <c r="AB459" t="s">
        <v>66</v>
      </c>
      <c r="AC459" t="s">
        <v>66</v>
      </c>
      <c r="AD459" t="s">
        <v>66</v>
      </c>
      <c r="AE459">
        <v>16</v>
      </c>
      <c r="AF459">
        <v>18</v>
      </c>
      <c r="AG459" t="s">
        <v>66</v>
      </c>
      <c r="AH459">
        <v>12</v>
      </c>
      <c r="AI459">
        <v>10</v>
      </c>
      <c r="AJ459" t="s">
        <v>66</v>
      </c>
      <c r="AK459">
        <v>9</v>
      </c>
      <c r="AL459">
        <v>8</v>
      </c>
      <c r="AM459">
        <v>10.5</v>
      </c>
      <c r="AN459">
        <v>9</v>
      </c>
      <c r="AO459">
        <v>-14.28571429</v>
      </c>
      <c r="AP459">
        <v>12.5</v>
      </c>
      <c r="AQ459">
        <v>1.523809524</v>
      </c>
      <c r="AR459">
        <v>2</v>
      </c>
      <c r="AS459">
        <v>0.47619047599999997</v>
      </c>
      <c r="AT459">
        <v>0</v>
      </c>
      <c r="AU459" t="s">
        <v>66</v>
      </c>
      <c r="AV459">
        <v>0</v>
      </c>
      <c r="AW459">
        <v>0</v>
      </c>
      <c r="AX459">
        <v>0</v>
      </c>
      <c r="AY459">
        <v>1</v>
      </c>
      <c r="AZ459">
        <v>1</v>
      </c>
      <c r="BA459">
        <v>1</v>
      </c>
      <c r="BB459" t="s">
        <v>66</v>
      </c>
      <c r="BC459" t="s">
        <v>66</v>
      </c>
      <c r="BD459" t="s">
        <v>66</v>
      </c>
      <c r="BE459" t="s">
        <v>66</v>
      </c>
      <c r="BF459">
        <v>0</v>
      </c>
      <c r="BG459" t="s">
        <v>66</v>
      </c>
      <c r="BH459" t="s">
        <v>66</v>
      </c>
      <c r="BI459">
        <v>35</v>
      </c>
      <c r="BJ459">
        <v>6.3</v>
      </c>
      <c r="BK459" t="s">
        <v>66</v>
      </c>
      <c r="BL459">
        <v>29</v>
      </c>
      <c r="BM459">
        <v>18</v>
      </c>
      <c r="BN459">
        <v>12</v>
      </c>
      <c r="BO459">
        <f t="shared" si="72"/>
        <v>15</v>
      </c>
      <c r="BP459">
        <v>4</v>
      </c>
      <c r="BQ459">
        <v>1</v>
      </c>
      <c r="BS459">
        <v>0</v>
      </c>
      <c r="BT459">
        <f t="shared" si="73"/>
        <v>54.285714285714285</v>
      </c>
      <c r="BU459">
        <f t="shared" si="74"/>
        <v>52.380952380952387</v>
      </c>
      <c r="BV459">
        <f t="shared" si="75"/>
        <v>44.827586206896555</v>
      </c>
      <c r="BW459">
        <f t="shared" si="76"/>
        <v>30</v>
      </c>
    </row>
    <row r="460" spans="1:75" x14ac:dyDescent="0.2">
      <c r="A460" t="s">
        <v>127</v>
      </c>
      <c r="B460" t="s">
        <v>128</v>
      </c>
      <c r="C460" t="s">
        <v>62</v>
      </c>
      <c r="D460" t="s">
        <v>603</v>
      </c>
      <c r="E460" t="s">
        <v>614</v>
      </c>
      <c r="F460" t="s">
        <v>669</v>
      </c>
      <c r="G460">
        <v>3.85</v>
      </c>
      <c r="H460">
        <v>7.5</v>
      </c>
      <c r="I460">
        <v>4.45</v>
      </c>
      <c r="J460">
        <v>0.95</v>
      </c>
      <c r="K460">
        <v>16.75</v>
      </c>
      <c r="L460">
        <v>3.1038961039999999</v>
      </c>
      <c r="M460">
        <v>34</v>
      </c>
      <c r="N460">
        <v>43</v>
      </c>
      <c r="O460">
        <v>9</v>
      </c>
      <c r="P460">
        <v>54</v>
      </c>
      <c r="Q460">
        <v>20</v>
      </c>
      <c r="R460">
        <v>10</v>
      </c>
      <c r="S460">
        <v>67.099999999999994</v>
      </c>
      <c r="T460">
        <v>58.823529409999999</v>
      </c>
      <c r="U460">
        <v>25.581395350000001</v>
      </c>
      <c r="V460">
        <v>4</v>
      </c>
      <c r="W460">
        <v>6</v>
      </c>
      <c r="X460">
        <v>7</v>
      </c>
      <c r="Y460">
        <v>3</v>
      </c>
      <c r="Z460">
        <v>75</v>
      </c>
      <c r="AA460" t="s">
        <v>66</v>
      </c>
      <c r="AB460" t="s">
        <v>66</v>
      </c>
      <c r="AC460" t="s">
        <v>66</v>
      </c>
      <c r="AD460" t="s">
        <v>66</v>
      </c>
      <c r="AE460">
        <v>37</v>
      </c>
      <c r="AF460">
        <v>48</v>
      </c>
      <c r="AG460" t="s">
        <v>66</v>
      </c>
      <c r="AH460">
        <v>28</v>
      </c>
      <c r="AI460">
        <v>33</v>
      </c>
      <c r="AJ460" t="s">
        <v>66</v>
      </c>
      <c r="AK460">
        <v>25</v>
      </c>
      <c r="AL460">
        <v>29</v>
      </c>
      <c r="AM460">
        <v>26.5</v>
      </c>
      <c r="AN460">
        <v>31</v>
      </c>
      <c r="AO460">
        <v>16.981132079999998</v>
      </c>
      <c r="AP460">
        <v>29.729729729999999</v>
      </c>
      <c r="AQ460">
        <v>1.3962264150000001</v>
      </c>
      <c r="AR460">
        <v>1.548387097</v>
      </c>
      <c r="AS460">
        <v>0.15216068199999999</v>
      </c>
      <c r="AT460">
        <v>0</v>
      </c>
      <c r="AU460" t="s">
        <v>66</v>
      </c>
      <c r="AV460">
        <v>0</v>
      </c>
      <c r="AW460">
        <v>0</v>
      </c>
      <c r="AX460">
        <v>0</v>
      </c>
      <c r="AY460">
        <v>1</v>
      </c>
      <c r="AZ460">
        <v>1</v>
      </c>
      <c r="BA460">
        <v>1</v>
      </c>
      <c r="BB460" t="s">
        <v>66</v>
      </c>
      <c r="BC460" t="s">
        <v>66</v>
      </c>
      <c r="BD460" t="s">
        <v>66</v>
      </c>
      <c r="BE460" t="s">
        <v>66</v>
      </c>
      <c r="BF460">
        <v>0</v>
      </c>
      <c r="BG460" t="s">
        <v>66</v>
      </c>
      <c r="BH460" t="s">
        <v>66</v>
      </c>
      <c r="BI460">
        <v>49</v>
      </c>
      <c r="BJ460">
        <v>10</v>
      </c>
      <c r="BK460" t="s">
        <v>66</v>
      </c>
      <c r="BL460">
        <v>46</v>
      </c>
      <c r="BM460">
        <v>53</v>
      </c>
      <c r="BN460">
        <v>21</v>
      </c>
      <c r="BO460">
        <f t="shared" si="72"/>
        <v>37</v>
      </c>
      <c r="BP460">
        <v>4</v>
      </c>
      <c r="BQ460">
        <v>1</v>
      </c>
      <c r="BS460">
        <v>0</v>
      </c>
      <c r="BT460">
        <f t="shared" si="73"/>
        <v>30.612244897959183</v>
      </c>
      <c r="BU460">
        <f t="shared" si="74"/>
        <v>60</v>
      </c>
      <c r="BV460">
        <f t="shared" si="75"/>
        <v>19.565217391304348</v>
      </c>
      <c r="BW460">
        <f t="shared" si="76"/>
        <v>28.378378378378379</v>
      </c>
    </row>
    <row r="461" spans="1:75" x14ac:dyDescent="0.2">
      <c r="A461" t="s">
        <v>127</v>
      </c>
      <c r="B461" t="s">
        <v>128</v>
      </c>
      <c r="C461" t="s">
        <v>62</v>
      </c>
      <c r="D461" t="s">
        <v>603</v>
      </c>
      <c r="E461" t="s">
        <v>616</v>
      </c>
      <c r="F461" t="s">
        <v>670</v>
      </c>
      <c r="G461">
        <v>3.85</v>
      </c>
      <c r="H461">
        <v>7.5</v>
      </c>
      <c r="I461">
        <v>4.45</v>
      </c>
      <c r="J461">
        <v>0.95</v>
      </c>
      <c r="K461">
        <v>16.75</v>
      </c>
      <c r="L461">
        <v>3.1038961039999999</v>
      </c>
      <c r="M461">
        <v>20</v>
      </c>
      <c r="N461">
        <v>29</v>
      </c>
      <c r="O461">
        <v>9</v>
      </c>
      <c r="P461">
        <v>36</v>
      </c>
      <c r="Q461">
        <v>16</v>
      </c>
      <c r="R461">
        <v>8</v>
      </c>
      <c r="S461">
        <v>63.1</v>
      </c>
      <c r="T461">
        <v>80</v>
      </c>
      <c r="U461">
        <v>24.137931030000001</v>
      </c>
      <c r="V461">
        <v>2</v>
      </c>
      <c r="W461">
        <v>4</v>
      </c>
      <c r="X461">
        <v>4</v>
      </c>
      <c r="Y461">
        <v>2</v>
      </c>
      <c r="Z461">
        <v>100</v>
      </c>
      <c r="AA461" t="s">
        <v>66</v>
      </c>
      <c r="AB461" t="s">
        <v>66</v>
      </c>
      <c r="AC461" t="s">
        <v>66</v>
      </c>
      <c r="AD461" t="s">
        <v>66</v>
      </c>
      <c r="AE461">
        <v>23</v>
      </c>
      <c r="AF461">
        <v>28</v>
      </c>
      <c r="AG461" t="s">
        <v>66</v>
      </c>
      <c r="AH461">
        <v>18</v>
      </c>
      <c r="AI461">
        <v>20</v>
      </c>
      <c r="AJ461" t="s">
        <v>66</v>
      </c>
      <c r="AK461">
        <v>8</v>
      </c>
      <c r="AL461">
        <v>9</v>
      </c>
      <c r="AM461">
        <v>13</v>
      </c>
      <c r="AN461">
        <v>14.5</v>
      </c>
      <c r="AO461">
        <v>11.53846154</v>
      </c>
      <c r="AP461">
        <v>21.739130429999999</v>
      </c>
      <c r="AQ461">
        <v>1.769230769</v>
      </c>
      <c r="AR461">
        <v>1.9310344829999999</v>
      </c>
      <c r="AS461">
        <v>0.16180371399999999</v>
      </c>
      <c r="AT461">
        <v>0</v>
      </c>
      <c r="AU461" t="s">
        <v>66</v>
      </c>
      <c r="AV461">
        <v>0</v>
      </c>
      <c r="AW461">
        <v>0</v>
      </c>
      <c r="AX461">
        <v>0</v>
      </c>
      <c r="AY461">
        <v>1</v>
      </c>
      <c r="AZ461">
        <v>1</v>
      </c>
      <c r="BA461">
        <v>1</v>
      </c>
      <c r="BB461" t="s">
        <v>66</v>
      </c>
      <c r="BC461" t="s">
        <v>66</v>
      </c>
      <c r="BD461" t="s">
        <v>66</v>
      </c>
      <c r="BE461" t="s">
        <v>66</v>
      </c>
      <c r="BF461">
        <v>0</v>
      </c>
      <c r="BG461" t="s">
        <v>66</v>
      </c>
      <c r="BH461" t="s">
        <v>66</v>
      </c>
      <c r="BI461">
        <v>47</v>
      </c>
      <c r="BJ461">
        <v>7.5</v>
      </c>
      <c r="BK461" t="s">
        <v>66</v>
      </c>
      <c r="BL461">
        <v>42</v>
      </c>
      <c r="BM461">
        <v>19</v>
      </c>
      <c r="BN461">
        <v>14</v>
      </c>
      <c r="BO461">
        <f t="shared" si="72"/>
        <v>16.5</v>
      </c>
      <c r="BP461">
        <v>3</v>
      </c>
      <c r="BQ461">
        <v>1</v>
      </c>
      <c r="BS461">
        <v>0</v>
      </c>
      <c r="BT461">
        <f t="shared" si="73"/>
        <v>57.446808510638306</v>
      </c>
      <c r="BU461">
        <f t="shared" si="74"/>
        <v>73.333333333333329</v>
      </c>
      <c r="BV461">
        <f t="shared" si="75"/>
        <v>45.238095238095241</v>
      </c>
      <c r="BW461">
        <f t="shared" si="76"/>
        <v>21.212121212121211</v>
      </c>
    </row>
    <row r="462" spans="1:75" x14ac:dyDescent="0.2">
      <c r="A462" t="s">
        <v>127</v>
      </c>
      <c r="B462" t="s">
        <v>128</v>
      </c>
      <c r="C462" t="s">
        <v>62</v>
      </c>
      <c r="D462" t="s">
        <v>603</v>
      </c>
      <c r="E462" t="s">
        <v>618</v>
      </c>
      <c r="F462" t="s">
        <v>671</v>
      </c>
      <c r="G462">
        <v>3.85</v>
      </c>
      <c r="H462">
        <v>7.5</v>
      </c>
      <c r="I462">
        <v>4.45</v>
      </c>
      <c r="J462">
        <v>0.95</v>
      </c>
      <c r="K462">
        <v>16.75</v>
      </c>
      <c r="L462">
        <v>3.1038961039999999</v>
      </c>
      <c r="M462">
        <v>10</v>
      </c>
      <c r="N462">
        <v>13</v>
      </c>
      <c r="O462">
        <v>3</v>
      </c>
      <c r="P462">
        <v>19</v>
      </c>
      <c r="Q462">
        <v>9</v>
      </c>
      <c r="R462">
        <v>4.5</v>
      </c>
      <c r="S462">
        <v>56.1</v>
      </c>
      <c r="T462">
        <v>90</v>
      </c>
      <c r="U462">
        <v>46.15384615</v>
      </c>
      <c r="V462">
        <v>1</v>
      </c>
      <c r="W462">
        <v>3</v>
      </c>
      <c r="X462">
        <v>3</v>
      </c>
      <c r="Y462">
        <v>2</v>
      </c>
      <c r="Z462">
        <v>200</v>
      </c>
      <c r="AA462" t="s">
        <v>66</v>
      </c>
      <c r="AB462" t="s">
        <v>66</v>
      </c>
      <c r="AC462" t="s">
        <v>66</v>
      </c>
      <c r="AD462" t="s">
        <v>66</v>
      </c>
      <c r="AE462">
        <v>9</v>
      </c>
      <c r="AF462">
        <v>13</v>
      </c>
      <c r="AG462" t="s">
        <v>66</v>
      </c>
      <c r="AH462">
        <v>8</v>
      </c>
      <c r="AI462">
        <v>12</v>
      </c>
      <c r="AJ462" t="s">
        <v>66</v>
      </c>
      <c r="AK462">
        <v>6</v>
      </c>
      <c r="AL462">
        <v>11</v>
      </c>
      <c r="AM462">
        <v>7</v>
      </c>
      <c r="AN462">
        <v>11.5</v>
      </c>
      <c r="AO462">
        <v>64.285714290000001</v>
      </c>
      <c r="AP462">
        <v>44.444444439999998</v>
      </c>
      <c r="AQ462">
        <v>1.2857142859999999</v>
      </c>
      <c r="AR462">
        <v>1.1304347830000001</v>
      </c>
      <c r="AS462">
        <v>-0.15527950300000001</v>
      </c>
      <c r="AT462">
        <v>0</v>
      </c>
      <c r="AU462" t="s">
        <v>66</v>
      </c>
      <c r="AV462">
        <v>0</v>
      </c>
      <c r="AW462">
        <v>0</v>
      </c>
      <c r="AX462">
        <v>0</v>
      </c>
      <c r="AY462">
        <v>1</v>
      </c>
      <c r="AZ462">
        <v>1</v>
      </c>
      <c r="BA462">
        <v>1</v>
      </c>
      <c r="BB462" t="s">
        <v>66</v>
      </c>
      <c r="BC462" t="s">
        <v>66</v>
      </c>
      <c r="BD462" t="s">
        <v>66</v>
      </c>
      <c r="BE462" t="s">
        <v>66</v>
      </c>
      <c r="BF462">
        <v>0</v>
      </c>
      <c r="BG462" t="s">
        <v>66</v>
      </c>
      <c r="BH462" t="s">
        <v>66</v>
      </c>
      <c r="BI462">
        <v>30</v>
      </c>
      <c r="BJ462">
        <v>6.3</v>
      </c>
      <c r="BK462" t="s">
        <v>66</v>
      </c>
      <c r="BL462">
        <v>27</v>
      </c>
      <c r="BM462">
        <v>22</v>
      </c>
      <c r="BN462">
        <v>15</v>
      </c>
      <c r="BO462">
        <f t="shared" si="72"/>
        <v>18.5</v>
      </c>
      <c r="BP462">
        <v>4</v>
      </c>
      <c r="BQ462">
        <v>1</v>
      </c>
      <c r="BS462">
        <v>0</v>
      </c>
      <c r="BT462">
        <f t="shared" si="73"/>
        <v>66.666666666666657</v>
      </c>
      <c r="BU462">
        <f t="shared" si="74"/>
        <v>84.126984126984127</v>
      </c>
      <c r="BV462">
        <f t="shared" si="75"/>
        <v>66.666666666666657</v>
      </c>
      <c r="BW462">
        <f t="shared" si="76"/>
        <v>62.162162162162161</v>
      </c>
    </row>
    <row r="463" spans="1:75" x14ac:dyDescent="0.2">
      <c r="A463" t="s">
        <v>127</v>
      </c>
      <c r="B463" t="s">
        <v>128</v>
      </c>
      <c r="C463" t="s">
        <v>62</v>
      </c>
      <c r="D463" t="s">
        <v>603</v>
      </c>
      <c r="E463" t="s">
        <v>620</v>
      </c>
      <c r="F463" t="s">
        <v>672</v>
      </c>
      <c r="G463">
        <v>3.85</v>
      </c>
      <c r="H463">
        <v>7.5</v>
      </c>
      <c r="I463">
        <v>4.45</v>
      </c>
      <c r="J463">
        <v>0.95</v>
      </c>
      <c r="K463">
        <v>16.75</v>
      </c>
      <c r="L463">
        <v>3.1038961039999999</v>
      </c>
      <c r="M463">
        <v>69</v>
      </c>
      <c r="N463">
        <v>82</v>
      </c>
      <c r="O463">
        <v>13</v>
      </c>
      <c r="P463">
        <v>93</v>
      </c>
      <c r="Q463">
        <v>24</v>
      </c>
      <c r="R463">
        <v>12</v>
      </c>
      <c r="S463">
        <v>71.099999999999994</v>
      </c>
      <c r="T463">
        <v>34.782608699999997</v>
      </c>
      <c r="U463">
        <v>13.414634149999999</v>
      </c>
      <c r="V463">
        <v>7</v>
      </c>
      <c r="W463">
        <v>10</v>
      </c>
      <c r="X463">
        <v>12</v>
      </c>
      <c r="Y463">
        <v>5</v>
      </c>
      <c r="Z463">
        <v>71.428571430000005</v>
      </c>
      <c r="AA463" t="s">
        <v>66</v>
      </c>
      <c r="AB463" t="s">
        <v>66</v>
      </c>
      <c r="AC463" t="s">
        <v>66</v>
      </c>
      <c r="AD463" t="s">
        <v>66</v>
      </c>
      <c r="AE463">
        <v>76</v>
      </c>
      <c r="AF463">
        <v>84</v>
      </c>
      <c r="AG463" t="s">
        <v>66</v>
      </c>
      <c r="AH463">
        <v>44</v>
      </c>
      <c r="AI463">
        <v>47</v>
      </c>
      <c r="AJ463" t="s">
        <v>66</v>
      </c>
      <c r="AK463">
        <v>37</v>
      </c>
      <c r="AL463">
        <v>32</v>
      </c>
      <c r="AM463">
        <v>40.5</v>
      </c>
      <c r="AN463">
        <v>39.5</v>
      </c>
      <c r="AO463">
        <v>-2.4691358019999998</v>
      </c>
      <c r="AP463">
        <v>10.52631579</v>
      </c>
      <c r="AQ463">
        <v>1.8765432099999999</v>
      </c>
      <c r="AR463">
        <v>2.1265822779999999</v>
      </c>
      <c r="AS463">
        <v>0.25003906799999998</v>
      </c>
      <c r="AT463">
        <v>0</v>
      </c>
      <c r="AU463" t="s">
        <v>66</v>
      </c>
      <c r="AV463">
        <v>0</v>
      </c>
      <c r="AW463">
        <v>0</v>
      </c>
      <c r="AX463">
        <v>0</v>
      </c>
      <c r="AY463">
        <v>1</v>
      </c>
      <c r="AZ463">
        <v>1</v>
      </c>
      <c r="BA463">
        <v>1</v>
      </c>
      <c r="BB463" t="s">
        <v>66</v>
      </c>
      <c r="BC463" t="s">
        <v>66</v>
      </c>
      <c r="BD463" t="s">
        <v>66</v>
      </c>
      <c r="BE463" t="s">
        <v>66</v>
      </c>
      <c r="BF463">
        <v>0</v>
      </c>
      <c r="BG463" t="s">
        <v>66</v>
      </c>
      <c r="BH463" t="s">
        <v>66</v>
      </c>
      <c r="BI463">
        <v>96</v>
      </c>
      <c r="BJ463">
        <v>16.600000000000001</v>
      </c>
      <c r="BK463" t="s">
        <v>66</v>
      </c>
      <c r="BL463">
        <v>86</v>
      </c>
      <c r="BM463">
        <v>58</v>
      </c>
      <c r="BN463">
        <v>31</v>
      </c>
      <c r="BO463">
        <f t="shared" si="72"/>
        <v>44.5</v>
      </c>
      <c r="BP463">
        <v>3</v>
      </c>
      <c r="BQ463">
        <v>1</v>
      </c>
      <c r="BS463">
        <v>0</v>
      </c>
      <c r="BT463">
        <f t="shared" si="73"/>
        <v>28.125</v>
      </c>
      <c r="BU463">
        <f t="shared" si="74"/>
        <v>57.831325301204828</v>
      </c>
      <c r="BV463">
        <f t="shared" si="75"/>
        <v>11.627906976744185</v>
      </c>
      <c r="BW463">
        <f t="shared" si="76"/>
        <v>8.9887640449438209</v>
      </c>
    </row>
    <row r="464" spans="1:75" x14ac:dyDescent="0.2">
      <c r="A464" t="s">
        <v>127</v>
      </c>
      <c r="B464" t="s">
        <v>128</v>
      </c>
      <c r="C464" t="s">
        <v>62</v>
      </c>
      <c r="D464" t="s">
        <v>603</v>
      </c>
      <c r="E464" t="s">
        <v>622</v>
      </c>
      <c r="F464" t="s">
        <v>673</v>
      </c>
      <c r="G464">
        <v>3.85</v>
      </c>
      <c r="H464">
        <v>7.5</v>
      </c>
      <c r="I464">
        <v>4.45</v>
      </c>
      <c r="J464">
        <v>0.95</v>
      </c>
      <c r="K464">
        <v>16.75</v>
      </c>
      <c r="L464">
        <v>3.1038961039999999</v>
      </c>
      <c r="M464">
        <v>8</v>
      </c>
      <c r="N464">
        <v>9</v>
      </c>
      <c r="O464">
        <v>1</v>
      </c>
      <c r="P464">
        <v>11</v>
      </c>
      <c r="Q464">
        <v>3</v>
      </c>
      <c r="R464">
        <v>1.5</v>
      </c>
      <c r="S464">
        <v>50.1</v>
      </c>
      <c r="T464">
        <v>37.5</v>
      </c>
      <c r="U464">
        <v>22.222222219999999</v>
      </c>
      <c r="V464">
        <v>1</v>
      </c>
      <c r="W464">
        <v>1</v>
      </c>
      <c r="X464">
        <v>2</v>
      </c>
      <c r="Y464">
        <v>1</v>
      </c>
      <c r="Z464">
        <v>100</v>
      </c>
      <c r="AA464" t="s">
        <v>66</v>
      </c>
      <c r="AB464" t="s">
        <v>66</v>
      </c>
      <c r="AC464" t="s">
        <v>66</v>
      </c>
      <c r="AD464" t="s">
        <v>66</v>
      </c>
      <c r="AE464">
        <v>7</v>
      </c>
      <c r="AF464">
        <v>8</v>
      </c>
      <c r="AG464" t="s">
        <v>66</v>
      </c>
      <c r="AH464">
        <v>2.5</v>
      </c>
      <c r="AI464">
        <v>4</v>
      </c>
      <c r="AJ464" t="s">
        <v>66</v>
      </c>
      <c r="AK464">
        <v>1</v>
      </c>
      <c r="AL464">
        <v>2</v>
      </c>
      <c r="AM464">
        <v>1.75</v>
      </c>
      <c r="AN464">
        <v>3</v>
      </c>
      <c r="AO464">
        <v>71.428571430000005</v>
      </c>
      <c r="AP464">
        <v>14.28571429</v>
      </c>
      <c r="AQ464">
        <v>4</v>
      </c>
      <c r="AR464">
        <v>2.6666666669999999</v>
      </c>
      <c r="AS464">
        <v>-1.3333333329999999</v>
      </c>
      <c r="AT464">
        <v>0</v>
      </c>
      <c r="AU464" t="s">
        <v>66</v>
      </c>
      <c r="AV464">
        <v>0</v>
      </c>
      <c r="AW464">
        <v>0</v>
      </c>
      <c r="AX464">
        <v>0</v>
      </c>
      <c r="AY464">
        <v>1</v>
      </c>
      <c r="AZ464">
        <v>1</v>
      </c>
      <c r="BA464">
        <v>1</v>
      </c>
      <c r="BB464" t="s">
        <v>66</v>
      </c>
      <c r="BC464" t="s">
        <v>66</v>
      </c>
      <c r="BD464" t="s">
        <v>66</v>
      </c>
      <c r="BE464" t="s">
        <v>66</v>
      </c>
      <c r="BF464">
        <v>0</v>
      </c>
      <c r="BG464" t="s">
        <v>66</v>
      </c>
      <c r="BH464" t="s">
        <v>66</v>
      </c>
      <c r="BI464">
        <v>15</v>
      </c>
      <c r="BJ464">
        <v>1.7</v>
      </c>
      <c r="BK464" t="s">
        <v>66</v>
      </c>
      <c r="BL464">
        <v>10</v>
      </c>
      <c r="BM464">
        <v>5</v>
      </c>
      <c r="BN464">
        <v>2</v>
      </c>
      <c r="BO464">
        <f t="shared" si="72"/>
        <v>3.5</v>
      </c>
      <c r="BP464">
        <v>3</v>
      </c>
      <c r="BQ464">
        <v>1</v>
      </c>
      <c r="BS464">
        <v>0</v>
      </c>
      <c r="BT464">
        <f t="shared" si="73"/>
        <v>46.666666666666664</v>
      </c>
      <c r="BU464">
        <f t="shared" si="74"/>
        <v>41.17647058823529</v>
      </c>
      <c r="BV464">
        <f t="shared" si="75"/>
        <v>30</v>
      </c>
      <c r="BW464">
        <f t="shared" si="76"/>
        <v>50</v>
      </c>
    </row>
    <row r="465" spans="1:75" x14ac:dyDescent="0.2">
      <c r="A465" t="s">
        <v>127</v>
      </c>
      <c r="B465" t="s">
        <v>128</v>
      </c>
      <c r="C465" t="s">
        <v>62</v>
      </c>
      <c r="D465" t="s">
        <v>603</v>
      </c>
      <c r="E465" t="s">
        <v>624</v>
      </c>
      <c r="F465" t="s">
        <v>674</v>
      </c>
      <c r="G465">
        <v>3.85</v>
      </c>
      <c r="H465">
        <v>7.5</v>
      </c>
      <c r="I465">
        <v>4.45</v>
      </c>
      <c r="J465">
        <v>0.95</v>
      </c>
      <c r="K465">
        <v>16.75</v>
      </c>
      <c r="L465">
        <v>3.1038961039999999</v>
      </c>
      <c r="M465">
        <v>17</v>
      </c>
      <c r="N465">
        <v>20</v>
      </c>
      <c r="O465">
        <v>3</v>
      </c>
      <c r="P465">
        <v>22</v>
      </c>
      <c r="Q465">
        <v>5</v>
      </c>
      <c r="R465">
        <v>2.5</v>
      </c>
      <c r="S465">
        <v>52.1</v>
      </c>
      <c r="T465">
        <v>29.41176471</v>
      </c>
      <c r="U465">
        <v>10</v>
      </c>
      <c r="V465">
        <v>3</v>
      </c>
      <c r="W465">
        <v>2</v>
      </c>
      <c r="X465">
        <v>3</v>
      </c>
      <c r="Y465">
        <v>0</v>
      </c>
      <c r="Z465">
        <v>0</v>
      </c>
      <c r="AA465" t="s">
        <v>66</v>
      </c>
      <c r="AB465" t="s">
        <v>66</v>
      </c>
      <c r="AC465" t="s">
        <v>66</v>
      </c>
      <c r="AD465" t="s">
        <v>66</v>
      </c>
      <c r="AE465">
        <v>16</v>
      </c>
      <c r="AF465">
        <v>16</v>
      </c>
      <c r="AG465" t="s">
        <v>66</v>
      </c>
      <c r="AH465">
        <v>8</v>
      </c>
      <c r="AI465">
        <v>12</v>
      </c>
      <c r="AJ465" t="s">
        <v>66</v>
      </c>
      <c r="AK465">
        <v>5</v>
      </c>
      <c r="AL465">
        <v>7</v>
      </c>
      <c r="AM465">
        <v>6.5</v>
      </c>
      <c r="AN465">
        <v>9.5</v>
      </c>
      <c r="AO465">
        <v>46.15384615</v>
      </c>
      <c r="AP465">
        <v>0</v>
      </c>
      <c r="AQ465">
        <v>2.461538462</v>
      </c>
      <c r="AR465">
        <v>1.684210526</v>
      </c>
      <c r="AS465">
        <v>-0.77732793600000005</v>
      </c>
      <c r="AT465">
        <v>0</v>
      </c>
      <c r="AU465" t="s">
        <v>66</v>
      </c>
      <c r="AV465">
        <v>2</v>
      </c>
      <c r="AW465">
        <v>2</v>
      </c>
      <c r="AX465">
        <v>0</v>
      </c>
      <c r="AY465">
        <v>1</v>
      </c>
      <c r="AZ465">
        <v>1</v>
      </c>
      <c r="BA465">
        <v>1</v>
      </c>
      <c r="BB465" t="s">
        <v>66</v>
      </c>
      <c r="BC465" t="s">
        <v>66</v>
      </c>
      <c r="BD465" t="s">
        <v>66</v>
      </c>
      <c r="BE465" t="s">
        <v>66</v>
      </c>
      <c r="BF465">
        <v>0</v>
      </c>
      <c r="BG465" t="s">
        <v>66</v>
      </c>
      <c r="BH465" t="s">
        <v>66</v>
      </c>
      <c r="BI465">
        <v>23</v>
      </c>
      <c r="BJ465">
        <v>3</v>
      </c>
      <c r="BK465" t="s">
        <v>66</v>
      </c>
      <c r="BL465">
        <v>19</v>
      </c>
      <c r="BM465">
        <v>11</v>
      </c>
      <c r="BN465">
        <v>8</v>
      </c>
      <c r="BO465">
        <f t="shared" si="72"/>
        <v>9.5</v>
      </c>
      <c r="BP465">
        <v>3</v>
      </c>
      <c r="BQ465">
        <v>1</v>
      </c>
      <c r="BS465">
        <v>0</v>
      </c>
      <c r="BT465">
        <f t="shared" si="73"/>
        <v>26.086956521739129</v>
      </c>
      <c r="BU465">
        <f t="shared" si="74"/>
        <v>0</v>
      </c>
      <c r="BV465">
        <f t="shared" si="75"/>
        <v>15.789473684210526</v>
      </c>
      <c r="BW465">
        <f t="shared" si="76"/>
        <v>31.578947368421051</v>
      </c>
    </row>
    <row r="466" spans="1:75" x14ac:dyDescent="0.2">
      <c r="A466" t="s">
        <v>127</v>
      </c>
      <c r="B466" t="s">
        <v>128</v>
      </c>
      <c r="C466" t="s">
        <v>62</v>
      </c>
      <c r="D466" t="s">
        <v>603</v>
      </c>
      <c r="E466" t="s">
        <v>626</v>
      </c>
      <c r="F466" t="s">
        <v>675</v>
      </c>
      <c r="G466">
        <v>3.85</v>
      </c>
      <c r="H466">
        <v>7.5</v>
      </c>
      <c r="I466">
        <v>4.45</v>
      </c>
      <c r="J466">
        <v>0.95</v>
      </c>
      <c r="K466">
        <v>16.75</v>
      </c>
      <c r="L466">
        <v>3.1038961039999999</v>
      </c>
      <c r="M466">
        <v>29</v>
      </c>
      <c r="N466">
        <v>44</v>
      </c>
      <c r="O466">
        <v>15</v>
      </c>
      <c r="P466">
        <v>56</v>
      </c>
      <c r="Q466">
        <v>27</v>
      </c>
      <c r="R466">
        <v>13.5</v>
      </c>
      <c r="S466">
        <v>74.099999999999994</v>
      </c>
      <c r="T466">
        <v>93.103448279999995</v>
      </c>
      <c r="U466">
        <v>27.272727270000001</v>
      </c>
      <c r="V466">
        <v>4</v>
      </c>
      <c r="W466">
        <v>6</v>
      </c>
      <c r="X466">
        <v>7</v>
      </c>
      <c r="Y466">
        <v>3</v>
      </c>
      <c r="Z466">
        <v>75</v>
      </c>
      <c r="AA466" t="s">
        <v>66</v>
      </c>
      <c r="AB466" t="s">
        <v>66</v>
      </c>
      <c r="AC466" t="s">
        <v>66</v>
      </c>
      <c r="AD466" t="s">
        <v>66</v>
      </c>
      <c r="AE466">
        <v>40</v>
      </c>
      <c r="AF466">
        <v>44</v>
      </c>
      <c r="AG466" t="s">
        <v>66</v>
      </c>
      <c r="AH466">
        <v>27</v>
      </c>
      <c r="AI466">
        <v>29</v>
      </c>
      <c r="AJ466" t="s">
        <v>66</v>
      </c>
      <c r="AK466">
        <v>20</v>
      </c>
      <c r="AL466">
        <v>26</v>
      </c>
      <c r="AM466">
        <v>23.5</v>
      </c>
      <c r="AN466">
        <v>27.5</v>
      </c>
      <c r="AO466">
        <v>17.0212766</v>
      </c>
      <c r="AP466">
        <v>10</v>
      </c>
      <c r="AQ466">
        <v>1.7021276599999999</v>
      </c>
      <c r="AR466">
        <v>1.6</v>
      </c>
      <c r="AS466">
        <v>-0.10212766</v>
      </c>
      <c r="AT466">
        <v>0</v>
      </c>
      <c r="AU466" t="s">
        <v>66</v>
      </c>
      <c r="AV466">
        <v>0</v>
      </c>
      <c r="AW466">
        <v>0</v>
      </c>
      <c r="AX466">
        <v>0</v>
      </c>
      <c r="AY466">
        <v>1</v>
      </c>
      <c r="AZ466">
        <v>1</v>
      </c>
      <c r="BA466">
        <v>1</v>
      </c>
      <c r="BB466" t="s">
        <v>66</v>
      </c>
      <c r="BC466" t="s">
        <v>66</v>
      </c>
      <c r="BD466" t="s">
        <v>66</v>
      </c>
      <c r="BE466" t="s">
        <v>66</v>
      </c>
      <c r="BF466">
        <v>0</v>
      </c>
      <c r="BG466" t="s">
        <v>66</v>
      </c>
      <c r="BH466" t="s">
        <v>66</v>
      </c>
      <c r="BI466">
        <v>65</v>
      </c>
      <c r="BJ466">
        <v>9.5</v>
      </c>
      <c r="BK466" t="s">
        <v>66</v>
      </c>
      <c r="BL466">
        <v>62</v>
      </c>
      <c r="BM466">
        <v>39</v>
      </c>
      <c r="BN466">
        <v>24</v>
      </c>
      <c r="BO466">
        <f t="shared" si="72"/>
        <v>31.5</v>
      </c>
      <c r="BP466">
        <v>4</v>
      </c>
      <c r="BQ466">
        <v>1</v>
      </c>
      <c r="BS466">
        <v>0</v>
      </c>
      <c r="BT466">
        <f t="shared" si="73"/>
        <v>55.384615384615387</v>
      </c>
      <c r="BU466">
        <f t="shared" si="74"/>
        <v>57.894736842105267</v>
      </c>
      <c r="BV466">
        <f t="shared" si="75"/>
        <v>35.483870967741936</v>
      </c>
      <c r="BW466">
        <f t="shared" si="76"/>
        <v>25.396825396825395</v>
      </c>
    </row>
    <row r="467" spans="1:75" x14ac:dyDescent="0.2">
      <c r="A467" t="s">
        <v>127</v>
      </c>
      <c r="B467" t="s">
        <v>128</v>
      </c>
      <c r="C467" t="s">
        <v>62</v>
      </c>
      <c r="D467" t="s">
        <v>603</v>
      </c>
      <c r="E467" t="s">
        <v>628</v>
      </c>
      <c r="F467" t="s">
        <v>676</v>
      </c>
      <c r="G467">
        <v>3.85</v>
      </c>
      <c r="H467">
        <v>7.5</v>
      </c>
      <c r="I467">
        <v>4.45</v>
      </c>
      <c r="J467">
        <v>0.95</v>
      </c>
      <c r="K467">
        <v>16.75</v>
      </c>
      <c r="L467">
        <v>3.1038961039999999</v>
      </c>
      <c r="M467">
        <v>16</v>
      </c>
      <c r="N467">
        <v>22</v>
      </c>
      <c r="O467">
        <v>6</v>
      </c>
      <c r="P467">
        <v>25</v>
      </c>
      <c r="Q467">
        <v>9</v>
      </c>
      <c r="R467">
        <v>4.5</v>
      </c>
      <c r="S467">
        <v>56.1</v>
      </c>
      <c r="T467">
        <v>56.25</v>
      </c>
      <c r="U467">
        <v>13.636363640000001</v>
      </c>
      <c r="V467">
        <v>3</v>
      </c>
      <c r="W467">
        <v>4</v>
      </c>
      <c r="X467">
        <v>5</v>
      </c>
      <c r="Y467">
        <v>2</v>
      </c>
      <c r="Z467">
        <v>66.666666669999998</v>
      </c>
      <c r="AA467" t="s">
        <v>66</v>
      </c>
      <c r="AB467" t="s">
        <v>66</v>
      </c>
      <c r="AC467" t="s">
        <v>66</v>
      </c>
      <c r="AD467" t="s">
        <v>66</v>
      </c>
      <c r="AE467">
        <v>19</v>
      </c>
      <c r="AF467">
        <v>19</v>
      </c>
      <c r="AG467" t="s">
        <v>66</v>
      </c>
      <c r="AH467">
        <v>19</v>
      </c>
      <c r="AI467">
        <v>18</v>
      </c>
      <c r="AJ467" t="s">
        <v>66</v>
      </c>
      <c r="AK467">
        <v>12</v>
      </c>
      <c r="AL467">
        <v>16</v>
      </c>
      <c r="AM467">
        <v>15.5</v>
      </c>
      <c r="AN467">
        <v>17</v>
      </c>
      <c r="AO467">
        <v>9.6774193549999996</v>
      </c>
      <c r="AP467">
        <v>0</v>
      </c>
      <c r="AQ467">
        <v>1.225806452</v>
      </c>
      <c r="AR467">
        <v>1.1176470590000001</v>
      </c>
      <c r="AS467">
        <v>-0.10815939300000001</v>
      </c>
      <c r="AT467">
        <v>0</v>
      </c>
      <c r="AU467" t="s">
        <v>66</v>
      </c>
      <c r="AV467">
        <v>0</v>
      </c>
      <c r="AW467">
        <v>0</v>
      </c>
      <c r="AX467">
        <v>0</v>
      </c>
      <c r="AY467">
        <v>1</v>
      </c>
      <c r="AZ467">
        <v>1</v>
      </c>
      <c r="BA467">
        <v>1</v>
      </c>
      <c r="BB467" t="s">
        <v>66</v>
      </c>
      <c r="BC467" t="s">
        <v>66</v>
      </c>
      <c r="BD467" t="s">
        <v>66</v>
      </c>
      <c r="BE467" t="s">
        <v>66</v>
      </c>
      <c r="BF467">
        <v>0</v>
      </c>
      <c r="BG467" t="s">
        <v>66</v>
      </c>
      <c r="BH467" t="s">
        <v>66</v>
      </c>
      <c r="BI467">
        <v>28</v>
      </c>
      <c r="BJ467">
        <v>4.3</v>
      </c>
      <c r="BK467" t="s">
        <v>66</v>
      </c>
      <c r="BL467">
        <v>23</v>
      </c>
      <c r="BM467">
        <v>24</v>
      </c>
      <c r="BN467">
        <v>18</v>
      </c>
      <c r="BO467">
        <f t="shared" si="72"/>
        <v>21</v>
      </c>
      <c r="BP467">
        <v>4</v>
      </c>
      <c r="BQ467">
        <v>1</v>
      </c>
      <c r="BS467">
        <v>0</v>
      </c>
      <c r="BT467">
        <f t="shared" si="73"/>
        <v>42.857142857142854</v>
      </c>
      <c r="BU467">
        <f t="shared" si="74"/>
        <v>30.232558139534881</v>
      </c>
      <c r="BV467">
        <f t="shared" si="75"/>
        <v>17.391304347826086</v>
      </c>
      <c r="BW467">
        <f t="shared" si="76"/>
        <v>26.190476190476193</v>
      </c>
    </row>
    <row r="468" spans="1:75" x14ac:dyDescent="0.2">
      <c r="A468" t="s">
        <v>127</v>
      </c>
      <c r="B468" t="s">
        <v>128</v>
      </c>
      <c r="C468" t="s">
        <v>62</v>
      </c>
      <c r="D468" t="s">
        <v>603</v>
      </c>
      <c r="E468" t="s">
        <v>630</v>
      </c>
      <c r="F468" t="s">
        <v>677</v>
      </c>
      <c r="G468">
        <v>3.85</v>
      </c>
      <c r="H468">
        <v>7.5</v>
      </c>
      <c r="I468">
        <v>4.45</v>
      </c>
      <c r="J468">
        <v>0.95</v>
      </c>
      <c r="K468">
        <v>16.75</v>
      </c>
      <c r="L468">
        <v>3.1038961039999999</v>
      </c>
      <c r="M468">
        <v>16</v>
      </c>
      <c r="N468">
        <v>23</v>
      </c>
      <c r="O468">
        <v>7</v>
      </c>
      <c r="P468">
        <v>35</v>
      </c>
      <c r="Q468">
        <v>19</v>
      </c>
      <c r="R468">
        <v>9.5</v>
      </c>
      <c r="S468">
        <v>66.099999999999994</v>
      </c>
      <c r="T468">
        <v>118.75</v>
      </c>
      <c r="U468">
        <v>52.173913040000002</v>
      </c>
      <c r="V468">
        <v>3</v>
      </c>
      <c r="W468">
        <v>4</v>
      </c>
      <c r="X468">
        <v>5</v>
      </c>
      <c r="Y468">
        <v>2</v>
      </c>
      <c r="Z468">
        <v>66.666666669999998</v>
      </c>
      <c r="AA468" t="s">
        <v>66</v>
      </c>
      <c r="AB468" t="s">
        <v>66</v>
      </c>
      <c r="AC468" t="s">
        <v>66</v>
      </c>
      <c r="AD468" t="s">
        <v>66</v>
      </c>
      <c r="AE468">
        <v>20</v>
      </c>
      <c r="AF468">
        <v>29</v>
      </c>
      <c r="AG468" t="s">
        <v>66</v>
      </c>
      <c r="AH468">
        <v>13</v>
      </c>
      <c r="AI468">
        <v>24</v>
      </c>
      <c r="AJ468" t="s">
        <v>66</v>
      </c>
      <c r="AK468">
        <v>12</v>
      </c>
      <c r="AL468">
        <v>18</v>
      </c>
      <c r="AM468">
        <v>12.5</v>
      </c>
      <c r="AN468">
        <v>21</v>
      </c>
      <c r="AO468">
        <v>68</v>
      </c>
      <c r="AP468">
        <v>45</v>
      </c>
      <c r="AQ468">
        <v>1.6</v>
      </c>
      <c r="AR468">
        <v>1.380952381</v>
      </c>
      <c r="AS468">
        <v>-0.219047619</v>
      </c>
      <c r="AT468">
        <v>0</v>
      </c>
      <c r="AU468" t="s">
        <v>66</v>
      </c>
      <c r="AV468">
        <v>0</v>
      </c>
      <c r="AW468">
        <v>0</v>
      </c>
      <c r="AX468">
        <v>0</v>
      </c>
      <c r="AY468">
        <v>1</v>
      </c>
      <c r="AZ468">
        <v>1</v>
      </c>
      <c r="BA468">
        <v>1</v>
      </c>
      <c r="BB468" t="s">
        <v>66</v>
      </c>
      <c r="BC468" t="s">
        <v>66</v>
      </c>
      <c r="BD468" t="s">
        <v>66</v>
      </c>
      <c r="BE468" t="s">
        <v>66</v>
      </c>
      <c r="BF468">
        <v>0</v>
      </c>
      <c r="BG468" t="s">
        <v>66</v>
      </c>
      <c r="BH468" t="s">
        <v>66</v>
      </c>
      <c r="BI468">
        <v>29</v>
      </c>
      <c r="BJ468">
        <v>3</v>
      </c>
      <c r="BK468" t="s">
        <v>66</v>
      </c>
      <c r="BL468">
        <v>23</v>
      </c>
      <c r="BM468">
        <v>25</v>
      </c>
      <c r="BN468">
        <v>16</v>
      </c>
      <c r="BO468">
        <f t="shared" si="72"/>
        <v>20.5</v>
      </c>
      <c r="BP468">
        <v>4</v>
      </c>
      <c r="BQ468">
        <v>1</v>
      </c>
      <c r="BS468">
        <v>0</v>
      </c>
      <c r="BT468">
        <f t="shared" si="73"/>
        <v>44.827586206896555</v>
      </c>
      <c r="BU468">
        <f t="shared" si="74"/>
        <v>0</v>
      </c>
      <c r="BV468">
        <f t="shared" si="75"/>
        <v>13.043478260869565</v>
      </c>
      <c r="BW468">
        <f t="shared" si="76"/>
        <v>39.024390243902438</v>
      </c>
    </row>
    <row r="469" spans="1:75" x14ac:dyDescent="0.2">
      <c r="A469" t="s">
        <v>127</v>
      </c>
      <c r="B469" t="s">
        <v>128</v>
      </c>
      <c r="C469" t="s">
        <v>62</v>
      </c>
      <c r="D469" t="s">
        <v>603</v>
      </c>
      <c r="E469" t="s">
        <v>632</v>
      </c>
      <c r="F469" t="s">
        <v>678</v>
      </c>
      <c r="G469">
        <v>3.85</v>
      </c>
      <c r="H469">
        <v>7.5</v>
      </c>
      <c r="I469">
        <v>4.45</v>
      </c>
      <c r="J469">
        <v>0.95</v>
      </c>
      <c r="K469">
        <v>16.75</v>
      </c>
      <c r="L469">
        <v>3.1038961039999999</v>
      </c>
      <c r="M469">
        <v>15</v>
      </c>
      <c r="N469">
        <v>22</v>
      </c>
      <c r="O469">
        <v>7</v>
      </c>
      <c r="P469">
        <v>23</v>
      </c>
      <c r="Q469">
        <v>8</v>
      </c>
      <c r="R469">
        <v>4</v>
      </c>
      <c r="S469">
        <v>55.1</v>
      </c>
      <c r="T469">
        <v>53.333333330000002</v>
      </c>
      <c r="U469">
        <v>4.5454545450000001</v>
      </c>
      <c r="V469">
        <v>4</v>
      </c>
      <c r="W469">
        <v>2</v>
      </c>
      <c r="X469">
        <v>2</v>
      </c>
      <c r="Y469">
        <v>-2</v>
      </c>
      <c r="Z469">
        <v>-50</v>
      </c>
      <c r="AA469" t="s">
        <v>66</v>
      </c>
      <c r="AB469" t="s">
        <v>66</v>
      </c>
      <c r="AC469" t="s">
        <v>66</v>
      </c>
      <c r="AD469" t="s">
        <v>66</v>
      </c>
      <c r="AE469">
        <v>18</v>
      </c>
      <c r="AF469">
        <v>13</v>
      </c>
      <c r="AG469" t="s">
        <v>66</v>
      </c>
      <c r="AH469">
        <v>8</v>
      </c>
      <c r="AI469">
        <v>8</v>
      </c>
      <c r="AJ469" t="s">
        <v>66</v>
      </c>
      <c r="AK469">
        <v>7</v>
      </c>
      <c r="AL469">
        <v>7</v>
      </c>
      <c r="AM469">
        <v>7.5</v>
      </c>
      <c r="AN469">
        <v>7.5</v>
      </c>
      <c r="AO469">
        <v>0</v>
      </c>
      <c r="AP469">
        <v>-27.777777780000001</v>
      </c>
      <c r="AQ469">
        <v>2.4</v>
      </c>
      <c r="AR469">
        <v>1.733333333</v>
      </c>
      <c r="AS469">
        <v>-0.66666666699999999</v>
      </c>
      <c r="AT469">
        <v>0</v>
      </c>
      <c r="AU469" t="s">
        <v>66</v>
      </c>
      <c r="AV469">
        <v>0</v>
      </c>
      <c r="AW469">
        <v>0</v>
      </c>
      <c r="AX469">
        <v>0</v>
      </c>
      <c r="AY469">
        <v>1</v>
      </c>
      <c r="AZ469">
        <v>1</v>
      </c>
      <c r="BA469">
        <v>1</v>
      </c>
      <c r="BB469" t="s">
        <v>66</v>
      </c>
      <c r="BC469" t="s">
        <v>66</v>
      </c>
      <c r="BD469" t="s">
        <v>66</v>
      </c>
      <c r="BE469" t="s">
        <v>66</v>
      </c>
      <c r="BF469">
        <v>0</v>
      </c>
      <c r="BG469" t="s">
        <v>66</v>
      </c>
      <c r="BH469" t="s">
        <v>66</v>
      </c>
      <c r="BI469">
        <v>29</v>
      </c>
      <c r="BJ469">
        <v>2.6</v>
      </c>
      <c r="BK469" t="s">
        <v>66</v>
      </c>
      <c r="BL469">
        <f>29-17</f>
        <v>12</v>
      </c>
      <c r="BM469">
        <v>10</v>
      </c>
      <c r="BN469">
        <v>6</v>
      </c>
      <c r="BO469">
        <f t="shared" si="72"/>
        <v>8</v>
      </c>
      <c r="BP469">
        <v>4</v>
      </c>
      <c r="BQ469">
        <v>1</v>
      </c>
      <c r="BS469">
        <v>0</v>
      </c>
      <c r="BT469">
        <f t="shared" si="73"/>
        <v>48.275862068965516</v>
      </c>
      <c r="BU469">
        <f t="shared" si="74"/>
        <v>-53.846153846153847</v>
      </c>
      <c r="BV469">
        <f t="shared" si="75"/>
        <v>-50</v>
      </c>
      <c r="BW469">
        <f t="shared" si="76"/>
        <v>6.25</v>
      </c>
    </row>
    <row r="470" spans="1:75" x14ac:dyDescent="0.2">
      <c r="A470" t="s">
        <v>127</v>
      </c>
      <c r="B470" t="s">
        <v>128</v>
      </c>
      <c r="C470" t="s">
        <v>62</v>
      </c>
      <c r="D470" t="s">
        <v>603</v>
      </c>
      <c r="E470" t="s">
        <v>634</v>
      </c>
      <c r="F470" t="s">
        <v>679</v>
      </c>
      <c r="G470">
        <v>3.85</v>
      </c>
      <c r="H470">
        <v>7.5</v>
      </c>
      <c r="I470">
        <v>4.45</v>
      </c>
      <c r="J470">
        <v>0.95</v>
      </c>
      <c r="K470">
        <v>16.75</v>
      </c>
      <c r="L470">
        <v>3.1038961039999999</v>
      </c>
      <c r="M470">
        <v>53</v>
      </c>
      <c r="N470">
        <v>70</v>
      </c>
      <c r="O470">
        <v>17</v>
      </c>
      <c r="P470">
        <v>76</v>
      </c>
      <c r="Q470">
        <v>23</v>
      </c>
      <c r="R470">
        <v>11.5</v>
      </c>
      <c r="S470">
        <v>70.099999999999994</v>
      </c>
      <c r="T470">
        <v>43.396226419999998</v>
      </c>
      <c r="U470">
        <v>8.5714285710000002</v>
      </c>
      <c r="V470">
        <v>6</v>
      </c>
      <c r="W470">
        <v>11</v>
      </c>
      <c r="X470">
        <v>14</v>
      </c>
      <c r="Y470">
        <v>8</v>
      </c>
      <c r="Z470">
        <v>133.33333329999999</v>
      </c>
      <c r="AA470" t="s">
        <v>66</v>
      </c>
      <c r="AB470" t="s">
        <v>66</v>
      </c>
      <c r="AC470" t="s">
        <v>66</v>
      </c>
      <c r="AD470" t="s">
        <v>66</v>
      </c>
      <c r="AE470">
        <v>67</v>
      </c>
      <c r="AF470">
        <v>71</v>
      </c>
      <c r="AG470" t="s">
        <v>66</v>
      </c>
      <c r="AH470">
        <v>49</v>
      </c>
      <c r="AI470">
        <v>52</v>
      </c>
      <c r="AJ470" t="s">
        <v>66</v>
      </c>
      <c r="AK470">
        <v>35</v>
      </c>
      <c r="AL470">
        <v>38</v>
      </c>
      <c r="AM470">
        <v>42</v>
      </c>
      <c r="AN470">
        <v>45</v>
      </c>
      <c r="AO470">
        <v>7.1428571429999996</v>
      </c>
      <c r="AP470">
        <v>5.9701492539999998</v>
      </c>
      <c r="AQ470">
        <v>1.595238095</v>
      </c>
      <c r="AR470">
        <v>1.577777778</v>
      </c>
      <c r="AS470">
        <v>-1.7460317E-2</v>
      </c>
      <c r="AT470">
        <v>0</v>
      </c>
      <c r="AU470" t="s">
        <v>66</v>
      </c>
      <c r="AV470">
        <v>0</v>
      </c>
      <c r="AW470">
        <v>0</v>
      </c>
      <c r="AX470">
        <v>0</v>
      </c>
      <c r="AY470">
        <v>1</v>
      </c>
      <c r="AZ470">
        <v>1</v>
      </c>
      <c r="BA470">
        <v>1</v>
      </c>
      <c r="BB470" t="s">
        <v>66</v>
      </c>
      <c r="BC470" t="s">
        <v>66</v>
      </c>
      <c r="BD470" t="s">
        <v>66</v>
      </c>
      <c r="BE470" t="s">
        <v>66</v>
      </c>
      <c r="BF470">
        <v>0</v>
      </c>
      <c r="BG470" t="s">
        <v>66</v>
      </c>
      <c r="BH470" t="s">
        <v>66</v>
      </c>
      <c r="BI470">
        <v>91</v>
      </c>
      <c r="BJ470">
        <v>12.9</v>
      </c>
      <c r="BK470" t="s">
        <v>66</v>
      </c>
      <c r="BL470">
        <v>83</v>
      </c>
      <c r="BM470">
        <v>74</v>
      </c>
      <c r="BN470">
        <v>50</v>
      </c>
      <c r="BO470">
        <f t="shared" si="72"/>
        <v>62</v>
      </c>
      <c r="BP470">
        <v>4</v>
      </c>
      <c r="BQ470">
        <v>1</v>
      </c>
      <c r="BS470">
        <v>0</v>
      </c>
      <c r="BT470">
        <f t="shared" si="73"/>
        <v>41.758241758241759</v>
      </c>
      <c r="BU470">
        <f t="shared" si="74"/>
        <v>53.488372093023258</v>
      </c>
      <c r="BV470">
        <f t="shared" si="75"/>
        <v>19.277108433734941</v>
      </c>
      <c r="BW470">
        <f t="shared" si="76"/>
        <v>32.258064516129032</v>
      </c>
    </row>
    <row r="471" spans="1:75" x14ac:dyDescent="0.2">
      <c r="A471" t="s">
        <v>127</v>
      </c>
      <c r="B471" t="s">
        <v>128</v>
      </c>
      <c r="C471" t="s">
        <v>62</v>
      </c>
      <c r="D471" t="s">
        <v>603</v>
      </c>
      <c r="E471" t="s">
        <v>636</v>
      </c>
      <c r="F471" t="s">
        <v>680</v>
      </c>
      <c r="G471">
        <v>3.85</v>
      </c>
      <c r="H471">
        <v>7.5</v>
      </c>
      <c r="I471">
        <v>4.45</v>
      </c>
      <c r="J471">
        <v>0.95</v>
      </c>
      <c r="K471">
        <v>16.75</v>
      </c>
      <c r="L471">
        <v>3.1038961039999999</v>
      </c>
      <c r="M471">
        <v>22</v>
      </c>
      <c r="N471">
        <v>29</v>
      </c>
      <c r="O471">
        <v>7</v>
      </c>
      <c r="P471">
        <v>35</v>
      </c>
      <c r="Q471">
        <v>13</v>
      </c>
      <c r="R471">
        <v>6.5</v>
      </c>
      <c r="S471">
        <v>60.1</v>
      </c>
      <c r="T471">
        <v>59.090909089999997</v>
      </c>
      <c r="U471">
        <v>20.689655170000002</v>
      </c>
      <c r="V471">
        <v>2</v>
      </c>
      <c r="W471">
        <v>6</v>
      </c>
      <c r="X471">
        <v>7</v>
      </c>
      <c r="Y471">
        <v>5</v>
      </c>
      <c r="Z471">
        <v>250</v>
      </c>
      <c r="AA471" t="s">
        <v>66</v>
      </c>
      <c r="AB471" t="s">
        <v>66</v>
      </c>
      <c r="AC471" t="s">
        <v>66</v>
      </c>
      <c r="AD471" t="s">
        <v>66</v>
      </c>
      <c r="AE471">
        <v>25</v>
      </c>
      <c r="AF471">
        <v>30</v>
      </c>
      <c r="AG471" t="s">
        <v>66</v>
      </c>
      <c r="AH471">
        <v>15</v>
      </c>
      <c r="AI471">
        <v>21</v>
      </c>
      <c r="AJ471" t="s">
        <v>66</v>
      </c>
      <c r="AK471">
        <v>12</v>
      </c>
      <c r="AL471">
        <v>15</v>
      </c>
      <c r="AM471">
        <v>13.5</v>
      </c>
      <c r="AN471">
        <v>18</v>
      </c>
      <c r="AO471">
        <v>33.333333330000002</v>
      </c>
      <c r="AP471">
        <v>20</v>
      </c>
      <c r="AQ471">
        <v>1.851851852</v>
      </c>
      <c r="AR471">
        <v>1.6666666670000001</v>
      </c>
      <c r="AS471">
        <v>-0.185185185</v>
      </c>
      <c r="AT471">
        <v>0</v>
      </c>
      <c r="AU471" t="s">
        <v>66</v>
      </c>
      <c r="AV471">
        <v>1</v>
      </c>
      <c r="AW471">
        <v>0</v>
      </c>
      <c r="AX471">
        <v>0</v>
      </c>
      <c r="AY471">
        <v>1</v>
      </c>
      <c r="AZ471">
        <v>1</v>
      </c>
      <c r="BA471">
        <v>1</v>
      </c>
      <c r="BB471" t="s">
        <v>66</v>
      </c>
      <c r="BC471" t="s">
        <v>66</v>
      </c>
      <c r="BD471" t="s">
        <v>66</v>
      </c>
      <c r="BE471" t="s">
        <v>66</v>
      </c>
      <c r="BF471">
        <v>0</v>
      </c>
      <c r="BG471" t="s">
        <v>66</v>
      </c>
      <c r="BH471" t="s">
        <v>66</v>
      </c>
      <c r="BI471">
        <v>45</v>
      </c>
      <c r="BJ471">
        <v>7.6</v>
      </c>
      <c r="BK471" t="s">
        <v>66</v>
      </c>
      <c r="BL471">
        <v>37</v>
      </c>
      <c r="BM471">
        <v>27</v>
      </c>
      <c r="BN471">
        <v>17</v>
      </c>
      <c r="BO471">
        <f t="shared" si="72"/>
        <v>22</v>
      </c>
      <c r="BP471">
        <v>4</v>
      </c>
      <c r="BQ471">
        <v>1</v>
      </c>
      <c r="BS471">
        <v>0</v>
      </c>
      <c r="BT471">
        <f t="shared" si="73"/>
        <v>51.111111111111107</v>
      </c>
      <c r="BU471">
        <f t="shared" si="74"/>
        <v>73.68421052631578</v>
      </c>
      <c r="BV471">
        <f t="shared" si="75"/>
        <v>32.432432432432435</v>
      </c>
      <c r="BW471">
        <f t="shared" si="76"/>
        <v>38.636363636363633</v>
      </c>
    </row>
    <row r="472" spans="1:75" x14ac:dyDescent="0.2">
      <c r="A472" t="s">
        <v>127</v>
      </c>
      <c r="B472" t="s">
        <v>128</v>
      </c>
      <c r="C472" t="s">
        <v>62</v>
      </c>
      <c r="D472" t="s">
        <v>603</v>
      </c>
      <c r="E472" t="s">
        <v>638</v>
      </c>
      <c r="F472" t="s">
        <v>681</v>
      </c>
      <c r="G472">
        <v>3.85</v>
      </c>
      <c r="H472">
        <v>7.5</v>
      </c>
      <c r="I472">
        <v>4.45</v>
      </c>
      <c r="J472">
        <v>0.95</v>
      </c>
      <c r="K472">
        <v>16.75</v>
      </c>
      <c r="L472">
        <v>3.1038961039999999</v>
      </c>
      <c r="M472">
        <v>7</v>
      </c>
      <c r="N472">
        <v>14</v>
      </c>
      <c r="O472">
        <v>7</v>
      </c>
      <c r="P472">
        <v>16</v>
      </c>
      <c r="Q472">
        <v>9</v>
      </c>
      <c r="R472">
        <v>4.5</v>
      </c>
      <c r="S472">
        <v>56.1</v>
      </c>
      <c r="T472">
        <v>128.57142859999999</v>
      </c>
      <c r="U472">
        <v>14.28571429</v>
      </c>
      <c r="V472">
        <v>1</v>
      </c>
      <c r="W472">
        <v>1</v>
      </c>
      <c r="X472">
        <v>2</v>
      </c>
      <c r="Y472">
        <v>1</v>
      </c>
      <c r="Z472">
        <v>100</v>
      </c>
      <c r="AA472" t="s">
        <v>66</v>
      </c>
      <c r="AB472" t="s">
        <v>66</v>
      </c>
      <c r="AC472" t="s">
        <v>66</v>
      </c>
      <c r="AD472" t="s">
        <v>66</v>
      </c>
      <c r="AE472">
        <v>11</v>
      </c>
      <c r="AF472">
        <v>12</v>
      </c>
      <c r="AG472" t="s">
        <v>66</v>
      </c>
      <c r="AH472">
        <v>4</v>
      </c>
      <c r="AI472">
        <v>4</v>
      </c>
      <c r="AJ472" t="s">
        <v>66</v>
      </c>
      <c r="AK472">
        <v>3</v>
      </c>
      <c r="AL472">
        <v>3</v>
      </c>
      <c r="AM472">
        <v>3.5</v>
      </c>
      <c r="AN472">
        <v>3.5</v>
      </c>
      <c r="AO472">
        <v>0</v>
      </c>
      <c r="AP472">
        <v>9.0909090910000003</v>
      </c>
      <c r="AQ472">
        <v>3.1428571430000001</v>
      </c>
      <c r="AR472">
        <v>3.4285714289999998</v>
      </c>
      <c r="AS472">
        <v>0.28571428599999998</v>
      </c>
      <c r="AT472">
        <v>0</v>
      </c>
      <c r="AU472" t="s">
        <v>66</v>
      </c>
      <c r="AV472">
        <v>0</v>
      </c>
      <c r="AW472">
        <v>0</v>
      </c>
      <c r="AX472">
        <v>0</v>
      </c>
      <c r="AY472">
        <v>1</v>
      </c>
      <c r="AZ472">
        <v>1</v>
      </c>
      <c r="BA472">
        <v>1</v>
      </c>
      <c r="BB472" t="s">
        <v>66</v>
      </c>
      <c r="BC472" t="s">
        <v>66</v>
      </c>
      <c r="BD472" t="s">
        <v>66</v>
      </c>
      <c r="BE472" t="s">
        <v>66</v>
      </c>
      <c r="BF472">
        <v>0</v>
      </c>
      <c r="BG472" t="s">
        <v>66</v>
      </c>
      <c r="BH472" t="s">
        <v>66</v>
      </c>
      <c r="BI472">
        <v>21</v>
      </c>
      <c r="BJ472">
        <v>3.2</v>
      </c>
      <c r="BK472" t="s">
        <v>66</v>
      </c>
      <c r="BL472">
        <v>16</v>
      </c>
      <c r="BM472">
        <v>9</v>
      </c>
      <c r="BN472">
        <v>7</v>
      </c>
      <c r="BO472">
        <f t="shared" si="72"/>
        <v>8</v>
      </c>
      <c r="BP472">
        <v>4</v>
      </c>
      <c r="BQ472">
        <v>1</v>
      </c>
      <c r="BS472">
        <v>0</v>
      </c>
      <c r="BT472">
        <f t="shared" si="73"/>
        <v>66.666666666666657</v>
      </c>
      <c r="BU472">
        <f t="shared" si="74"/>
        <v>68.75</v>
      </c>
      <c r="BV472">
        <f t="shared" si="75"/>
        <v>31.25</v>
      </c>
      <c r="BW472">
        <f t="shared" si="76"/>
        <v>56.25</v>
      </c>
    </row>
    <row r="473" spans="1:75" x14ac:dyDescent="0.2">
      <c r="A473" t="s">
        <v>127</v>
      </c>
      <c r="B473" t="s">
        <v>128</v>
      </c>
      <c r="C473" t="s">
        <v>62</v>
      </c>
      <c r="D473" t="s">
        <v>603</v>
      </c>
      <c r="E473" t="s">
        <v>640</v>
      </c>
      <c r="F473" t="s">
        <v>682</v>
      </c>
      <c r="G473">
        <v>3.85</v>
      </c>
      <c r="H473">
        <v>7.5</v>
      </c>
      <c r="I473">
        <v>4.45</v>
      </c>
      <c r="J473">
        <v>0.95</v>
      </c>
      <c r="K473">
        <v>16.75</v>
      </c>
      <c r="L473">
        <v>3.1038961039999999</v>
      </c>
      <c r="M473">
        <v>25</v>
      </c>
      <c r="N473">
        <v>35</v>
      </c>
      <c r="O473">
        <v>10</v>
      </c>
      <c r="P473">
        <v>44</v>
      </c>
      <c r="Q473">
        <v>19</v>
      </c>
      <c r="R473">
        <v>9.5</v>
      </c>
      <c r="S473">
        <v>66.099999999999994</v>
      </c>
      <c r="T473">
        <v>76</v>
      </c>
      <c r="U473">
        <v>25.714285709999999</v>
      </c>
      <c r="V473">
        <v>3</v>
      </c>
      <c r="W473">
        <v>6</v>
      </c>
      <c r="X473">
        <v>7</v>
      </c>
      <c r="Y473">
        <v>4</v>
      </c>
      <c r="Z473">
        <v>133.33333329999999</v>
      </c>
      <c r="AA473" t="s">
        <v>66</v>
      </c>
      <c r="AB473" t="s">
        <v>66</v>
      </c>
      <c r="AC473" t="s">
        <v>66</v>
      </c>
      <c r="AD473" t="s">
        <v>66</v>
      </c>
      <c r="AE473">
        <v>33</v>
      </c>
      <c r="AF473">
        <v>40</v>
      </c>
      <c r="AG473" t="s">
        <v>66</v>
      </c>
      <c r="AH473">
        <v>23</v>
      </c>
      <c r="AI473">
        <v>27</v>
      </c>
      <c r="AJ473" t="s">
        <v>66</v>
      </c>
      <c r="AK473">
        <v>19</v>
      </c>
      <c r="AL473">
        <v>25</v>
      </c>
      <c r="AM473">
        <v>21</v>
      </c>
      <c r="AN473">
        <v>26</v>
      </c>
      <c r="AO473">
        <v>23.809523810000002</v>
      </c>
      <c r="AP473">
        <v>21.212121209999999</v>
      </c>
      <c r="AQ473">
        <v>1.571428571</v>
      </c>
      <c r="AR473">
        <v>1.538461538</v>
      </c>
      <c r="AS473">
        <v>-3.2967033E-2</v>
      </c>
      <c r="AT473">
        <v>0</v>
      </c>
      <c r="AU473" t="s">
        <v>66</v>
      </c>
      <c r="AV473">
        <v>0</v>
      </c>
      <c r="AW473">
        <v>0</v>
      </c>
      <c r="AX473">
        <v>0</v>
      </c>
      <c r="AY473">
        <v>1</v>
      </c>
      <c r="AZ473">
        <v>1</v>
      </c>
      <c r="BA473">
        <v>1</v>
      </c>
      <c r="BB473" t="s">
        <v>66</v>
      </c>
      <c r="BC473" t="s">
        <v>66</v>
      </c>
      <c r="BD473" t="s">
        <v>66</v>
      </c>
      <c r="BE473" t="s">
        <v>66</v>
      </c>
      <c r="BF473">
        <v>0</v>
      </c>
      <c r="BG473" t="s">
        <v>66</v>
      </c>
      <c r="BH473" t="s">
        <v>66</v>
      </c>
      <c r="BI473">
        <v>56</v>
      </c>
      <c r="BJ473">
        <v>8.6999999999999993</v>
      </c>
      <c r="BK473" t="s">
        <v>66</v>
      </c>
      <c r="BL473">
        <v>52</v>
      </c>
      <c r="BM473">
        <v>34</v>
      </c>
      <c r="BN473">
        <v>21</v>
      </c>
      <c r="BO473">
        <f t="shared" si="72"/>
        <v>27.5</v>
      </c>
      <c r="BP473">
        <v>4</v>
      </c>
      <c r="BQ473">
        <v>1</v>
      </c>
      <c r="BS473">
        <v>0</v>
      </c>
      <c r="BT473">
        <f t="shared" si="73"/>
        <v>55.357142857142861</v>
      </c>
      <c r="BU473">
        <f t="shared" si="74"/>
        <v>65.517241379310349</v>
      </c>
      <c r="BV473">
        <f t="shared" si="75"/>
        <v>36.538461538461533</v>
      </c>
      <c r="BW473">
        <f t="shared" si="76"/>
        <v>23.636363636363637</v>
      </c>
    </row>
    <row r="474" spans="1:75" x14ac:dyDescent="0.2">
      <c r="A474" t="s">
        <v>127</v>
      </c>
      <c r="B474" t="s">
        <v>128</v>
      </c>
      <c r="C474" t="s">
        <v>62</v>
      </c>
      <c r="D474" t="s">
        <v>603</v>
      </c>
      <c r="E474" t="s">
        <v>642</v>
      </c>
      <c r="F474" t="s">
        <v>683</v>
      </c>
      <c r="G474">
        <v>3.85</v>
      </c>
      <c r="H474">
        <v>7.5</v>
      </c>
      <c r="I474">
        <v>4.45</v>
      </c>
      <c r="J474">
        <v>0.95</v>
      </c>
      <c r="K474">
        <v>16.75</v>
      </c>
      <c r="L474">
        <v>3.1038961039999999</v>
      </c>
      <c r="M474">
        <v>20</v>
      </c>
      <c r="N474">
        <v>29</v>
      </c>
      <c r="O474">
        <v>9</v>
      </c>
      <c r="P474">
        <v>34</v>
      </c>
      <c r="Q474">
        <v>14</v>
      </c>
      <c r="R474">
        <v>7</v>
      </c>
      <c r="S474">
        <v>61.1</v>
      </c>
      <c r="T474">
        <v>70</v>
      </c>
      <c r="U474">
        <v>17.241379309999999</v>
      </c>
      <c r="V474">
        <v>3</v>
      </c>
      <c r="W474">
        <v>5</v>
      </c>
      <c r="X474">
        <v>6</v>
      </c>
      <c r="Y474">
        <v>3</v>
      </c>
      <c r="Z474">
        <v>100</v>
      </c>
      <c r="AA474" t="s">
        <v>66</v>
      </c>
      <c r="AB474" t="s">
        <v>66</v>
      </c>
      <c r="AC474" t="s">
        <v>66</v>
      </c>
      <c r="AD474" t="s">
        <v>66</v>
      </c>
      <c r="AE474">
        <v>25</v>
      </c>
      <c r="AF474">
        <v>27</v>
      </c>
      <c r="AG474" t="s">
        <v>66</v>
      </c>
      <c r="AH474">
        <v>17</v>
      </c>
      <c r="AI474">
        <v>22</v>
      </c>
      <c r="AJ474" t="s">
        <v>66</v>
      </c>
      <c r="AK474">
        <v>15</v>
      </c>
      <c r="AL474">
        <v>21</v>
      </c>
      <c r="AM474">
        <v>16</v>
      </c>
      <c r="AN474">
        <v>21.5</v>
      </c>
      <c r="AO474">
        <v>34.375</v>
      </c>
      <c r="AP474">
        <v>8</v>
      </c>
      <c r="AQ474">
        <v>1.5625</v>
      </c>
      <c r="AR474">
        <v>1.2558139530000001</v>
      </c>
      <c r="AS474">
        <v>-0.30668604700000002</v>
      </c>
      <c r="AT474">
        <v>0</v>
      </c>
      <c r="AU474" t="s">
        <v>66</v>
      </c>
      <c r="AV474">
        <v>0</v>
      </c>
      <c r="AW474">
        <v>0</v>
      </c>
      <c r="AX474">
        <v>0</v>
      </c>
      <c r="AY474">
        <v>1</v>
      </c>
      <c r="AZ474">
        <v>1</v>
      </c>
      <c r="BA474">
        <v>1</v>
      </c>
      <c r="BB474" t="s">
        <v>66</v>
      </c>
      <c r="BC474" t="s">
        <v>66</v>
      </c>
      <c r="BD474" t="s">
        <v>66</v>
      </c>
      <c r="BE474" t="s">
        <v>66</v>
      </c>
      <c r="BF474">
        <v>0</v>
      </c>
      <c r="BG474" t="s">
        <v>66</v>
      </c>
      <c r="BH474" t="s">
        <v>66</v>
      </c>
      <c r="BI474">
        <v>43</v>
      </c>
      <c r="BJ474">
        <v>6.8</v>
      </c>
      <c r="BK474" t="s">
        <v>66</v>
      </c>
      <c r="BL474">
        <v>36</v>
      </c>
      <c r="BM474">
        <v>33</v>
      </c>
      <c r="BN474">
        <v>24</v>
      </c>
      <c r="BO474">
        <f t="shared" si="72"/>
        <v>28.5</v>
      </c>
      <c r="BP474">
        <v>4</v>
      </c>
      <c r="BQ474">
        <v>1</v>
      </c>
      <c r="BS474">
        <v>0</v>
      </c>
      <c r="BT474">
        <f t="shared" si="73"/>
        <v>53.488372093023251</v>
      </c>
      <c r="BU474">
        <f t="shared" si="74"/>
        <v>55.882352941176471</v>
      </c>
      <c r="BV474">
        <f t="shared" si="75"/>
        <v>30.555555555555557</v>
      </c>
      <c r="BW474">
        <f t="shared" si="76"/>
        <v>43.859649122807014</v>
      </c>
    </row>
    <row r="475" spans="1:75" x14ac:dyDescent="0.2">
      <c r="A475" t="s">
        <v>170</v>
      </c>
      <c r="B475" t="s">
        <v>171</v>
      </c>
      <c r="C475" t="s">
        <v>62</v>
      </c>
      <c r="D475" t="s">
        <v>603</v>
      </c>
      <c r="E475" t="s">
        <v>604</v>
      </c>
      <c r="F475" t="s">
        <v>704</v>
      </c>
      <c r="G475">
        <v>2.65</v>
      </c>
      <c r="H475">
        <v>15.9</v>
      </c>
      <c r="I475">
        <v>15.75</v>
      </c>
      <c r="J475">
        <v>1.4</v>
      </c>
      <c r="K475">
        <v>35.700000000000003</v>
      </c>
      <c r="L475">
        <v>11.943396229999999</v>
      </c>
      <c r="M475">
        <v>28</v>
      </c>
      <c r="N475">
        <v>36</v>
      </c>
      <c r="O475">
        <v>8</v>
      </c>
      <c r="P475">
        <v>36</v>
      </c>
      <c r="Q475">
        <v>8</v>
      </c>
      <c r="R475">
        <v>4</v>
      </c>
      <c r="S475">
        <v>55.1</v>
      </c>
      <c r="T475">
        <v>28.571428569999998</v>
      </c>
      <c r="U475">
        <v>0</v>
      </c>
      <c r="V475">
        <v>3</v>
      </c>
      <c r="W475">
        <v>4</v>
      </c>
      <c r="X475">
        <v>4</v>
      </c>
      <c r="Y475">
        <v>1</v>
      </c>
      <c r="Z475">
        <v>33.333333330000002</v>
      </c>
      <c r="AA475" t="s">
        <v>66</v>
      </c>
      <c r="AB475" t="s">
        <v>66</v>
      </c>
      <c r="AC475" t="s">
        <v>66</v>
      </c>
      <c r="AD475" t="s">
        <v>66</v>
      </c>
      <c r="AE475">
        <v>25</v>
      </c>
      <c r="AF475">
        <v>26</v>
      </c>
      <c r="AG475" t="s">
        <v>66</v>
      </c>
      <c r="AH475">
        <v>18</v>
      </c>
      <c r="AI475">
        <v>17</v>
      </c>
      <c r="AJ475" t="s">
        <v>66</v>
      </c>
      <c r="AK475">
        <v>10</v>
      </c>
      <c r="AL475">
        <v>15</v>
      </c>
      <c r="AM475">
        <v>14</v>
      </c>
      <c r="AN475">
        <v>16</v>
      </c>
      <c r="AO475">
        <v>14.28571429</v>
      </c>
      <c r="AP475">
        <v>4</v>
      </c>
      <c r="AQ475">
        <v>1.7857142859999999</v>
      </c>
      <c r="AR475">
        <v>1.625</v>
      </c>
      <c r="AS475">
        <v>-0.16071428600000001</v>
      </c>
      <c r="AT475">
        <v>0</v>
      </c>
      <c r="AU475" t="s">
        <v>66</v>
      </c>
      <c r="AV475">
        <v>0</v>
      </c>
      <c r="AW475">
        <v>0</v>
      </c>
      <c r="AX475">
        <v>0</v>
      </c>
      <c r="AY475">
        <v>1</v>
      </c>
      <c r="AZ475">
        <v>1</v>
      </c>
      <c r="BA475">
        <v>1</v>
      </c>
      <c r="BB475" t="s">
        <v>66</v>
      </c>
      <c r="BC475" t="s">
        <v>66</v>
      </c>
      <c r="BD475" t="s">
        <v>66</v>
      </c>
      <c r="BE475" t="s">
        <v>66</v>
      </c>
      <c r="BF475">
        <v>0</v>
      </c>
      <c r="BG475" t="s">
        <v>66</v>
      </c>
      <c r="BH475" t="s">
        <v>66</v>
      </c>
      <c r="BI475">
        <v>50</v>
      </c>
      <c r="BJ475">
        <v>6.1</v>
      </c>
      <c r="BK475" t="s">
        <v>66</v>
      </c>
      <c r="BL475">
        <v>40</v>
      </c>
      <c r="BM475">
        <v>26</v>
      </c>
      <c r="BN475">
        <v>9</v>
      </c>
      <c r="BO475">
        <f t="shared" si="72"/>
        <v>17.5</v>
      </c>
      <c r="BP475">
        <v>4</v>
      </c>
      <c r="BQ475">
        <v>1</v>
      </c>
      <c r="BS475">
        <v>0</v>
      </c>
      <c r="BT475">
        <f t="shared" si="73"/>
        <v>44</v>
      </c>
      <c r="BU475">
        <f t="shared" si="74"/>
        <v>50.819672131147541</v>
      </c>
      <c r="BV475">
        <f t="shared" si="75"/>
        <v>37.5</v>
      </c>
      <c r="BW475">
        <f t="shared" si="76"/>
        <v>20</v>
      </c>
    </row>
    <row r="476" spans="1:75" x14ac:dyDescent="0.2">
      <c r="A476" t="s">
        <v>170</v>
      </c>
      <c r="B476" t="s">
        <v>171</v>
      </c>
      <c r="C476" t="s">
        <v>62</v>
      </c>
      <c r="D476" t="s">
        <v>603</v>
      </c>
      <c r="E476" t="s">
        <v>606</v>
      </c>
      <c r="F476" t="s">
        <v>705</v>
      </c>
      <c r="G476">
        <v>2.65</v>
      </c>
      <c r="H476">
        <v>15.9</v>
      </c>
      <c r="I476">
        <v>15.75</v>
      </c>
      <c r="J476">
        <v>1.4</v>
      </c>
      <c r="K476">
        <v>35.700000000000003</v>
      </c>
      <c r="L476">
        <v>11.943396229999999</v>
      </c>
      <c r="M476">
        <v>7</v>
      </c>
      <c r="N476">
        <v>10</v>
      </c>
      <c r="O476">
        <v>3</v>
      </c>
      <c r="P476">
        <v>12</v>
      </c>
      <c r="Q476">
        <v>5</v>
      </c>
      <c r="R476">
        <v>2.5</v>
      </c>
      <c r="S476">
        <v>52.1</v>
      </c>
      <c r="T476">
        <v>71.428571430000005</v>
      </c>
      <c r="U476">
        <v>20</v>
      </c>
      <c r="V476">
        <v>1</v>
      </c>
      <c r="W476">
        <v>2</v>
      </c>
      <c r="X476">
        <v>4</v>
      </c>
      <c r="Y476">
        <v>3</v>
      </c>
      <c r="Z476">
        <v>300</v>
      </c>
      <c r="AA476" t="s">
        <v>66</v>
      </c>
      <c r="AB476" t="s">
        <v>66</v>
      </c>
      <c r="AC476" t="s">
        <v>66</v>
      </c>
      <c r="AD476" t="s">
        <v>66</v>
      </c>
      <c r="AE476">
        <v>8</v>
      </c>
      <c r="AF476">
        <v>9</v>
      </c>
      <c r="AG476" t="s">
        <v>66</v>
      </c>
      <c r="AH476">
        <v>6</v>
      </c>
      <c r="AI476">
        <v>5</v>
      </c>
      <c r="AJ476" t="s">
        <v>66</v>
      </c>
      <c r="AK476">
        <v>4</v>
      </c>
      <c r="AL476">
        <v>4</v>
      </c>
      <c r="AM476">
        <v>5</v>
      </c>
      <c r="AN476">
        <v>4.5</v>
      </c>
      <c r="AO476">
        <v>-10</v>
      </c>
      <c r="AP476">
        <v>12.5</v>
      </c>
      <c r="AQ476">
        <v>1.6</v>
      </c>
      <c r="AR476">
        <v>2</v>
      </c>
      <c r="AS476">
        <v>0.4</v>
      </c>
      <c r="AT476">
        <v>0</v>
      </c>
      <c r="AU476" t="s">
        <v>66</v>
      </c>
      <c r="AV476">
        <v>0</v>
      </c>
      <c r="AW476">
        <v>0</v>
      </c>
      <c r="AX476">
        <v>0</v>
      </c>
      <c r="AY476">
        <v>1</v>
      </c>
      <c r="AZ476">
        <v>1</v>
      </c>
      <c r="BA476">
        <v>1</v>
      </c>
      <c r="BB476" t="s">
        <v>66</v>
      </c>
      <c r="BC476" t="s">
        <v>66</v>
      </c>
      <c r="BD476" t="s">
        <v>66</v>
      </c>
      <c r="BE476" t="s">
        <v>66</v>
      </c>
      <c r="BF476">
        <v>0</v>
      </c>
      <c r="BG476" t="s">
        <v>66</v>
      </c>
      <c r="BH476" t="s">
        <v>66</v>
      </c>
      <c r="BI476">
        <v>21</v>
      </c>
      <c r="BJ476">
        <v>3.2</v>
      </c>
      <c r="BK476" t="s">
        <v>66</v>
      </c>
      <c r="BL476">
        <v>15</v>
      </c>
      <c r="BM476">
        <v>8</v>
      </c>
      <c r="BN476">
        <v>5</v>
      </c>
      <c r="BO476">
        <f t="shared" si="72"/>
        <v>6.5</v>
      </c>
      <c r="BP476">
        <v>4</v>
      </c>
      <c r="BQ476">
        <v>1</v>
      </c>
      <c r="BS476">
        <v>0</v>
      </c>
      <c r="BT476">
        <f t="shared" si="73"/>
        <v>66.666666666666657</v>
      </c>
      <c r="BU476">
        <f t="shared" si="74"/>
        <v>68.75</v>
      </c>
      <c r="BV476">
        <f t="shared" si="75"/>
        <v>46.666666666666664</v>
      </c>
      <c r="BW476">
        <f t="shared" si="76"/>
        <v>23.076923076923077</v>
      </c>
    </row>
    <row r="477" spans="1:75" x14ac:dyDescent="0.2">
      <c r="A477" t="s">
        <v>170</v>
      </c>
      <c r="B477" t="s">
        <v>171</v>
      </c>
      <c r="C477" t="s">
        <v>62</v>
      </c>
      <c r="D477" t="s">
        <v>603</v>
      </c>
      <c r="E477" t="s">
        <v>608</v>
      </c>
      <c r="F477" t="s">
        <v>706</v>
      </c>
      <c r="G477">
        <v>2.65</v>
      </c>
      <c r="H477">
        <v>15.9</v>
      </c>
      <c r="I477">
        <v>15.75</v>
      </c>
      <c r="J477">
        <v>1.4</v>
      </c>
      <c r="K477">
        <v>35.700000000000003</v>
      </c>
      <c r="L477">
        <v>11.943396229999999</v>
      </c>
      <c r="M477">
        <v>11</v>
      </c>
      <c r="N477">
        <v>18</v>
      </c>
      <c r="O477">
        <v>7</v>
      </c>
      <c r="P477">
        <v>18</v>
      </c>
      <c r="Q477">
        <v>7</v>
      </c>
      <c r="R477">
        <v>3.5</v>
      </c>
      <c r="S477">
        <v>54.1</v>
      </c>
      <c r="T477">
        <v>63.636363639999999</v>
      </c>
      <c r="U477">
        <v>0</v>
      </c>
      <c r="V477">
        <v>2</v>
      </c>
      <c r="W477">
        <v>4</v>
      </c>
      <c r="X477">
        <v>4</v>
      </c>
      <c r="Y477">
        <v>2</v>
      </c>
      <c r="Z477">
        <v>100</v>
      </c>
      <c r="AA477" t="s">
        <v>66</v>
      </c>
      <c r="AB477" t="s">
        <v>66</v>
      </c>
      <c r="AC477" t="s">
        <v>66</v>
      </c>
      <c r="AD477" t="s">
        <v>66</v>
      </c>
      <c r="AE477">
        <v>12</v>
      </c>
      <c r="AF477">
        <v>15</v>
      </c>
      <c r="AG477" t="s">
        <v>66</v>
      </c>
      <c r="AH477">
        <v>7</v>
      </c>
      <c r="AI477">
        <v>11</v>
      </c>
      <c r="AJ477" t="s">
        <v>66</v>
      </c>
      <c r="AK477">
        <v>5</v>
      </c>
      <c r="AL477">
        <v>6</v>
      </c>
      <c r="AM477">
        <v>6</v>
      </c>
      <c r="AN477">
        <v>8.5</v>
      </c>
      <c r="AO477">
        <v>41.666666669999998</v>
      </c>
      <c r="AP477">
        <v>25</v>
      </c>
      <c r="AQ477">
        <v>2</v>
      </c>
      <c r="AR477">
        <v>1.7647058819999999</v>
      </c>
      <c r="AS477">
        <v>-0.235294118</v>
      </c>
      <c r="AT477">
        <v>0</v>
      </c>
      <c r="AU477" t="s">
        <v>66</v>
      </c>
      <c r="AV477">
        <v>0</v>
      </c>
      <c r="AW477">
        <v>0</v>
      </c>
      <c r="AX477">
        <v>0</v>
      </c>
      <c r="AY477">
        <v>1</v>
      </c>
      <c r="AZ477">
        <v>1</v>
      </c>
      <c r="BA477">
        <v>1</v>
      </c>
      <c r="BB477" t="s">
        <v>66</v>
      </c>
      <c r="BC477" t="s">
        <v>66</v>
      </c>
      <c r="BD477" t="s">
        <v>66</v>
      </c>
      <c r="BE477" t="s">
        <v>66</v>
      </c>
      <c r="BF477">
        <v>0</v>
      </c>
      <c r="BG477" t="s">
        <v>66</v>
      </c>
      <c r="BH477" t="s">
        <v>66</v>
      </c>
      <c r="BI477">
        <v>33</v>
      </c>
      <c r="BJ477">
        <v>4.4000000000000004</v>
      </c>
      <c r="BK477" t="s">
        <v>66</v>
      </c>
      <c r="BL477">
        <v>26</v>
      </c>
      <c r="BM477">
        <v>16</v>
      </c>
      <c r="BN477">
        <v>8</v>
      </c>
      <c r="BO477">
        <f t="shared" si="72"/>
        <v>12</v>
      </c>
      <c r="BP477">
        <v>4</v>
      </c>
      <c r="BQ477">
        <v>1</v>
      </c>
      <c r="BS477">
        <v>0</v>
      </c>
      <c r="BT477">
        <f t="shared" si="73"/>
        <v>66.666666666666657</v>
      </c>
      <c r="BU477">
        <f t="shared" si="74"/>
        <v>54.545454545454554</v>
      </c>
      <c r="BV477">
        <f t="shared" si="75"/>
        <v>53.846153846153847</v>
      </c>
      <c r="BW477">
        <f t="shared" si="76"/>
        <v>50</v>
      </c>
    </row>
    <row r="478" spans="1:75" x14ac:dyDescent="0.2">
      <c r="A478" t="s">
        <v>170</v>
      </c>
      <c r="B478" t="s">
        <v>171</v>
      </c>
      <c r="C478" t="s">
        <v>62</v>
      </c>
      <c r="D478" t="s">
        <v>603</v>
      </c>
      <c r="E478" t="s">
        <v>610</v>
      </c>
      <c r="F478" t="s">
        <v>707</v>
      </c>
      <c r="G478">
        <v>2.65</v>
      </c>
      <c r="H478">
        <v>15.9</v>
      </c>
      <c r="I478">
        <v>15.75</v>
      </c>
      <c r="J478">
        <v>1.4</v>
      </c>
      <c r="K478">
        <v>35.700000000000003</v>
      </c>
      <c r="L478">
        <v>11.943396229999999</v>
      </c>
      <c r="M478">
        <v>24</v>
      </c>
      <c r="N478">
        <v>38</v>
      </c>
      <c r="O478">
        <v>14</v>
      </c>
      <c r="P478">
        <v>38</v>
      </c>
      <c r="Q478">
        <v>14</v>
      </c>
      <c r="R478">
        <v>7</v>
      </c>
      <c r="S478">
        <v>61.1</v>
      </c>
      <c r="T478">
        <v>58.333333330000002</v>
      </c>
      <c r="U478">
        <v>0</v>
      </c>
      <c r="V478">
        <v>4</v>
      </c>
      <c r="W478">
        <v>6</v>
      </c>
      <c r="X478">
        <v>7</v>
      </c>
      <c r="Y478">
        <v>3</v>
      </c>
      <c r="Z478">
        <v>75</v>
      </c>
      <c r="AA478" t="s">
        <v>66</v>
      </c>
      <c r="AB478" t="s">
        <v>66</v>
      </c>
      <c r="AC478" t="s">
        <v>66</v>
      </c>
      <c r="AD478" t="s">
        <v>66</v>
      </c>
      <c r="AE478">
        <v>29</v>
      </c>
      <c r="AF478">
        <v>32</v>
      </c>
      <c r="AG478" t="s">
        <v>66</v>
      </c>
      <c r="AH478">
        <v>14</v>
      </c>
      <c r="AI478">
        <v>10</v>
      </c>
      <c r="AJ478" t="s">
        <v>66</v>
      </c>
      <c r="AK478">
        <v>13</v>
      </c>
      <c r="AL478">
        <v>9</v>
      </c>
      <c r="AM478">
        <v>13.5</v>
      </c>
      <c r="AN478">
        <v>9.5</v>
      </c>
      <c r="AO478">
        <v>-29.62962963</v>
      </c>
      <c r="AP478">
        <v>10.34482759</v>
      </c>
      <c r="AQ478">
        <v>2.1481481480000002</v>
      </c>
      <c r="AR478">
        <v>3.3684210530000001</v>
      </c>
      <c r="AS478">
        <v>1.2202729050000001</v>
      </c>
      <c r="AT478">
        <v>0</v>
      </c>
      <c r="AU478" t="s">
        <v>66</v>
      </c>
      <c r="AV478">
        <v>0</v>
      </c>
      <c r="AW478">
        <v>0</v>
      </c>
      <c r="AX478">
        <v>0</v>
      </c>
      <c r="AY478">
        <v>1</v>
      </c>
      <c r="AZ478">
        <v>1</v>
      </c>
      <c r="BA478">
        <v>1</v>
      </c>
      <c r="BB478" t="s">
        <v>66</v>
      </c>
      <c r="BC478" t="s">
        <v>66</v>
      </c>
      <c r="BD478" t="s">
        <v>66</v>
      </c>
      <c r="BE478" t="s">
        <v>66</v>
      </c>
      <c r="BF478">
        <v>0</v>
      </c>
      <c r="BG478" t="s">
        <v>66</v>
      </c>
      <c r="BH478" t="s">
        <v>66</v>
      </c>
      <c r="BI478">
        <v>45</v>
      </c>
      <c r="BJ478">
        <v>6.9</v>
      </c>
      <c r="BK478" t="s">
        <v>66</v>
      </c>
      <c r="BL478">
        <v>39</v>
      </c>
      <c r="BM478">
        <v>17</v>
      </c>
      <c r="BN478">
        <v>9</v>
      </c>
      <c r="BO478">
        <f t="shared" si="72"/>
        <v>13</v>
      </c>
      <c r="BP478">
        <v>4</v>
      </c>
      <c r="BQ478">
        <v>1</v>
      </c>
      <c r="BS478">
        <v>0</v>
      </c>
      <c r="BT478">
        <f t="shared" si="73"/>
        <v>46.666666666666664</v>
      </c>
      <c r="BU478">
        <f t="shared" si="74"/>
        <v>42.028985507246382</v>
      </c>
      <c r="BV478">
        <f t="shared" si="75"/>
        <v>25.641025641025639</v>
      </c>
      <c r="BW478">
        <f t="shared" si="76"/>
        <v>-3.8461538461538463</v>
      </c>
    </row>
    <row r="479" spans="1:75" x14ac:dyDescent="0.2">
      <c r="A479" t="s">
        <v>170</v>
      </c>
      <c r="B479" t="s">
        <v>171</v>
      </c>
      <c r="C479" t="s">
        <v>62</v>
      </c>
      <c r="D479" t="s">
        <v>603</v>
      </c>
      <c r="E479" t="s">
        <v>614</v>
      </c>
      <c r="F479" t="s">
        <v>709</v>
      </c>
      <c r="G479">
        <v>2.65</v>
      </c>
      <c r="H479">
        <v>15.9</v>
      </c>
      <c r="I479">
        <v>15.75</v>
      </c>
      <c r="J479">
        <v>1.4</v>
      </c>
      <c r="K479">
        <v>35.700000000000003</v>
      </c>
      <c r="L479">
        <v>11.943396229999999</v>
      </c>
      <c r="M479">
        <v>23</v>
      </c>
      <c r="N479">
        <v>35</v>
      </c>
      <c r="O479">
        <v>12</v>
      </c>
      <c r="P479">
        <v>38</v>
      </c>
      <c r="Q479">
        <v>15</v>
      </c>
      <c r="R479">
        <v>7.5</v>
      </c>
      <c r="S479">
        <v>62.1</v>
      </c>
      <c r="T479">
        <v>65.217391300000003</v>
      </c>
      <c r="U479">
        <v>8.5714285710000002</v>
      </c>
      <c r="V479">
        <v>4</v>
      </c>
      <c r="W479">
        <v>7</v>
      </c>
      <c r="X479">
        <v>8</v>
      </c>
      <c r="Y479">
        <v>4</v>
      </c>
      <c r="Z479">
        <v>100</v>
      </c>
      <c r="AA479" t="s">
        <v>66</v>
      </c>
      <c r="AB479" t="s">
        <v>66</v>
      </c>
      <c r="AC479" t="s">
        <v>66</v>
      </c>
      <c r="AD479" t="s">
        <v>66</v>
      </c>
      <c r="AE479">
        <v>29</v>
      </c>
      <c r="AF479">
        <v>32</v>
      </c>
      <c r="AG479" t="s">
        <v>66</v>
      </c>
      <c r="AH479">
        <v>20</v>
      </c>
      <c r="AI479">
        <v>31</v>
      </c>
      <c r="AJ479" t="s">
        <v>66</v>
      </c>
      <c r="AK479">
        <v>17</v>
      </c>
      <c r="AL479">
        <v>19</v>
      </c>
      <c r="AM479">
        <v>18.5</v>
      </c>
      <c r="AN479">
        <v>25</v>
      </c>
      <c r="AO479">
        <v>35.135135140000003</v>
      </c>
      <c r="AP479">
        <v>10.34482759</v>
      </c>
      <c r="AQ479">
        <v>1.5675675680000001</v>
      </c>
      <c r="AR479">
        <v>1.28</v>
      </c>
      <c r="AS479">
        <v>-0.287567568</v>
      </c>
      <c r="AT479">
        <v>0</v>
      </c>
      <c r="AU479" t="s">
        <v>66</v>
      </c>
      <c r="AV479">
        <v>0</v>
      </c>
      <c r="AW479">
        <v>0</v>
      </c>
      <c r="AX479">
        <v>0</v>
      </c>
      <c r="AY479">
        <v>1</v>
      </c>
      <c r="AZ479">
        <v>1</v>
      </c>
      <c r="BA479">
        <v>1</v>
      </c>
      <c r="BB479" t="s">
        <v>66</v>
      </c>
      <c r="BC479" t="s">
        <v>66</v>
      </c>
      <c r="BD479" t="s">
        <v>66</v>
      </c>
      <c r="BE479" t="s">
        <v>66</v>
      </c>
      <c r="BF479">
        <v>0</v>
      </c>
      <c r="BG479" t="s">
        <v>66</v>
      </c>
      <c r="BH479" t="s">
        <v>66</v>
      </c>
      <c r="BI479">
        <v>44</v>
      </c>
      <c r="BJ479">
        <v>7.9</v>
      </c>
      <c r="BK479" t="s">
        <v>66</v>
      </c>
      <c r="BL479">
        <v>37</v>
      </c>
      <c r="BM479">
        <v>28</v>
      </c>
      <c r="BN479">
        <v>11</v>
      </c>
      <c r="BO479">
        <f t="shared" si="72"/>
        <v>19.5</v>
      </c>
      <c r="BP479">
        <v>4</v>
      </c>
      <c r="BQ479">
        <v>1</v>
      </c>
      <c r="BS479">
        <v>0</v>
      </c>
      <c r="BT479">
        <f t="shared" si="73"/>
        <v>47.727272727272727</v>
      </c>
      <c r="BU479">
        <f t="shared" si="74"/>
        <v>49.367088607594937</v>
      </c>
      <c r="BV479">
        <f t="shared" si="75"/>
        <v>21.621621621621621</v>
      </c>
      <c r="BW479">
        <f t="shared" si="76"/>
        <v>5.1282051282051277</v>
      </c>
    </row>
    <row r="480" spans="1:75" x14ac:dyDescent="0.2">
      <c r="A480" t="s">
        <v>170</v>
      </c>
      <c r="B480" t="s">
        <v>171</v>
      </c>
      <c r="C480" t="s">
        <v>62</v>
      </c>
      <c r="D480" t="s">
        <v>603</v>
      </c>
      <c r="E480" t="s">
        <v>616</v>
      </c>
      <c r="F480" t="s">
        <v>710</v>
      </c>
      <c r="G480">
        <v>2.65</v>
      </c>
      <c r="H480">
        <v>15.9</v>
      </c>
      <c r="I480">
        <v>15.75</v>
      </c>
      <c r="J480">
        <v>1.4</v>
      </c>
      <c r="K480">
        <v>35.700000000000003</v>
      </c>
      <c r="L480">
        <v>11.943396229999999</v>
      </c>
      <c r="M480">
        <v>32</v>
      </c>
      <c r="N480">
        <v>39</v>
      </c>
      <c r="O480">
        <v>7</v>
      </c>
      <c r="P480">
        <v>43</v>
      </c>
      <c r="Q480">
        <v>11</v>
      </c>
      <c r="R480">
        <v>5.5</v>
      </c>
      <c r="S480">
        <v>58.1</v>
      </c>
      <c r="T480">
        <v>34.375</v>
      </c>
      <c r="U480">
        <v>10.256410259999999</v>
      </c>
      <c r="V480">
        <v>3</v>
      </c>
      <c r="W480">
        <v>1</v>
      </c>
      <c r="X480">
        <v>6</v>
      </c>
      <c r="Y480">
        <v>3</v>
      </c>
      <c r="Z480">
        <v>100</v>
      </c>
      <c r="AA480" t="s">
        <v>66</v>
      </c>
      <c r="AB480" t="s">
        <v>66</v>
      </c>
      <c r="AC480" t="s">
        <v>66</v>
      </c>
      <c r="AD480" t="s">
        <v>66</v>
      </c>
      <c r="AE480">
        <v>30</v>
      </c>
      <c r="AF480">
        <v>39</v>
      </c>
      <c r="AG480" t="s">
        <v>66</v>
      </c>
      <c r="AH480">
        <v>20</v>
      </c>
      <c r="AI480">
        <v>21</v>
      </c>
      <c r="AJ480" t="s">
        <v>66</v>
      </c>
      <c r="AK480">
        <v>19</v>
      </c>
      <c r="AL480">
        <v>18</v>
      </c>
      <c r="AM480">
        <v>19.5</v>
      </c>
      <c r="AN480">
        <v>19.5</v>
      </c>
      <c r="AO480">
        <v>0</v>
      </c>
      <c r="AP480">
        <v>30</v>
      </c>
      <c r="AQ480">
        <v>1.538461538</v>
      </c>
      <c r="AR480">
        <v>2</v>
      </c>
      <c r="AS480">
        <v>0.46153846199999998</v>
      </c>
      <c r="AT480">
        <v>0</v>
      </c>
      <c r="AU480" t="s">
        <v>66</v>
      </c>
      <c r="AV480">
        <v>0</v>
      </c>
      <c r="AW480">
        <v>0</v>
      </c>
      <c r="AX480">
        <v>0</v>
      </c>
      <c r="AY480">
        <v>1</v>
      </c>
      <c r="AZ480">
        <v>1</v>
      </c>
      <c r="BA480">
        <v>1</v>
      </c>
      <c r="BB480" t="s">
        <v>66</v>
      </c>
      <c r="BC480" t="s">
        <v>66</v>
      </c>
      <c r="BD480" t="s">
        <v>66</v>
      </c>
      <c r="BE480" t="s">
        <v>66</v>
      </c>
      <c r="BF480">
        <v>0</v>
      </c>
      <c r="BG480" t="s">
        <v>66</v>
      </c>
      <c r="BH480" t="s">
        <v>66</v>
      </c>
      <c r="BI480">
        <v>60</v>
      </c>
      <c r="BJ480">
        <v>7.7</v>
      </c>
      <c r="BK480" t="s">
        <v>66</v>
      </c>
      <c r="BL480">
        <v>53</v>
      </c>
      <c r="BM480">
        <v>29</v>
      </c>
      <c r="BN480">
        <v>19</v>
      </c>
      <c r="BO480">
        <f t="shared" ref="BO480:BO511" si="77">AVERAGE(BM480,BN480)</f>
        <v>24</v>
      </c>
      <c r="BP480">
        <v>4</v>
      </c>
      <c r="BQ480">
        <v>1</v>
      </c>
      <c r="BS480">
        <v>0</v>
      </c>
      <c r="BT480">
        <f t="shared" ref="BT480:BT511" si="78">(BI480-M480)/BI480*100</f>
        <v>46.666666666666664</v>
      </c>
      <c r="BU480">
        <f t="shared" ref="BU480:BU511" si="79">(BJ480-V480)/BJ480*100</f>
        <v>61.038961038961034</v>
      </c>
      <c r="BV480">
        <f t="shared" ref="BV480:BV511" si="80">(BL480-AE480)/BL480*100</f>
        <v>43.39622641509434</v>
      </c>
      <c r="BW480">
        <f t="shared" ref="BW480:BW511" si="81">(BO480-AM480)/BO480*100</f>
        <v>18.75</v>
      </c>
    </row>
    <row r="481" spans="1:75" x14ac:dyDescent="0.2">
      <c r="A481" t="s">
        <v>170</v>
      </c>
      <c r="B481" t="s">
        <v>171</v>
      </c>
      <c r="C481" t="s">
        <v>62</v>
      </c>
      <c r="D481" t="s">
        <v>603</v>
      </c>
      <c r="E481" t="s">
        <v>618</v>
      </c>
      <c r="F481" t="s">
        <v>711</v>
      </c>
      <c r="G481">
        <v>2.65</v>
      </c>
      <c r="H481">
        <v>15.9</v>
      </c>
      <c r="I481">
        <v>15.75</v>
      </c>
      <c r="J481">
        <v>1.4</v>
      </c>
      <c r="K481">
        <v>35.700000000000003</v>
      </c>
      <c r="L481">
        <v>11.943396229999999</v>
      </c>
      <c r="M481">
        <v>9</v>
      </c>
      <c r="N481">
        <v>19</v>
      </c>
      <c r="O481">
        <v>10</v>
      </c>
      <c r="P481">
        <v>22</v>
      </c>
      <c r="Q481">
        <v>13</v>
      </c>
      <c r="R481">
        <v>6.5</v>
      </c>
      <c r="S481">
        <v>60.1</v>
      </c>
      <c r="T481">
        <v>144.44444440000001</v>
      </c>
      <c r="U481">
        <v>15.78947368</v>
      </c>
      <c r="V481">
        <v>1</v>
      </c>
      <c r="W481">
        <v>4</v>
      </c>
      <c r="X481">
        <v>3</v>
      </c>
      <c r="Y481">
        <v>2</v>
      </c>
      <c r="Z481">
        <v>200</v>
      </c>
      <c r="AA481" t="s">
        <v>66</v>
      </c>
      <c r="AB481" t="s">
        <v>66</v>
      </c>
      <c r="AC481" t="s">
        <v>66</v>
      </c>
      <c r="AD481" t="s">
        <v>66</v>
      </c>
      <c r="AE481">
        <v>17</v>
      </c>
      <c r="AF481">
        <v>16</v>
      </c>
      <c r="AG481" t="s">
        <v>66</v>
      </c>
      <c r="AH481">
        <v>9</v>
      </c>
      <c r="AI481">
        <v>8</v>
      </c>
      <c r="AJ481" t="s">
        <v>66</v>
      </c>
      <c r="AK481">
        <v>5</v>
      </c>
      <c r="AL481">
        <v>7</v>
      </c>
      <c r="AM481">
        <v>7</v>
      </c>
      <c r="AN481">
        <v>7.5</v>
      </c>
      <c r="AO481">
        <v>7.1428571429999996</v>
      </c>
      <c r="AP481">
        <v>-5.8823529409999997</v>
      </c>
      <c r="AQ481">
        <v>2.4285714289999998</v>
      </c>
      <c r="AR481">
        <v>2.1333333329999999</v>
      </c>
      <c r="AS481">
        <v>-0.29523809600000001</v>
      </c>
      <c r="AT481">
        <v>0</v>
      </c>
      <c r="AU481" t="s">
        <v>66</v>
      </c>
      <c r="AV481">
        <v>0</v>
      </c>
      <c r="AW481">
        <v>0</v>
      </c>
      <c r="AX481">
        <v>0</v>
      </c>
      <c r="AY481">
        <v>1</v>
      </c>
      <c r="AZ481">
        <v>1</v>
      </c>
      <c r="BA481">
        <v>1</v>
      </c>
      <c r="BB481" t="s">
        <v>66</v>
      </c>
      <c r="BC481" t="s">
        <v>66</v>
      </c>
      <c r="BD481" t="s">
        <v>66</v>
      </c>
      <c r="BE481" t="s">
        <v>66</v>
      </c>
      <c r="BF481">
        <v>0</v>
      </c>
      <c r="BG481" t="s">
        <v>66</v>
      </c>
      <c r="BH481" t="s">
        <v>66</v>
      </c>
      <c r="BI481">
        <v>32</v>
      </c>
      <c r="BJ481">
        <v>5.8</v>
      </c>
      <c r="BK481" t="s">
        <v>66</v>
      </c>
      <c r="BL481">
        <v>23</v>
      </c>
      <c r="BM481">
        <v>18</v>
      </c>
      <c r="BN481">
        <v>10</v>
      </c>
      <c r="BO481">
        <f t="shared" si="77"/>
        <v>14</v>
      </c>
      <c r="BP481">
        <v>4</v>
      </c>
      <c r="BQ481">
        <v>1</v>
      </c>
      <c r="BS481">
        <v>0</v>
      </c>
      <c r="BT481">
        <f t="shared" si="78"/>
        <v>71.875</v>
      </c>
      <c r="BU481">
        <f t="shared" si="79"/>
        <v>82.758620689655174</v>
      </c>
      <c r="BV481">
        <f t="shared" si="80"/>
        <v>26.086956521739129</v>
      </c>
      <c r="BW481">
        <f t="shared" si="81"/>
        <v>50</v>
      </c>
    </row>
    <row r="482" spans="1:75" x14ac:dyDescent="0.2">
      <c r="A482" t="s">
        <v>170</v>
      </c>
      <c r="B482" t="s">
        <v>171</v>
      </c>
      <c r="C482" t="s">
        <v>62</v>
      </c>
      <c r="D482" t="s">
        <v>603</v>
      </c>
      <c r="E482" t="s">
        <v>620</v>
      </c>
      <c r="F482" t="s">
        <v>712</v>
      </c>
      <c r="G482">
        <v>2.65</v>
      </c>
      <c r="H482">
        <v>15.9</v>
      </c>
      <c r="I482">
        <v>15.75</v>
      </c>
      <c r="J482">
        <v>1.4</v>
      </c>
      <c r="K482">
        <v>35.700000000000003</v>
      </c>
      <c r="L482">
        <v>11.943396229999999</v>
      </c>
      <c r="M482">
        <v>27</v>
      </c>
      <c r="N482">
        <v>46</v>
      </c>
      <c r="O482">
        <v>19</v>
      </c>
      <c r="P482">
        <v>51</v>
      </c>
      <c r="Q482">
        <v>24</v>
      </c>
      <c r="R482">
        <v>12</v>
      </c>
      <c r="S482">
        <v>71.099999999999994</v>
      </c>
      <c r="T482">
        <v>88.888888890000004</v>
      </c>
      <c r="U482">
        <v>10.86956522</v>
      </c>
      <c r="V482">
        <v>3</v>
      </c>
      <c r="W482">
        <v>5</v>
      </c>
      <c r="X482">
        <v>6</v>
      </c>
      <c r="Y482">
        <v>3</v>
      </c>
      <c r="Z482">
        <v>100</v>
      </c>
      <c r="AA482" t="s">
        <v>66</v>
      </c>
      <c r="AB482" t="s">
        <v>66</v>
      </c>
      <c r="AC482" t="s">
        <v>66</v>
      </c>
      <c r="AD482" t="s">
        <v>66</v>
      </c>
      <c r="AE482">
        <v>35</v>
      </c>
      <c r="AF482">
        <v>43</v>
      </c>
      <c r="AG482" t="s">
        <v>66</v>
      </c>
      <c r="AH482">
        <v>24</v>
      </c>
      <c r="AI482">
        <v>25</v>
      </c>
      <c r="AJ482" t="s">
        <v>66</v>
      </c>
      <c r="AK482">
        <v>14</v>
      </c>
      <c r="AL482">
        <v>19</v>
      </c>
      <c r="AM482">
        <v>19</v>
      </c>
      <c r="AN482">
        <v>22</v>
      </c>
      <c r="AO482">
        <v>15.78947368</v>
      </c>
      <c r="AP482">
        <v>22.85714286</v>
      </c>
      <c r="AQ482">
        <v>1.8421052630000001</v>
      </c>
      <c r="AR482">
        <v>1.9545454550000001</v>
      </c>
      <c r="AS482">
        <v>0.11244019199999999</v>
      </c>
      <c r="AT482">
        <v>0</v>
      </c>
      <c r="AU482" t="s">
        <v>66</v>
      </c>
      <c r="AV482">
        <v>0</v>
      </c>
      <c r="AW482">
        <v>0</v>
      </c>
      <c r="AX482">
        <v>0</v>
      </c>
      <c r="AY482">
        <v>1</v>
      </c>
      <c r="AZ482">
        <v>1</v>
      </c>
      <c r="BA482">
        <v>1</v>
      </c>
      <c r="BB482" t="s">
        <v>66</v>
      </c>
      <c r="BC482" t="s">
        <v>66</v>
      </c>
      <c r="BD482" t="s">
        <v>66</v>
      </c>
      <c r="BE482" t="s">
        <v>66</v>
      </c>
      <c r="BF482">
        <v>0</v>
      </c>
      <c r="BG482" t="s">
        <v>66</v>
      </c>
      <c r="BH482" t="s">
        <v>66</v>
      </c>
      <c r="BI482">
        <v>67</v>
      </c>
      <c r="BJ482">
        <v>7.7</v>
      </c>
      <c r="BK482" t="s">
        <v>66</v>
      </c>
      <c r="BL482">
        <v>50</v>
      </c>
      <c r="BM482">
        <v>24</v>
      </c>
      <c r="BN482">
        <v>19</v>
      </c>
      <c r="BO482">
        <f t="shared" si="77"/>
        <v>21.5</v>
      </c>
      <c r="BP482">
        <v>3</v>
      </c>
      <c r="BQ482">
        <v>1</v>
      </c>
      <c r="BS482">
        <v>0</v>
      </c>
      <c r="BT482">
        <f t="shared" si="78"/>
        <v>59.701492537313428</v>
      </c>
      <c r="BU482">
        <f t="shared" si="79"/>
        <v>61.038961038961034</v>
      </c>
      <c r="BV482">
        <f t="shared" si="80"/>
        <v>30</v>
      </c>
      <c r="BW482">
        <f t="shared" si="81"/>
        <v>11.627906976744185</v>
      </c>
    </row>
    <row r="483" spans="1:75" x14ac:dyDescent="0.2">
      <c r="A483" t="s">
        <v>170</v>
      </c>
      <c r="B483" t="s">
        <v>171</v>
      </c>
      <c r="C483" t="s">
        <v>62</v>
      </c>
      <c r="D483" t="s">
        <v>603</v>
      </c>
      <c r="E483" t="s">
        <v>622</v>
      </c>
      <c r="F483" t="s">
        <v>713</v>
      </c>
      <c r="G483">
        <v>2.65</v>
      </c>
      <c r="H483">
        <v>15.9</v>
      </c>
      <c r="I483">
        <v>15.75</v>
      </c>
      <c r="J483">
        <v>1.4</v>
      </c>
      <c r="K483">
        <v>35.700000000000003</v>
      </c>
      <c r="L483">
        <v>11.943396229999999</v>
      </c>
      <c r="M483">
        <v>43</v>
      </c>
      <c r="N483">
        <v>55</v>
      </c>
      <c r="O483">
        <v>12</v>
      </c>
      <c r="P483">
        <v>57</v>
      </c>
      <c r="Q483">
        <v>14</v>
      </c>
      <c r="R483">
        <v>7</v>
      </c>
      <c r="S483">
        <v>61.1</v>
      </c>
      <c r="T483">
        <v>32.558139529999998</v>
      </c>
      <c r="U483">
        <v>3.636363636</v>
      </c>
      <c r="V483">
        <v>4</v>
      </c>
      <c r="W483">
        <v>10</v>
      </c>
      <c r="X483">
        <v>10</v>
      </c>
      <c r="Y483">
        <v>6</v>
      </c>
      <c r="Z483">
        <v>150</v>
      </c>
      <c r="AA483" t="s">
        <v>66</v>
      </c>
      <c r="AB483" t="s">
        <v>66</v>
      </c>
      <c r="AC483" t="s">
        <v>66</v>
      </c>
      <c r="AD483" t="s">
        <v>66</v>
      </c>
      <c r="AE483">
        <v>46</v>
      </c>
      <c r="AF483">
        <v>49</v>
      </c>
      <c r="AG483" t="s">
        <v>66</v>
      </c>
      <c r="AH483">
        <v>29</v>
      </c>
      <c r="AI483">
        <v>31</v>
      </c>
      <c r="AJ483" t="s">
        <v>66</v>
      </c>
      <c r="AK483">
        <v>23</v>
      </c>
      <c r="AL483">
        <v>26</v>
      </c>
      <c r="AM483">
        <v>26</v>
      </c>
      <c r="AN483">
        <v>28.5</v>
      </c>
      <c r="AO483">
        <v>9.615384615</v>
      </c>
      <c r="AP483">
        <v>6.5217391300000003</v>
      </c>
      <c r="AQ483">
        <v>1.769230769</v>
      </c>
      <c r="AR483">
        <v>1.7192982459999999</v>
      </c>
      <c r="AS483">
        <v>-4.9932522999999999E-2</v>
      </c>
      <c r="AT483">
        <v>0</v>
      </c>
      <c r="AU483" t="s">
        <v>66</v>
      </c>
      <c r="AV483">
        <v>0</v>
      </c>
      <c r="AW483">
        <v>0</v>
      </c>
      <c r="AX483">
        <v>0</v>
      </c>
      <c r="AY483">
        <v>1</v>
      </c>
      <c r="AZ483">
        <v>1</v>
      </c>
      <c r="BA483">
        <v>1</v>
      </c>
      <c r="BB483" t="s">
        <v>66</v>
      </c>
      <c r="BC483" t="s">
        <v>66</v>
      </c>
      <c r="BD483" t="s">
        <v>66</v>
      </c>
      <c r="BE483" t="s">
        <v>66</v>
      </c>
      <c r="BF483">
        <v>0</v>
      </c>
      <c r="BG483" t="s">
        <v>66</v>
      </c>
      <c r="BH483" t="s">
        <v>66</v>
      </c>
      <c r="BI483">
        <v>75</v>
      </c>
      <c r="BJ483">
        <v>8.4</v>
      </c>
      <c r="BK483" t="s">
        <v>66</v>
      </c>
      <c r="BL483">
        <v>66</v>
      </c>
      <c r="BM483">
        <v>40</v>
      </c>
      <c r="BN483">
        <v>30</v>
      </c>
      <c r="BO483">
        <f t="shared" si="77"/>
        <v>35</v>
      </c>
      <c r="BP483">
        <v>3</v>
      </c>
      <c r="BQ483">
        <v>1</v>
      </c>
      <c r="BS483">
        <v>0</v>
      </c>
      <c r="BT483">
        <f t="shared" si="78"/>
        <v>42.666666666666671</v>
      </c>
      <c r="BU483">
        <f t="shared" si="79"/>
        <v>52.380952380952387</v>
      </c>
      <c r="BV483">
        <f t="shared" si="80"/>
        <v>30.303030303030305</v>
      </c>
      <c r="BW483">
        <f t="shared" si="81"/>
        <v>25.714285714285712</v>
      </c>
    </row>
    <row r="484" spans="1:75" x14ac:dyDescent="0.2">
      <c r="A484" t="s">
        <v>170</v>
      </c>
      <c r="B484" t="s">
        <v>171</v>
      </c>
      <c r="C484" t="s">
        <v>62</v>
      </c>
      <c r="D484" t="s">
        <v>603</v>
      </c>
      <c r="E484" t="s">
        <v>624</v>
      </c>
      <c r="F484" t="s">
        <v>714</v>
      </c>
      <c r="G484">
        <v>2.65</v>
      </c>
      <c r="H484">
        <v>15.9</v>
      </c>
      <c r="I484">
        <v>15.75</v>
      </c>
      <c r="J484">
        <v>1.4</v>
      </c>
      <c r="K484">
        <v>35.700000000000003</v>
      </c>
      <c r="L484">
        <v>11.943396229999999</v>
      </c>
      <c r="M484">
        <v>42</v>
      </c>
      <c r="N484">
        <v>54</v>
      </c>
      <c r="O484">
        <v>12</v>
      </c>
      <c r="P484">
        <v>66</v>
      </c>
      <c r="Q484">
        <v>24</v>
      </c>
      <c r="R484">
        <v>12</v>
      </c>
      <c r="S484">
        <v>71.099999999999994</v>
      </c>
      <c r="T484">
        <v>57.142857139999997</v>
      </c>
      <c r="U484">
        <v>22.222222219999999</v>
      </c>
      <c r="V484">
        <v>6</v>
      </c>
      <c r="W484">
        <v>10</v>
      </c>
      <c r="X484">
        <v>14</v>
      </c>
      <c r="Y484">
        <v>8</v>
      </c>
      <c r="Z484">
        <v>133.33333329999999</v>
      </c>
      <c r="AA484" t="s">
        <v>66</v>
      </c>
      <c r="AB484" t="s">
        <v>66</v>
      </c>
      <c r="AC484" t="s">
        <v>66</v>
      </c>
      <c r="AD484" t="s">
        <v>66</v>
      </c>
      <c r="AE484">
        <v>50</v>
      </c>
      <c r="AF484">
        <v>51</v>
      </c>
      <c r="AG484" t="s">
        <v>66</v>
      </c>
      <c r="AH484">
        <v>28</v>
      </c>
      <c r="AI484">
        <v>26</v>
      </c>
      <c r="AJ484" t="s">
        <v>66</v>
      </c>
      <c r="AK484">
        <v>19</v>
      </c>
      <c r="AL484">
        <v>23</v>
      </c>
      <c r="AM484">
        <v>23.5</v>
      </c>
      <c r="AN484">
        <v>24.5</v>
      </c>
      <c r="AO484">
        <v>4.255319149</v>
      </c>
      <c r="AP484">
        <v>2</v>
      </c>
      <c r="AQ484">
        <v>2.1276595739999999</v>
      </c>
      <c r="AR484">
        <v>2.0816326530000002</v>
      </c>
      <c r="AS484">
        <v>-4.6026920999999998E-2</v>
      </c>
      <c r="AT484">
        <v>0</v>
      </c>
      <c r="AU484" t="s">
        <v>66</v>
      </c>
      <c r="AV484">
        <v>0</v>
      </c>
      <c r="AW484">
        <v>0</v>
      </c>
      <c r="AX484">
        <v>0</v>
      </c>
      <c r="AY484">
        <v>1</v>
      </c>
      <c r="AZ484">
        <v>1</v>
      </c>
      <c r="BA484">
        <v>1</v>
      </c>
      <c r="BB484" t="s">
        <v>66</v>
      </c>
      <c r="BC484" t="s">
        <v>66</v>
      </c>
      <c r="BD484" t="s">
        <v>66</v>
      </c>
      <c r="BE484" t="s">
        <v>66</v>
      </c>
      <c r="BF484">
        <v>0</v>
      </c>
      <c r="BG484" t="s">
        <v>66</v>
      </c>
      <c r="BH484" t="s">
        <v>66</v>
      </c>
      <c r="BI484">
        <v>97</v>
      </c>
      <c r="BJ484">
        <v>12.6</v>
      </c>
      <c r="BK484" t="s">
        <v>66</v>
      </c>
      <c r="BL484">
        <v>88</v>
      </c>
      <c r="BM484">
        <v>37</v>
      </c>
      <c r="BN484">
        <v>33</v>
      </c>
      <c r="BO484">
        <f t="shared" si="77"/>
        <v>35</v>
      </c>
      <c r="BP484">
        <v>4</v>
      </c>
      <c r="BQ484">
        <v>1</v>
      </c>
      <c r="BS484">
        <v>0</v>
      </c>
      <c r="BT484">
        <f t="shared" si="78"/>
        <v>56.701030927835049</v>
      </c>
      <c r="BU484">
        <f t="shared" si="79"/>
        <v>52.380952380952387</v>
      </c>
      <c r="BV484">
        <f t="shared" si="80"/>
        <v>43.18181818181818</v>
      </c>
      <c r="BW484">
        <f t="shared" si="81"/>
        <v>32.857142857142854</v>
      </c>
    </row>
    <row r="485" spans="1:75" x14ac:dyDescent="0.2">
      <c r="A485" t="s">
        <v>170</v>
      </c>
      <c r="B485" t="s">
        <v>171</v>
      </c>
      <c r="C485" t="s">
        <v>62</v>
      </c>
      <c r="D485" t="s">
        <v>603</v>
      </c>
      <c r="E485" t="s">
        <v>626</v>
      </c>
      <c r="F485" t="s">
        <v>715</v>
      </c>
      <c r="G485">
        <v>2.65</v>
      </c>
      <c r="H485">
        <v>15.9</v>
      </c>
      <c r="I485">
        <v>15.75</v>
      </c>
      <c r="J485">
        <v>1.4</v>
      </c>
      <c r="K485">
        <v>35.700000000000003</v>
      </c>
      <c r="L485">
        <v>11.943396229999999</v>
      </c>
      <c r="M485">
        <v>33</v>
      </c>
      <c r="N485">
        <v>38</v>
      </c>
      <c r="O485">
        <v>5</v>
      </c>
      <c r="P485">
        <v>41</v>
      </c>
      <c r="Q485">
        <v>8</v>
      </c>
      <c r="R485">
        <v>4</v>
      </c>
      <c r="S485">
        <v>55.1</v>
      </c>
      <c r="T485">
        <v>24.242424239999998</v>
      </c>
      <c r="U485">
        <v>7.8947368420000004</v>
      </c>
      <c r="V485">
        <v>4</v>
      </c>
      <c r="W485">
        <v>5</v>
      </c>
      <c r="X485">
        <v>5</v>
      </c>
      <c r="Y485">
        <v>1</v>
      </c>
      <c r="Z485">
        <v>25</v>
      </c>
      <c r="AA485" t="s">
        <v>66</v>
      </c>
      <c r="AB485" t="s">
        <v>66</v>
      </c>
      <c r="AC485" t="s">
        <v>66</v>
      </c>
      <c r="AD485" t="s">
        <v>66</v>
      </c>
      <c r="AE485">
        <v>28</v>
      </c>
      <c r="AF485">
        <v>31</v>
      </c>
      <c r="AG485" t="s">
        <v>66</v>
      </c>
      <c r="AH485">
        <v>16</v>
      </c>
      <c r="AI485">
        <v>17</v>
      </c>
      <c r="AJ485" t="s">
        <v>66</v>
      </c>
      <c r="AK485">
        <v>12</v>
      </c>
      <c r="AL485">
        <v>13</v>
      </c>
      <c r="AM485">
        <v>14</v>
      </c>
      <c r="AN485">
        <v>15</v>
      </c>
      <c r="AO485">
        <v>7.1428571429999996</v>
      </c>
      <c r="AP485">
        <v>10.71428571</v>
      </c>
      <c r="AQ485">
        <v>2</v>
      </c>
      <c r="AR485">
        <v>2.0666666669999998</v>
      </c>
      <c r="AS485">
        <v>6.6666666999999999E-2</v>
      </c>
      <c r="AT485">
        <v>0</v>
      </c>
      <c r="AU485" t="s">
        <v>66</v>
      </c>
      <c r="AV485">
        <v>0</v>
      </c>
      <c r="AW485">
        <v>0</v>
      </c>
      <c r="AX485">
        <v>0</v>
      </c>
      <c r="AY485">
        <v>1</v>
      </c>
      <c r="AZ485">
        <v>1</v>
      </c>
      <c r="BA485">
        <v>1</v>
      </c>
      <c r="BB485" t="s">
        <v>66</v>
      </c>
      <c r="BC485" t="s">
        <v>66</v>
      </c>
      <c r="BD485" t="s">
        <v>66</v>
      </c>
      <c r="BE485" t="s">
        <v>66</v>
      </c>
      <c r="BF485">
        <v>0</v>
      </c>
      <c r="BG485" t="s">
        <v>66</v>
      </c>
      <c r="BH485" t="s">
        <v>66</v>
      </c>
      <c r="BI485">
        <v>54</v>
      </c>
      <c r="BJ485">
        <v>6.7</v>
      </c>
      <c r="BK485" t="s">
        <v>66</v>
      </c>
      <c r="BL485">
        <v>41</v>
      </c>
      <c r="BM485">
        <v>23</v>
      </c>
      <c r="BN485">
        <v>9</v>
      </c>
      <c r="BO485">
        <f t="shared" si="77"/>
        <v>16</v>
      </c>
      <c r="BP485">
        <v>4</v>
      </c>
      <c r="BQ485">
        <v>1</v>
      </c>
      <c r="BS485">
        <v>0</v>
      </c>
      <c r="BT485">
        <f t="shared" si="78"/>
        <v>38.888888888888893</v>
      </c>
      <c r="BU485">
        <f t="shared" si="79"/>
        <v>40.298507462686565</v>
      </c>
      <c r="BV485">
        <f t="shared" si="80"/>
        <v>31.707317073170731</v>
      </c>
      <c r="BW485">
        <f t="shared" si="81"/>
        <v>12.5</v>
      </c>
    </row>
    <row r="486" spans="1:75" x14ac:dyDescent="0.2">
      <c r="A486" t="s">
        <v>170</v>
      </c>
      <c r="B486" t="s">
        <v>171</v>
      </c>
      <c r="C486" t="s">
        <v>62</v>
      </c>
      <c r="D486" t="s">
        <v>603</v>
      </c>
      <c r="E486" t="s">
        <v>628</v>
      </c>
      <c r="F486" t="s">
        <v>716</v>
      </c>
      <c r="G486">
        <v>2.65</v>
      </c>
      <c r="H486">
        <v>15.9</v>
      </c>
      <c r="I486">
        <v>15.75</v>
      </c>
      <c r="J486">
        <v>1.4</v>
      </c>
      <c r="K486">
        <v>35.700000000000003</v>
      </c>
      <c r="L486">
        <v>11.943396229999999</v>
      </c>
      <c r="M486">
        <v>20</v>
      </c>
      <c r="N486">
        <v>27</v>
      </c>
      <c r="O486">
        <v>7</v>
      </c>
      <c r="P486">
        <v>28</v>
      </c>
      <c r="Q486">
        <v>8</v>
      </c>
      <c r="R486">
        <v>4</v>
      </c>
      <c r="S486">
        <v>55.1</v>
      </c>
      <c r="T486">
        <v>40</v>
      </c>
      <c r="U486">
        <v>3.703703704</v>
      </c>
      <c r="V486">
        <v>3</v>
      </c>
      <c r="W486">
        <v>5</v>
      </c>
      <c r="X486">
        <v>4</v>
      </c>
      <c r="Y486">
        <v>1</v>
      </c>
      <c r="Z486">
        <v>33.333333330000002</v>
      </c>
      <c r="AA486" t="s">
        <v>66</v>
      </c>
      <c r="AB486" t="s">
        <v>66</v>
      </c>
      <c r="AC486" t="s">
        <v>66</v>
      </c>
      <c r="AD486" t="s">
        <v>66</v>
      </c>
      <c r="AE486">
        <v>19</v>
      </c>
      <c r="AF486">
        <v>23</v>
      </c>
      <c r="AG486" t="s">
        <v>66</v>
      </c>
      <c r="AH486">
        <v>12</v>
      </c>
      <c r="AI486">
        <v>13</v>
      </c>
      <c r="AJ486" t="s">
        <v>66</v>
      </c>
      <c r="AK486">
        <v>8</v>
      </c>
      <c r="AL486">
        <v>10</v>
      </c>
      <c r="AM486">
        <v>10</v>
      </c>
      <c r="AN486">
        <v>11.5</v>
      </c>
      <c r="AO486">
        <v>15</v>
      </c>
      <c r="AP486">
        <v>21.05263158</v>
      </c>
      <c r="AQ486">
        <v>1.9</v>
      </c>
      <c r="AR486">
        <v>2</v>
      </c>
      <c r="AS486">
        <v>0.1</v>
      </c>
      <c r="AT486">
        <v>0</v>
      </c>
      <c r="AU486" t="s">
        <v>66</v>
      </c>
      <c r="AV486">
        <v>0</v>
      </c>
      <c r="AW486">
        <v>0</v>
      </c>
      <c r="AX486">
        <v>0</v>
      </c>
      <c r="AY486">
        <v>1</v>
      </c>
      <c r="AZ486">
        <v>1</v>
      </c>
      <c r="BA486">
        <v>1</v>
      </c>
      <c r="BB486" t="s">
        <v>66</v>
      </c>
      <c r="BC486" t="s">
        <v>66</v>
      </c>
      <c r="BD486" t="s">
        <v>66</v>
      </c>
      <c r="BE486" t="s">
        <v>66</v>
      </c>
      <c r="BF486">
        <v>0</v>
      </c>
      <c r="BG486" t="s">
        <v>66</v>
      </c>
      <c r="BH486" t="s">
        <v>66</v>
      </c>
      <c r="BI486">
        <v>42</v>
      </c>
      <c r="BJ486">
        <v>5.4</v>
      </c>
      <c r="BK486" t="s">
        <v>66</v>
      </c>
      <c r="BL486">
        <v>33</v>
      </c>
      <c r="BM486">
        <v>21</v>
      </c>
      <c r="BN486">
        <v>17</v>
      </c>
      <c r="BO486">
        <f t="shared" si="77"/>
        <v>19</v>
      </c>
      <c r="BP486">
        <v>4</v>
      </c>
      <c r="BQ486">
        <v>1</v>
      </c>
      <c r="BS486">
        <v>0</v>
      </c>
      <c r="BT486">
        <f t="shared" si="78"/>
        <v>52.380952380952387</v>
      </c>
      <c r="BU486">
        <f t="shared" si="79"/>
        <v>44.44444444444445</v>
      </c>
      <c r="BV486">
        <f t="shared" si="80"/>
        <v>42.424242424242422</v>
      </c>
      <c r="BW486">
        <f t="shared" si="81"/>
        <v>47.368421052631575</v>
      </c>
    </row>
    <row r="487" spans="1:75" x14ac:dyDescent="0.2">
      <c r="A487" t="s">
        <v>170</v>
      </c>
      <c r="B487" t="s">
        <v>171</v>
      </c>
      <c r="C487" t="s">
        <v>62</v>
      </c>
      <c r="D487" t="s">
        <v>603</v>
      </c>
      <c r="E487" t="s">
        <v>630</v>
      </c>
      <c r="F487" t="s">
        <v>717</v>
      </c>
      <c r="G487">
        <v>2.65</v>
      </c>
      <c r="H487">
        <v>15.9</v>
      </c>
      <c r="I487">
        <v>15.75</v>
      </c>
      <c r="J487">
        <v>1.4</v>
      </c>
      <c r="K487">
        <v>35.700000000000003</v>
      </c>
      <c r="L487">
        <v>11.943396229999999</v>
      </c>
      <c r="M487">
        <v>13</v>
      </c>
      <c r="N487">
        <v>12</v>
      </c>
      <c r="O487">
        <v>-1</v>
      </c>
      <c r="P487">
        <v>13</v>
      </c>
      <c r="Q487">
        <v>0</v>
      </c>
      <c r="R487">
        <v>1E-3</v>
      </c>
      <c r="S487">
        <v>47.1</v>
      </c>
      <c r="T487">
        <v>0</v>
      </c>
      <c r="U487">
        <v>8.3333333330000006</v>
      </c>
      <c r="V487">
        <v>1</v>
      </c>
      <c r="W487">
        <v>2</v>
      </c>
      <c r="X487">
        <v>2</v>
      </c>
      <c r="Y487">
        <v>1</v>
      </c>
      <c r="Z487">
        <v>100</v>
      </c>
      <c r="AA487" t="s">
        <v>66</v>
      </c>
      <c r="AB487" t="s">
        <v>66</v>
      </c>
      <c r="AC487" t="s">
        <v>66</v>
      </c>
      <c r="AD487" t="s">
        <v>66</v>
      </c>
      <c r="AE487">
        <v>7</v>
      </c>
      <c r="AF487">
        <v>8</v>
      </c>
      <c r="AG487" t="s">
        <v>66</v>
      </c>
      <c r="AH487">
        <v>4</v>
      </c>
      <c r="AI487">
        <v>5</v>
      </c>
      <c r="AJ487" t="s">
        <v>66</v>
      </c>
      <c r="AK487">
        <v>2</v>
      </c>
      <c r="AL487">
        <v>2</v>
      </c>
      <c r="AM487">
        <v>3</v>
      </c>
      <c r="AN487">
        <v>3.5</v>
      </c>
      <c r="AO487">
        <v>16.666666670000001</v>
      </c>
      <c r="AP487">
        <v>14.28571429</v>
      </c>
      <c r="AQ487">
        <v>2.3333333330000001</v>
      </c>
      <c r="AR487">
        <v>2.2857142860000002</v>
      </c>
      <c r="AS487">
        <v>-4.7619046999999998E-2</v>
      </c>
      <c r="AT487">
        <v>0</v>
      </c>
      <c r="AU487" t="s">
        <v>66</v>
      </c>
      <c r="AV487">
        <v>0</v>
      </c>
      <c r="AW487">
        <v>0</v>
      </c>
      <c r="AX487">
        <v>0</v>
      </c>
      <c r="AY487">
        <v>1</v>
      </c>
      <c r="AZ487">
        <v>1</v>
      </c>
      <c r="BA487">
        <v>1</v>
      </c>
      <c r="BB487" t="s">
        <v>66</v>
      </c>
      <c r="BC487" t="s">
        <v>66</v>
      </c>
      <c r="BD487" t="s">
        <v>66</v>
      </c>
      <c r="BE487" t="s">
        <v>66</v>
      </c>
      <c r="BF487">
        <v>0</v>
      </c>
      <c r="BG487" t="s">
        <v>66</v>
      </c>
      <c r="BH487" t="s">
        <v>66</v>
      </c>
      <c r="BI487">
        <v>19</v>
      </c>
      <c r="BJ487">
        <v>3.1</v>
      </c>
      <c r="BK487" t="s">
        <v>66</v>
      </c>
      <c r="BL487">
        <v>12</v>
      </c>
      <c r="BM487">
        <v>9</v>
      </c>
      <c r="BN487">
        <v>5</v>
      </c>
      <c r="BO487">
        <f t="shared" si="77"/>
        <v>7</v>
      </c>
      <c r="BP487">
        <v>4</v>
      </c>
      <c r="BQ487">
        <v>1</v>
      </c>
      <c r="BS487">
        <v>0</v>
      </c>
      <c r="BT487">
        <f t="shared" si="78"/>
        <v>31.578947368421051</v>
      </c>
      <c r="BU487">
        <f t="shared" si="79"/>
        <v>67.741935483870975</v>
      </c>
      <c r="BV487">
        <f t="shared" si="80"/>
        <v>41.666666666666671</v>
      </c>
      <c r="BW487">
        <f t="shared" si="81"/>
        <v>57.142857142857139</v>
      </c>
    </row>
    <row r="488" spans="1:75" x14ac:dyDescent="0.2">
      <c r="A488" t="s">
        <v>170</v>
      </c>
      <c r="B488" t="s">
        <v>171</v>
      </c>
      <c r="C488" t="s">
        <v>62</v>
      </c>
      <c r="D488" t="s">
        <v>603</v>
      </c>
      <c r="E488" t="s">
        <v>632</v>
      </c>
      <c r="F488" t="s">
        <v>718</v>
      </c>
      <c r="G488">
        <v>2.65</v>
      </c>
      <c r="H488">
        <v>15.9</v>
      </c>
      <c r="I488">
        <v>15.75</v>
      </c>
      <c r="J488">
        <v>1.4</v>
      </c>
      <c r="K488">
        <v>35.700000000000003</v>
      </c>
      <c r="L488">
        <v>11.943396229999999</v>
      </c>
      <c r="M488">
        <v>14</v>
      </c>
      <c r="N488">
        <v>16</v>
      </c>
      <c r="O488">
        <v>2</v>
      </c>
      <c r="P488">
        <v>16</v>
      </c>
      <c r="Q488">
        <v>2</v>
      </c>
      <c r="R488">
        <v>1</v>
      </c>
      <c r="S488">
        <v>49.1</v>
      </c>
      <c r="T488">
        <v>14.28571429</v>
      </c>
      <c r="U488">
        <v>0</v>
      </c>
      <c r="V488">
        <v>1</v>
      </c>
      <c r="W488">
        <v>2</v>
      </c>
      <c r="X488">
        <v>3</v>
      </c>
      <c r="Y488">
        <v>2</v>
      </c>
      <c r="Z488">
        <v>200</v>
      </c>
      <c r="AA488" t="s">
        <v>66</v>
      </c>
      <c r="AB488" t="s">
        <v>66</v>
      </c>
      <c r="AC488" t="s">
        <v>66</v>
      </c>
      <c r="AD488" t="s">
        <v>66</v>
      </c>
      <c r="AE488">
        <v>12</v>
      </c>
      <c r="AF488">
        <v>12</v>
      </c>
      <c r="AG488" t="s">
        <v>66</v>
      </c>
      <c r="AH488">
        <v>5</v>
      </c>
      <c r="AI488">
        <v>6</v>
      </c>
      <c r="AJ488" t="s">
        <v>66</v>
      </c>
      <c r="AK488">
        <v>3</v>
      </c>
      <c r="AL488">
        <v>3</v>
      </c>
      <c r="AM488">
        <v>4</v>
      </c>
      <c r="AN488">
        <v>4.5</v>
      </c>
      <c r="AO488">
        <v>12.5</v>
      </c>
      <c r="AP488">
        <v>0</v>
      </c>
      <c r="AQ488">
        <v>3</v>
      </c>
      <c r="AR488">
        <v>2.6666666669999999</v>
      </c>
      <c r="AS488">
        <v>-0.33333333300000001</v>
      </c>
      <c r="AT488">
        <v>0</v>
      </c>
      <c r="AU488" t="s">
        <v>66</v>
      </c>
      <c r="AV488">
        <v>0</v>
      </c>
      <c r="AW488">
        <v>0</v>
      </c>
      <c r="AX488">
        <v>0</v>
      </c>
      <c r="AY488">
        <v>1</v>
      </c>
      <c r="AZ488">
        <v>1</v>
      </c>
      <c r="BA488">
        <v>1</v>
      </c>
      <c r="BB488" t="s">
        <v>66</v>
      </c>
      <c r="BC488" t="s">
        <v>66</v>
      </c>
      <c r="BD488" t="s">
        <v>66</v>
      </c>
      <c r="BE488" t="s">
        <v>66</v>
      </c>
      <c r="BF488">
        <v>0</v>
      </c>
      <c r="BG488" t="s">
        <v>66</v>
      </c>
      <c r="BH488" t="s">
        <v>66</v>
      </c>
      <c r="BI488">
        <v>24</v>
      </c>
      <c r="BJ488">
        <v>3.4</v>
      </c>
      <c r="BK488" t="s">
        <v>66</v>
      </c>
      <c r="BL488">
        <v>18</v>
      </c>
      <c r="BM488">
        <v>11</v>
      </c>
      <c r="BN488">
        <v>4</v>
      </c>
      <c r="BO488">
        <f t="shared" si="77"/>
        <v>7.5</v>
      </c>
      <c r="BP488">
        <v>4</v>
      </c>
      <c r="BQ488">
        <v>1</v>
      </c>
      <c r="BS488">
        <v>0</v>
      </c>
      <c r="BT488">
        <f t="shared" si="78"/>
        <v>41.666666666666671</v>
      </c>
      <c r="BU488">
        <f t="shared" si="79"/>
        <v>70.588235294117652</v>
      </c>
      <c r="BV488">
        <f t="shared" si="80"/>
        <v>33.333333333333329</v>
      </c>
      <c r="BW488">
        <f t="shared" si="81"/>
        <v>46.666666666666664</v>
      </c>
    </row>
    <row r="489" spans="1:75" x14ac:dyDescent="0.2">
      <c r="A489" t="s">
        <v>170</v>
      </c>
      <c r="B489" t="s">
        <v>171</v>
      </c>
      <c r="C489" t="s">
        <v>62</v>
      </c>
      <c r="D489" t="s">
        <v>603</v>
      </c>
      <c r="E489" t="s">
        <v>634</v>
      </c>
      <c r="F489" t="s">
        <v>719</v>
      </c>
      <c r="G489">
        <v>2.65</v>
      </c>
      <c r="H489">
        <v>15.9</v>
      </c>
      <c r="I489">
        <v>15.75</v>
      </c>
      <c r="J489">
        <v>1.4</v>
      </c>
      <c r="K489">
        <v>35.700000000000003</v>
      </c>
      <c r="L489">
        <v>11.943396229999999</v>
      </c>
      <c r="M489">
        <v>18</v>
      </c>
      <c r="N489">
        <v>22</v>
      </c>
      <c r="O489">
        <v>4</v>
      </c>
      <c r="P489">
        <v>23</v>
      </c>
      <c r="Q489">
        <v>5</v>
      </c>
      <c r="R489">
        <v>2.5</v>
      </c>
      <c r="S489">
        <v>52.1</v>
      </c>
      <c r="T489">
        <v>27.777777780000001</v>
      </c>
      <c r="U489">
        <v>4.5454545450000001</v>
      </c>
      <c r="V489">
        <v>2</v>
      </c>
      <c r="W489">
        <v>3</v>
      </c>
      <c r="X489">
        <v>4</v>
      </c>
      <c r="Y489">
        <v>2</v>
      </c>
      <c r="Z489">
        <v>100</v>
      </c>
      <c r="AA489" t="s">
        <v>66</v>
      </c>
      <c r="AB489" t="s">
        <v>66</v>
      </c>
      <c r="AC489" t="s">
        <v>66</v>
      </c>
      <c r="AD489" t="s">
        <v>66</v>
      </c>
      <c r="AE489">
        <v>16</v>
      </c>
      <c r="AF489">
        <v>17</v>
      </c>
      <c r="AG489" t="s">
        <v>66</v>
      </c>
      <c r="AH489">
        <v>10</v>
      </c>
      <c r="AI489">
        <v>12</v>
      </c>
      <c r="AJ489" t="s">
        <v>66</v>
      </c>
      <c r="AK489">
        <v>5</v>
      </c>
      <c r="AL489">
        <v>8</v>
      </c>
      <c r="AM489">
        <v>7.5</v>
      </c>
      <c r="AN489">
        <v>10</v>
      </c>
      <c r="AO489">
        <v>33.333333330000002</v>
      </c>
      <c r="AP489">
        <v>6.25</v>
      </c>
      <c r="AQ489">
        <v>2.1333333329999999</v>
      </c>
      <c r="AR489">
        <v>1.7</v>
      </c>
      <c r="AS489">
        <v>-0.43333333299999999</v>
      </c>
      <c r="AT489">
        <v>0</v>
      </c>
      <c r="AU489" t="s">
        <v>66</v>
      </c>
      <c r="AV489">
        <v>0</v>
      </c>
      <c r="AW489">
        <v>0</v>
      </c>
      <c r="AX489">
        <v>0</v>
      </c>
      <c r="AY489">
        <v>1</v>
      </c>
      <c r="AZ489">
        <v>1</v>
      </c>
      <c r="BA489">
        <v>1</v>
      </c>
      <c r="BB489" t="s">
        <v>66</v>
      </c>
      <c r="BC489" t="s">
        <v>66</v>
      </c>
      <c r="BD489" t="s">
        <v>66</v>
      </c>
      <c r="BE489" t="s">
        <v>66</v>
      </c>
      <c r="BF489">
        <v>0</v>
      </c>
      <c r="BG489" t="s">
        <v>66</v>
      </c>
      <c r="BH489" t="s">
        <v>66</v>
      </c>
      <c r="BI489">
        <v>27</v>
      </c>
      <c r="BJ489">
        <v>4.5999999999999996</v>
      </c>
      <c r="BK489" t="s">
        <v>66</v>
      </c>
      <c r="BL489">
        <v>18</v>
      </c>
      <c r="BM489">
        <v>15</v>
      </c>
      <c r="BN489">
        <v>9</v>
      </c>
      <c r="BO489">
        <f t="shared" si="77"/>
        <v>12</v>
      </c>
      <c r="BP489">
        <v>4</v>
      </c>
      <c r="BQ489">
        <v>1</v>
      </c>
      <c r="BS489">
        <v>0</v>
      </c>
      <c r="BT489">
        <f t="shared" si="78"/>
        <v>33.333333333333329</v>
      </c>
      <c r="BU489">
        <f t="shared" si="79"/>
        <v>56.521739130434781</v>
      </c>
      <c r="BV489">
        <f t="shared" si="80"/>
        <v>11.111111111111111</v>
      </c>
      <c r="BW489">
        <f t="shared" si="81"/>
        <v>37.5</v>
      </c>
    </row>
    <row r="490" spans="1:75" x14ac:dyDescent="0.2">
      <c r="A490" t="s">
        <v>170</v>
      </c>
      <c r="B490" t="s">
        <v>171</v>
      </c>
      <c r="C490" t="s">
        <v>62</v>
      </c>
      <c r="D490" t="s">
        <v>603</v>
      </c>
      <c r="E490" t="s">
        <v>636</v>
      </c>
      <c r="F490" t="s">
        <v>720</v>
      </c>
      <c r="G490">
        <v>2.65</v>
      </c>
      <c r="H490">
        <v>15.9</v>
      </c>
      <c r="I490">
        <v>15.75</v>
      </c>
      <c r="J490">
        <v>1.4</v>
      </c>
      <c r="K490">
        <v>35.700000000000003</v>
      </c>
      <c r="L490">
        <v>11.943396229999999</v>
      </c>
      <c r="M490">
        <v>12</v>
      </c>
      <c r="N490">
        <v>15</v>
      </c>
      <c r="O490">
        <v>3</v>
      </c>
      <c r="P490">
        <v>13</v>
      </c>
      <c r="Q490">
        <v>1</v>
      </c>
      <c r="R490">
        <v>0.5</v>
      </c>
      <c r="S490">
        <v>48.1</v>
      </c>
      <c r="T490">
        <v>8.3333333330000006</v>
      </c>
      <c r="U490">
        <v>-13.33333333</v>
      </c>
      <c r="V490">
        <v>2</v>
      </c>
      <c r="W490">
        <v>3</v>
      </c>
      <c r="X490">
        <v>3</v>
      </c>
      <c r="Y490">
        <v>1</v>
      </c>
      <c r="Z490">
        <v>50</v>
      </c>
      <c r="AA490" t="s">
        <v>66</v>
      </c>
      <c r="AB490" t="s">
        <v>66</v>
      </c>
      <c r="AC490" t="s">
        <v>66</v>
      </c>
      <c r="AD490" t="s">
        <v>66</v>
      </c>
      <c r="AE490">
        <v>10</v>
      </c>
      <c r="AF490">
        <v>10</v>
      </c>
      <c r="AG490" t="s">
        <v>66</v>
      </c>
      <c r="AH490">
        <v>6</v>
      </c>
      <c r="AI490">
        <v>8</v>
      </c>
      <c r="AJ490" t="s">
        <v>66</v>
      </c>
      <c r="AK490">
        <v>2</v>
      </c>
      <c r="AL490">
        <v>4</v>
      </c>
      <c r="AM490">
        <v>4</v>
      </c>
      <c r="AN490">
        <v>6</v>
      </c>
      <c r="AO490">
        <v>50</v>
      </c>
      <c r="AP490">
        <v>0</v>
      </c>
      <c r="AQ490">
        <v>2.5</v>
      </c>
      <c r="AR490">
        <v>1.6666666670000001</v>
      </c>
      <c r="AS490">
        <v>-0.83333333300000001</v>
      </c>
      <c r="AT490">
        <v>0</v>
      </c>
      <c r="AU490" t="s">
        <v>66</v>
      </c>
      <c r="AV490">
        <v>0</v>
      </c>
      <c r="AW490">
        <v>0</v>
      </c>
      <c r="AX490">
        <v>0</v>
      </c>
      <c r="AY490">
        <v>1</v>
      </c>
      <c r="AZ490">
        <v>1</v>
      </c>
      <c r="BA490">
        <v>1</v>
      </c>
      <c r="BB490" t="s">
        <v>66</v>
      </c>
      <c r="BC490" t="s">
        <v>66</v>
      </c>
      <c r="BD490" t="s">
        <v>66</v>
      </c>
      <c r="BE490" t="s">
        <v>66</v>
      </c>
      <c r="BF490">
        <v>0</v>
      </c>
      <c r="BG490" t="s">
        <v>66</v>
      </c>
      <c r="BH490" t="s">
        <v>66</v>
      </c>
      <c r="BI490">
        <v>21</v>
      </c>
      <c r="BJ490">
        <v>3.4</v>
      </c>
      <c r="BK490" t="s">
        <v>66</v>
      </c>
      <c r="BL490">
        <v>15</v>
      </c>
      <c r="BM490">
        <v>11</v>
      </c>
      <c r="BN490">
        <v>4</v>
      </c>
      <c r="BO490">
        <f t="shared" si="77"/>
        <v>7.5</v>
      </c>
      <c r="BP490">
        <v>4</v>
      </c>
      <c r="BQ490">
        <v>1</v>
      </c>
      <c r="BS490">
        <v>0</v>
      </c>
      <c r="BT490">
        <f t="shared" si="78"/>
        <v>42.857142857142854</v>
      </c>
      <c r="BU490">
        <f t="shared" si="79"/>
        <v>41.17647058823529</v>
      </c>
      <c r="BV490">
        <f t="shared" si="80"/>
        <v>33.333333333333329</v>
      </c>
      <c r="BW490">
        <f t="shared" si="81"/>
        <v>46.666666666666664</v>
      </c>
    </row>
    <row r="491" spans="1:75" x14ac:dyDescent="0.2">
      <c r="A491" t="s">
        <v>170</v>
      </c>
      <c r="B491" t="s">
        <v>171</v>
      </c>
      <c r="C491" t="s">
        <v>62</v>
      </c>
      <c r="D491" t="s">
        <v>603</v>
      </c>
      <c r="E491" t="s">
        <v>638</v>
      </c>
      <c r="F491" t="s">
        <v>721</v>
      </c>
      <c r="G491">
        <v>2.65</v>
      </c>
      <c r="H491">
        <v>15.9</v>
      </c>
      <c r="I491">
        <v>15.75</v>
      </c>
      <c r="J491">
        <v>1.4</v>
      </c>
      <c r="K491">
        <v>35.700000000000003</v>
      </c>
      <c r="L491">
        <v>11.943396229999999</v>
      </c>
      <c r="M491">
        <v>56</v>
      </c>
      <c r="N491">
        <v>63</v>
      </c>
      <c r="O491">
        <v>7</v>
      </c>
      <c r="P491">
        <v>63</v>
      </c>
      <c r="Q491">
        <v>7</v>
      </c>
      <c r="R491">
        <v>3.5</v>
      </c>
      <c r="S491">
        <v>54.1</v>
      </c>
      <c r="T491">
        <v>12.5</v>
      </c>
      <c r="U491">
        <v>0</v>
      </c>
      <c r="V491">
        <v>6</v>
      </c>
      <c r="W491">
        <v>7</v>
      </c>
      <c r="X491">
        <v>9</v>
      </c>
      <c r="Y491">
        <v>3</v>
      </c>
      <c r="Z491">
        <v>50</v>
      </c>
      <c r="AA491" t="s">
        <v>66</v>
      </c>
      <c r="AB491" t="s">
        <v>66</v>
      </c>
      <c r="AC491" t="s">
        <v>66</v>
      </c>
      <c r="AD491" t="s">
        <v>66</v>
      </c>
      <c r="AE491">
        <v>50</v>
      </c>
      <c r="AF491">
        <v>54</v>
      </c>
      <c r="AG491" t="s">
        <v>66</v>
      </c>
      <c r="AH491">
        <v>32</v>
      </c>
      <c r="AI491">
        <v>35</v>
      </c>
      <c r="AJ491" t="s">
        <v>66</v>
      </c>
      <c r="AK491">
        <v>19</v>
      </c>
      <c r="AL491">
        <v>28</v>
      </c>
      <c r="AM491">
        <v>25.5</v>
      </c>
      <c r="AN491">
        <v>31.5</v>
      </c>
      <c r="AO491">
        <v>23.529411759999999</v>
      </c>
      <c r="AP491">
        <v>8</v>
      </c>
      <c r="AQ491">
        <v>1.9607843140000001</v>
      </c>
      <c r="AR491">
        <v>1.7142857140000001</v>
      </c>
      <c r="AS491">
        <v>-0.24649860000000001</v>
      </c>
      <c r="AT491">
        <v>0</v>
      </c>
      <c r="AU491" t="s">
        <v>66</v>
      </c>
      <c r="AV491">
        <v>0</v>
      </c>
      <c r="AW491">
        <v>0</v>
      </c>
      <c r="AX491">
        <v>0</v>
      </c>
      <c r="AY491">
        <v>1</v>
      </c>
      <c r="AZ491">
        <v>1</v>
      </c>
      <c r="BA491">
        <v>1</v>
      </c>
      <c r="BB491" t="s">
        <v>66</v>
      </c>
      <c r="BC491" t="s">
        <v>66</v>
      </c>
      <c r="BD491" t="s">
        <v>66</v>
      </c>
      <c r="BE491" t="s">
        <v>66</v>
      </c>
      <c r="BF491">
        <v>0</v>
      </c>
      <c r="BG491" t="s">
        <v>66</v>
      </c>
      <c r="BH491" t="s">
        <v>66</v>
      </c>
      <c r="BI491">
        <v>80</v>
      </c>
      <c r="BJ491">
        <v>11.2</v>
      </c>
      <c r="BK491" t="s">
        <v>66</v>
      </c>
      <c r="BL491">
        <v>73</v>
      </c>
      <c r="BM491">
        <v>38</v>
      </c>
      <c r="BN491">
        <v>19</v>
      </c>
      <c r="BO491">
        <f t="shared" si="77"/>
        <v>28.5</v>
      </c>
      <c r="BP491">
        <v>4</v>
      </c>
      <c r="BQ491">
        <v>1</v>
      </c>
      <c r="BS491">
        <v>0</v>
      </c>
      <c r="BT491">
        <f t="shared" si="78"/>
        <v>30</v>
      </c>
      <c r="BU491">
        <f t="shared" si="79"/>
        <v>46.428571428571423</v>
      </c>
      <c r="BV491">
        <f t="shared" si="80"/>
        <v>31.506849315068493</v>
      </c>
      <c r="BW491">
        <f t="shared" si="81"/>
        <v>10.526315789473683</v>
      </c>
    </row>
    <row r="492" spans="1:75" x14ac:dyDescent="0.2">
      <c r="A492" t="s">
        <v>170</v>
      </c>
      <c r="B492" t="s">
        <v>171</v>
      </c>
      <c r="C492" t="s">
        <v>62</v>
      </c>
      <c r="D492" t="s">
        <v>603</v>
      </c>
      <c r="E492" t="s">
        <v>640</v>
      </c>
      <c r="F492" t="s">
        <v>722</v>
      </c>
      <c r="G492">
        <v>2.65</v>
      </c>
      <c r="H492">
        <v>15.9</v>
      </c>
      <c r="I492">
        <v>15.75</v>
      </c>
      <c r="J492">
        <v>1.4</v>
      </c>
      <c r="K492">
        <v>35.700000000000003</v>
      </c>
      <c r="L492">
        <v>11.943396229999999</v>
      </c>
      <c r="M492">
        <v>10</v>
      </c>
      <c r="N492">
        <v>15</v>
      </c>
      <c r="O492">
        <v>5</v>
      </c>
      <c r="P492">
        <v>17</v>
      </c>
      <c r="Q492">
        <v>7</v>
      </c>
      <c r="R492">
        <v>3.5</v>
      </c>
      <c r="S492">
        <v>54.1</v>
      </c>
      <c r="T492">
        <v>70</v>
      </c>
      <c r="U492">
        <v>13.33333333</v>
      </c>
      <c r="V492">
        <v>2</v>
      </c>
      <c r="W492">
        <v>2</v>
      </c>
      <c r="X492">
        <v>2</v>
      </c>
      <c r="Y492">
        <v>0</v>
      </c>
      <c r="Z492">
        <v>0</v>
      </c>
      <c r="AA492" t="s">
        <v>66</v>
      </c>
      <c r="AB492" t="s">
        <v>66</v>
      </c>
      <c r="AC492" t="s">
        <v>66</v>
      </c>
      <c r="AD492" t="s">
        <v>66</v>
      </c>
      <c r="AE492">
        <v>11</v>
      </c>
      <c r="AF492">
        <v>11</v>
      </c>
      <c r="AG492" t="s">
        <v>66</v>
      </c>
      <c r="AH492">
        <v>6</v>
      </c>
      <c r="AI492">
        <v>7</v>
      </c>
      <c r="AJ492" t="s">
        <v>66</v>
      </c>
      <c r="AK492">
        <v>5</v>
      </c>
      <c r="AL492">
        <v>5</v>
      </c>
      <c r="AM492">
        <v>5.5</v>
      </c>
      <c r="AN492">
        <v>6</v>
      </c>
      <c r="AO492">
        <v>9.0909090910000003</v>
      </c>
      <c r="AP492">
        <v>0</v>
      </c>
      <c r="AQ492">
        <v>2</v>
      </c>
      <c r="AR492">
        <v>1.8333333329999999</v>
      </c>
      <c r="AS492">
        <v>-0.16666666699999999</v>
      </c>
      <c r="AT492">
        <v>0</v>
      </c>
      <c r="AU492" t="s">
        <v>66</v>
      </c>
      <c r="AV492">
        <v>0</v>
      </c>
      <c r="AW492">
        <v>0</v>
      </c>
      <c r="AX492">
        <v>0</v>
      </c>
      <c r="AY492">
        <v>1</v>
      </c>
      <c r="AZ492">
        <v>1</v>
      </c>
      <c r="BA492">
        <v>1</v>
      </c>
      <c r="BB492" t="s">
        <v>66</v>
      </c>
      <c r="BC492" t="s">
        <v>66</v>
      </c>
      <c r="BD492" t="s">
        <v>66</v>
      </c>
      <c r="BE492" t="s">
        <v>66</v>
      </c>
      <c r="BF492">
        <v>0</v>
      </c>
      <c r="BG492" t="s">
        <v>66</v>
      </c>
      <c r="BH492" t="s">
        <v>66</v>
      </c>
      <c r="BI492">
        <v>18</v>
      </c>
      <c r="BJ492">
        <v>2.2000000000000002</v>
      </c>
      <c r="BK492" t="s">
        <v>66</v>
      </c>
      <c r="BL492">
        <v>10</v>
      </c>
      <c r="BM492">
        <v>9</v>
      </c>
      <c r="BN492">
        <v>4</v>
      </c>
      <c r="BO492">
        <f t="shared" si="77"/>
        <v>6.5</v>
      </c>
      <c r="BP492">
        <v>3</v>
      </c>
      <c r="BQ492">
        <v>1</v>
      </c>
      <c r="BS492">
        <v>0</v>
      </c>
      <c r="BT492">
        <f t="shared" si="78"/>
        <v>44.444444444444443</v>
      </c>
      <c r="BU492">
        <f t="shared" si="79"/>
        <v>9.0909090909090988</v>
      </c>
      <c r="BV492">
        <f t="shared" si="80"/>
        <v>-10</v>
      </c>
      <c r="BW492">
        <f t="shared" si="81"/>
        <v>15.384615384615385</v>
      </c>
    </row>
    <row r="493" spans="1:75" x14ac:dyDescent="0.2">
      <c r="A493" t="s">
        <v>170</v>
      </c>
      <c r="B493" t="s">
        <v>171</v>
      </c>
      <c r="C493" t="s">
        <v>62</v>
      </c>
      <c r="D493" t="s">
        <v>603</v>
      </c>
      <c r="E493" t="s">
        <v>642</v>
      </c>
      <c r="F493" t="s">
        <v>723</v>
      </c>
      <c r="G493">
        <v>2.65</v>
      </c>
      <c r="H493">
        <v>15.9</v>
      </c>
      <c r="I493">
        <v>15.75</v>
      </c>
      <c r="J493">
        <v>1.4</v>
      </c>
      <c r="K493">
        <v>35.700000000000003</v>
      </c>
      <c r="L493">
        <v>11.943396229999999</v>
      </c>
      <c r="M493">
        <v>29</v>
      </c>
      <c r="N493">
        <v>40</v>
      </c>
      <c r="O493">
        <v>11</v>
      </c>
      <c r="P493">
        <v>39</v>
      </c>
      <c r="Q493">
        <v>10</v>
      </c>
      <c r="R493">
        <v>5</v>
      </c>
      <c r="S493">
        <v>57.1</v>
      </c>
      <c r="T493">
        <v>34.482758619999998</v>
      </c>
      <c r="U493">
        <v>-2.5</v>
      </c>
      <c r="V493">
        <v>3</v>
      </c>
      <c r="W493">
        <v>7</v>
      </c>
      <c r="X493">
        <v>6</v>
      </c>
      <c r="Y493">
        <v>3</v>
      </c>
      <c r="Z493">
        <v>100</v>
      </c>
      <c r="AA493" t="s">
        <v>66</v>
      </c>
      <c r="AB493" t="s">
        <v>66</v>
      </c>
      <c r="AC493" t="s">
        <v>66</v>
      </c>
      <c r="AD493" t="s">
        <v>66</v>
      </c>
      <c r="AE493">
        <v>34</v>
      </c>
      <c r="AF493">
        <v>30</v>
      </c>
      <c r="AG493" t="s">
        <v>66</v>
      </c>
      <c r="AH493">
        <v>20</v>
      </c>
      <c r="AI493">
        <v>21</v>
      </c>
      <c r="AJ493" t="s">
        <v>66</v>
      </c>
      <c r="AK493">
        <v>16</v>
      </c>
      <c r="AL493">
        <v>14</v>
      </c>
      <c r="AM493">
        <v>18</v>
      </c>
      <c r="AN493">
        <v>17.5</v>
      </c>
      <c r="AO493">
        <v>-2.7777777779999999</v>
      </c>
      <c r="AP493">
        <v>-11.764705879999999</v>
      </c>
      <c r="AQ493">
        <v>1.888888889</v>
      </c>
      <c r="AR493">
        <v>1.7142857140000001</v>
      </c>
      <c r="AS493">
        <v>-0.174603175</v>
      </c>
      <c r="AT493">
        <v>0</v>
      </c>
      <c r="AU493" t="s">
        <v>66</v>
      </c>
      <c r="AV493">
        <v>0</v>
      </c>
      <c r="AW493">
        <v>0</v>
      </c>
      <c r="AX493">
        <v>0</v>
      </c>
      <c r="AY493">
        <v>1</v>
      </c>
      <c r="AZ493">
        <v>1</v>
      </c>
      <c r="BA493">
        <v>1</v>
      </c>
      <c r="BB493" t="s">
        <v>66</v>
      </c>
      <c r="BC493" t="s">
        <v>66</v>
      </c>
      <c r="BD493" t="s">
        <v>66</v>
      </c>
      <c r="BE493" t="s">
        <v>66</v>
      </c>
      <c r="BF493">
        <v>0</v>
      </c>
      <c r="BG493" t="s">
        <v>66</v>
      </c>
      <c r="BH493" t="s">
        <v>66</v>
      </c>
      <c r="BI493">
        <v>58</v>
      </c>
      <c r="BJ493">
        <v>8</v>
      </c>
      <c r="BK493" t="s">
        <v>66</v>
      </c>
      <c r="BL493">
        <v>49</v>
      </c>
      <c r="BM493">
        <v>29</v>
      </c>
      <c r="BN493">
        <v>17</v>
      </c>
      <c r="BO493">
        <f t="shared" si="77"/>
        <v>23</v>
      </c>
      <c r="BP493">
        <v>4</v>
      </c>
      <c r="BQ493">
        <v>1</v>
      </c>
      <c r="BS493">
        <v>0</v>
      </c>
      <c r="BT493">
        <f t="shared" si="78"/>
        <v>50</v>
      </c>
      <c r="BU493">
        <f t="shared" si="79"/>
        <v>62.5</v>
      </c>
      <c r="BV493">
        <f t="shared" si="80"/>
        <v>30.612244897959183</v>
      </c>
      <c r="BW493">
        <f t="shared" si="81"/>
        <v>21.739130434782609</v>
      </c>
    </row>
    <row r="494" spans="1:75" x14ac:dyDescent="0.2">
      <c r="A494" t="s">
        <v>213</v>
      </c>
      <c r="B494" t="s">
        <v>214</v>
      </c>
      <c r="C494" t="s">
        <v>62</v>
      </c>
      <c r="D494" t="s">
        <v>603</v>
      </c>
      <c r="E494" t="s">
        <v>606</v>
      </c>
      <c r="F494" t="s">
        <v>745</v>
      </c>
      <c r="G494">
        <v>5</v>
      </c>
      <c r="H494">
        <v>6.75</v>
      </c>
      <c r="I494">
        <v>12.5</v>
      </c>
      <c r="J494">
        <v>15.2</v>
      </c>
      <c r="K494">
        <v>39.450000000000003</v>
      </c>
      <c r="L494">
        <v>3.85</v>
      </c>
      <c r="M494">
        <v>23</v>
      </c>
      <c r="N494">
        <v>35</v>
      </c>
      <c r="O494">
        <v>12</v>
      </c>
      <c r="P494">
        <v>41</v>
      </c>
      <c r="Q494">
        <v>18</v>
      </c>
      <c r="R494">
        <v>9</v>
      </c>
      <c r="S494">
        <v>65.099999999999994</v>
      </c>
      <c r="T494">
        <v>78.260869569999997</v>
      </c>
      <c r="U494">
        <v>17.14285714</v>
      </c>
      <c r="V494">
        <v>3</v>
      </c>
      <c r="W494">
        <v>6</v>
      </c>
      <c r="X494">
        <v>5</v>
      </c>
      <c r="Y494">
        <v>2</v>
      </c>
      <c r="Z494">
        <v>66.666666669999998</v>
      </c>
      <c r="AA494" t="s">
        <v>66</v>
      </c>
      <c r="AB494" t="s">
        <v>66</v>
      </c>
      <c r="AC494" t="s">
        <v>66</v>
      </c>
      <c r="AD494" t="s">
        <v>66</v>
      </c>
      <c r="AE494">
        <v>30</v>
      </c>
      <c r="AF494">
        <v>34</v>
      </c>
      <c r="AG494" t="s">
        <v>66</v>
      </c>
      <c r="AH494">
        <v>15</v>
      </c>
      <c r="AI494">
        <v>18</v>
      </c>
      <c r="AJ494" t="s">
        <v>66</v>
      </c>
      <c r="AK494">
        <v>12</v>
      </c>
      <c r="AL494">
        <v>13</v>
      </c>
      <c r="AM494">
        <v>13.5</v>
      </c>
      <c r="AN494">
        <v>15.5</v>
      </c>
      <c r="AO494">
        <v>14.81481481</v>
      </c>
      <c r="AP494">
        <v>13.33333333</v>
      </c>
      <c r="AQ494">
        <v>2.2222222220000001</v>
      </c>
      <c r="AR494">
        <v>2.1935483869999999</v>
      </c>
      <c r="AS494">
        <v>-2.8673835000000002E-2</v>
      </c>
      <c r="AT494">
        <v>0</v>
      </c>
      <c r="AU494" t="s">
        <v>66</v>
      </c>
      <c r="AV494">
        <v>0</v>
      </c>
      <c r="AW494">
        <v>0</v>
      </c>
      <c r="AX494">
        <v>0</v>
      </c>
      <c r="AY494">
        <v>1</v>
      </c>
      <c r="AZ494">
        <v>1</v>
      </c>
      <c r="BA494">
        <v>1</v>
      </c>
      <c r="BB494" t="s">
        <v>66</v>
      </c>
      <c r="BC494" t="s">
        <v>66</v>
      </c>
      <c r="BD494" t="s">
        <v>66</v>
      </c>
      <c r="BE494" t="s">
        <v>66</v>
      </c>
      <c r="BF494">
        <v>0</v>
      </c>
      <c r="BG494" t="s">
        <v>66</v>
      </c>
      <c r="BH494" t="s">
        <v>66</v>
      </c>
      <c r="BI494">
        <v>50</v>
      </c>
      <c r="BJ494">
        <v>7.1</v>
      </c>
      <c r="BK494" t="s">
        <v>66</v>
      </c>
      <c r="BL494">
        <v>40</v>
      </c>
      <c r="BM494">
        <v>19</v>
      </c>
      <c r="BN494">
        <v>14</v>
      </c>
      <c r="BO494">
        <f t="shared" si="77"/>
        <v>16.5</v>
      </c>
      <c r="BP494">
        <v>4</v>
      </c>
      <c r="BQ494">
        <v>1</v>
      </c>
      <c r="BS494">
        <v>0</v>
      </c>
      <c r="BT494">
        <f t="shared" si="78"/>
        <v>54</v>
      </c>
      <c r="BU494">
        <f t="shared" si="79"/>
        <v>57.74647887323944</v>
      </c>
      <c r="BV494">
        <f t="shared" si="80"/>
        <v>25</v>
      </c>
      <c r="BW494">
        <f t="shared" si="81"/>
        <v>18.181818181818183</v>
      </c>
    </row>
    <row r="495" spans="1:75" x14ac:dyDescent="0.2">
      <c r="A495" t="s">
        <v>213</v>
      </c>
      <c r="B495" t="s">
        <v>214</v>
      </c>
      <c r="C495" t="s">
        <v>62</v>
      </c>
      <c r="D495" t="s">
        <v>603</v>
      </c>
      <c r="E495" t="s">
        <v>608</v>
      </c>
      <c r="F495" t="s">
        <v>746</v>
      </c>
      <c r="G495">
        <v>5</v>
      </c>
      <c r="H495">
        <v>6.75</v>
      </c>
      <c r="I495">
        <v>12.5</v>
      </c>
      <c r="J495">
        <v>15.2</v>
      </c>
      <c r="K495">
        <v>39.450000000000003</v>
      </c>
      <c r="L495">
        <v>3.85</v>
      </c>
      <c r="M495">
        <v>17</v>
      </c>
      <c r="N495">
        <v>27</v>
      </c>
      <c r="O495">
        <v>10</v>
      </c>
      <c r="P495">
        <v>33</v>
      </c>
      <c r="Q495">
        <v>16</v>
      </c>
      <c r="R495">
        <v>8</v>
      </c>
      <c r="S495">
        <v>63.1</v>
      </c>
      <c r="T495">
        <v>94.117647059999996</v>
      </c>
      <c r="U495">
        <v>22.222222219999999</v>
      </c>
      <c r="V495">
        <v>3</v>
      </c>
      <c r="W495">
        <v>4</v>
      </c>
      <c r="X495">
        <v>6</v>
      </c>
      <c r="Y495">
        <v>3</v>
      </c>
      <c r="Z495">
        <v>100</v>
      </c>
      <c r="AA495" t="s">
        <v>66</v>
      </c>
      <c r="AB495" t="s">
        <v>66</v>
      </c>
      <c r="AC495" t="s">
        <v>66</v>
      </c>
      <c r="AD495" t="s">
        <v>66</v>
      </c>
      <c r="AE495">
        <v>20</v>
      </c>
      <c r="AF495">
        <v>29</v>
      </c>
      <c r="AG495" t="s">
        <v>66</v>
      </c>
      <c r="AH495">
        <v>15</v>
      </c>
      <c r="AI495">
        <v>22</v>
      </c>
      <c r="AJ495" t="s">
        <v>66</v>
      </c>
      <c r="AK495">
        <v>10</v>
      </c>
      <c r="AL495">
        <v>18</v>
      </c>
      <c r="AM495">
        <v>12.5</v>
      </c>
      <c r="AN495">
        <v>20</v>
      </c>
      <c r="AO495">
        <v>60</v>
      </c>
      <c r="AP495">
        <v>45</v>
      </c>
      <c r="AQ495">
        <v>1.6</v>
      </c>
      <c r="AR495">
        <v>1.45</v>
      </c>
      <c r="AS495">
        <v>-0.15</v>
      </c>
      <c r="AT495">
        <v>0</v>
      </c>
      <c r="AU495" t="s">
        <v>66</v>
      </c>
      <c r="AV495">
        <v>0</v>
      </c>
      <c r="AW495">
        <v>0</v>
      </c>
      <c r="AX495">
        <v>0</v>
      </c>
      <c r="AY495">
        <v>1</v>
      </c>
      <c r="AZ495">
        <v>1</v>
      </c>
      <c r="BA495">
        <v>1</v>
      </c>
      <c r="BB495" t="s">
        <v>66</v>
      </c>
      <c r="BC495" t="s">
        <v>66</v>
      </c>
      <c r="BD495" t="s">
        <v>66</v>
      </c>
      <c r="BE495" t="s">
        <v>66</v>
      </c>
      <c r="BF495">
        <v>0</v>
      </c>
      <c r="BG495" t="s">
        <v>66</v>
      </c>
      <c r="BH495" t="s">
        <v>66</v>
      </c>
      <c r="BI495">
        <v>45</v>
      </c>
      <c r="BJ495">
        <v>6.8</v>
      </c>
      <c r="BK495" t="s">
        <v>66</v>
      </c>
      <c r="BL495">
        <v>37</v>
      </c>
      <c r="BM495">
        <v>26</v>
      </c>
      <c r="BN495">
        <v>10</v>
      </c>
      <c r="BO495">
        <f t="shared" si="77"/>
        <v>18</v>
      </c>
      <c r="BP495">
        <v>4</v>
      </c>
      <c r="BQ495">
        <v>1</v>
      </c>
      <c r="BS495">
        <v>0</v>
      </c>
      <c r="BT495">
        <f t="shared" si="78"/>
        <v>62.222222222222221</v>
      </c>
      <c r="BU495">
        <f t="shared" si="79"/>
        <v>55.882352941176471</v>
      </c>
      <c r="BV495">
        <f t="shared" si="80"/>
        <v>45.945945945945951</v>
      </c>
      <c r="BW495">
        <f t="shared" si="81"/>
        <v>30.555555555555557</v>
      </c>
    </row>
    <row r="496" spans="1:75" x14ac:dyDescent="0.2">
      <c r="A496" t="s">
        <v>213</v>
      </c>
      <c r="B496" t="s">
        <v>214</v>
      </c>
      <c r="C496" t="s">
        <v>62</v>
      </c>
      <c r="D496" t="s">
        <v>603</v>
      </c>
      <c r="E496" t="s">
        <v>610</v>
      </c>
      <c r="F496" t="s">
        <v>747</v>
      </c>
      <c r="G496">
        <v>5</v>
      </c>
      <c r="H496">
        <v>6.75</v>
      </c>
      <c r="I496">
        <v>12.5</v>
      </c>
      <c r="J496">
        <v>15.2</v>
      </c>
      <c r="K496">
        <v>39.450000000000003</v>
      </c>
      <c r="L496">
        <v>3.85</v>
      </c>
      <c r="M496">
        <v>6</v>
      </c>
      <c r="N496">
        <v>11</v>
      </c>
      <c r="O496">
        <v>5</v>
      </c>
      <c r="P496">
        <v>12</v>
      </c>
      <c r="Q496">
        <v>6</v>
      </c>
      <c r="R496">
        <v>3</v>
      </c>
      <c r="S496">
        <v>53.1</v>
      </c>
      <c r="T496">
        <v>100</v>
      </c>
      <c r="U496">
        <v>9.0909090910000003</v>
      </c>
      <c r="V496">
        <v>1</v>
      </c>
      <c r="W496">
        <v>2</v>
      </c>
      <c r="X496">
        <v>2</v>
      </c>
      <c r="Y496">
        <v>1</v>
      </c>
      <c r="Z496">
        <v>100</v>
      </c>
      <c r="AA496" t="s">
        <v>66</v>
      </c>
      <c r="AB496" t="s">
        <v>66</v>
      </c>
      <c r="AC496" t="s">
        <v>66</v>
      </c>
      <c r="AD496" t="s">
        <v>66</v>
      </c>
      <c r="AE496">
        <v>5</v>
      </c>
      <c r="AF496">
        <v>8</v>
      </c>
      <c r="AG496" t="s">
        <v>66</v>
      </c>
      <c r="AH496">
        <v>4</v>
      </c>
      <c r="AI496">
        <v>6</v>
      </c>
      <c r="AJ496" t="s">
        <v>66</v>
      </c>
      <c r="AK496">
        <v>2</v>
      </c>
      <c r="AL496">
        <v>4</v>
      </c>
      <c r="AM496">
        <v>3</v>
      </c>
      <c r="AN496">
        <v>5</v>
      </c>
      <c r="AO496">
        <v>66.666666669999998</v>
      </c>
      <c r="AP496">
        <v>60</v>
      </c>
      <c r="AQ496">
        <v>1.6666666670000001</v>
      </c>
      <c r="AR496">
        <v>1.6</v>
      </c>
      <c r="AS496">
        <v>-6.6666666999999999E-2</v>
      </c>
      <c r="AT496">
        <v>0</v>
      </c>
      <c r="AU496" t="s">
        <v>66</v>
      </c>
      <c r="AV496">
        <v>0</v>
      </c>
      <c r="AW496">
        <v>0</v>
      </c>
      <c r="AX496">
        <v>0</v>
      </c>
      <c r="AY496">
        <v>1</v>
      </c>
      <c r="AZ496">
        <v>1</v>
      </c>
      <c r="BA496">
        <v>1</v>
      </c>
      <c r="BB496" t="s">
        <v>66</v>
      </c>
      <c r="BC496" t="s">
        <v>66</v>
      </c>
      <c r="BD496" t="s">
        <v>66</v>
      </c>
      <c r="BE496" t="s">
        <v>66</v>
      </c>
      <c r="BF496">
        <v>0</v>
      </c>
      <c r="BG496" t="s">
        <v>66</v>
      </c>
      <c r="BH496" t="s">
        <v>66</v>
      </c>
      <c r="BI496">
        <v>16</v>
      </c>
      <c r="BJ496">
        <v>3.3</v>
      </c>
      <c r="BK496" t="s">
        <v>66</v>
      </c>
      <c r="BL496">
        <v>11</v>
      </c>
      <c r="BM496">
        <v>10</v>
      </c>
      <c r="BN496">
        <v>4</v>
      </c>
      <c r="BO496">
        <f t="shared" si="77"/>
        <v>7</v>
      </c>
      <c r="BP496">
        <v>3</v>
      </c>
      <c r="BQ496">
        <v>1</v>
      </c>
      <c r="BS496">
        <v>0</v>
      </c>
      <c r="BT496">
        <f t="shared" si="78"/>
        <v>62.5</v>
      </c>
      <c r="BU496">
        <f t="shared" si="79"/>
        <v>69.696969696969688</v>
      </c>
      <c r="BV496">
        <f t="shared" si="80"/>
        <v>54.54545454545454</v>
      </c>
      <c r="BW496">
        <f t="shared" si="81"/>
        <v>57.142857142857139</v>
      </c>
    </row>
    <row r="497" spans="1:75" x14ac:dyDescent="0.2">
      <c r="A497" t="s">
        <v>213</v>
      </c>
      <c r="B497" t="s">
        <v>214</v>
      </c>
      <c r="C497" t="s">
        <v>62</v>
      </c>
      <c r="D497" t="s">
        <v>603</v>
      </c>
      <c r="E497" t="s">
        <v>612</v>
      </c>
      <c r="F497" t="s">
        <v>748</v>
      </c>
      <c r="G497">
        <v>5</v>
      </c>
      <c r="H497">
        <v>6.75</v>
      </c>
      <c r="I497">
        <v>12.5</v>
      </c>
      <c r="J497">
        <v>15.2</v>
      </c>
      <c r="K497">
        <v>39.450000000000003</v>
      </c>
      <c r="L497">
        <v>3.85</v>
      </c>
      <c r="M497">
        <v>18</v>
      </c>
      <c r="N497">
        <v>27</v>
      </c>
      <c r="O497">
        <v>9</v>
      </c>
      <c r="P497">
        <v>38</v>
      </c>
      <c r="Q497">
        <v>20</v>
      </c>
      <c r="R497">
        <v>10</v>
      </c>
      <c r="S497">
        <v>67.099999999999994</v>
      </c>
      <c r="T497">
        <v>111.1111111</v>
      </c>
      <c r="U497">
        <v>40.74074074</v>
      </c>
      <c r="V497">
        <v>4</v>
      </c>
      <c r="W497">
        <v>4</v>
      </c>
      <c r="X497">
        <v>6</v>
      </c>
      <c r="Y497">
        <v>2</v>
      </c>
      <c r="Z497">
        <v>50</v>
      </c>
      <c r="AA497" t="s">
        <v>66</v>
      </c>
      <c r="AB497" t="s">
        <v>66</v>
      </c>
      <c r="AC497" t="s">
        <v>66</v>
      </c>
      <c r="AD497" t="s">
        <v>66</v>
      </c>
      <c r="AE497">
        <v>23</v>
      </c>
      <c r="AF497">
        <v>27</v>
      </c>
      <c r="AG497" t="s">
        <v>66</v>
      </c>
      <c r="AH497">
        <v>13</v>
      </c>
      <c r="AI497">
        <v>18</v>
      </c>
      <c r="AJ497" t="s">
        <v>66</v>
      </c>
      <c r="AK497">
        <v>13</v>
      </c>
      <c r="AL497">
        <v>15</v>
      </c>
      <c r="AM497">
        <v>13</v>
      </c>
      <c r="AN497">
        <v>16.5</v>
      </c>
      <c r="AO497">
        <v>26.92307692</v>
      </c>
      <c r="AP497">
        <v>17.391304349999999</v>
      </c>
      <c r="AQ497">
        <v>1.769230769</v>
      </c>
      <c r="AR497">
        <v>1.636363636</v>
      </c>
      <c r="AS497">
        <v>-0.132867133</v>
      </c>
      <c r="AT497">
        <v>0</v>
      </c>
      <c r="AU497" t="s">
        <v>66</v>
      </c>
      <c r="AV497">
        <v>0</v>
      </c>
      <c r="AW497">
        <v>0</v>
      </c>
      <c r="AX497">
        <v>0</v>
      </c>
      <c r="AY497">
        <v>1</v>
      </c>
      <c r="AZ497">
        <v>1</v>
      </c>
      <c r="BA497">
        <v>1</v>
      </c>
      <c r="BB497" t="s">
        <v>66</v>
      </c>
      <c r="BC497" t="s">
        <v>66</v>
      </c>
      <c r="BD497" t="s">
        <v>66</v>
      </c>
      <c r="BE497" t="s">
        <v>66</v>
      </c>
      <c r="BF497">
        <v>0</v>
      </c>
      <c r="BG497" t="s">
        <v>66</v>
      </c>
      <c r="BH497" t="s">
        <v>66</v>
      </c>
      <c r="BI497">
        <v>45</v>
      </c>
      <c r="BJ497">
        <v>6.3</v>
      </c>
      <c r="BK497" t="s">
        <v>66</v>
      </c>
      <c r="BL497">
        <v>38</v>
      </c>
      <c r="BM497">
        <v>25</v>
      </c>
      <c r="BN497">
        <v>10</v>
      </c>
      <c r="BO497">
        <f t="shared" si="77"/>
        <v>17.5</v>
      </c>
      <c r="BP497">
        <v>4</v>
      </c>
      <c r="BQ497">
        <v>1</v>
      </c>
      <c r="BS497">
        <v>0</v>
      </c>
      <c r="BT497">
        <f t="shared" si="78"/>
        <v>60</v>
      </c>
      <c r="BU497">
        <f t="shared" si="79"/>
        <v>36.507936507936506</v>
      </c>
      <c r="BV497">
        <f t="shared" si="80"/>
        <v>39.473684210526315</v>
      </c>
      <c r="BW497">
        <f t="shared" si="81"/>
        <v>25.714285714285712</v>
      </c>
    </row>
    <row r="498" spans="1:75" x14ac:dyDescent="0.2">
      <c r="A498" t="s">
        <v>213</v>
      </c>
      <c r="B498" t="s">
        <v>214</v>
      </c>
      <c r="C498" t="s">
        <v>62</v>
      </c>
      <c r="D498" t="s">
        <v>603</v>
      </c>
      <c r="E498" t="s">
        <v>614</v>
      </c>
      <c r="F498" t="s">
        <v>749</v>
      </c>
      <c r="G498">
        <v>5</v>
      </c>
      <c r="H498">
        <v>6.75</v>
      </c>
      <c r="I498">
        <v>12.5</v>
      </c>
      <c r="J498">
        <v>15.2</v>
      </c>
      <c r="K498">
        <v>39.450000000000003</v>
      </c>
      <c r="L498">
        <v>3.85</v>
      </c>
      <c r="M498">
        <v>13</v>
      </c>
      <c r="N498">
        <v>18</v>
      </c>
      <c r="O498">
        <v>5</v>
      </c>
      <c r="P498">
        <v>22</v>
      </c>
      <c r="Q498">
        <v>9</v>
      </c>
      <c r="R498">
        <v>4.5</v>
      </c>
      <c r="S498">
        <v>56.1</v>
      </c>
      <c r="T498">
        <v>69.230769230000007</v>
      </c>
      <c r="U498">
        <v>22.222222219999999</v>
      </c>
      <c r="V498">
        <v>2</v>
      </c>
      <c r="W498">
        <v>3</v>
      </c>
      <c r="X498">
        <v>4</v>
      </c>
      <c r="Y498">
        <v>2</v>
      </c>
      <c r="Z498">
        <v>100</v>
      </c>
      <c r="AA498" t="s">
        <v>66</v>
      </c>
      <c r="AB498" t="s">
        <v>66</v>
      </c>
      <c r="AC498" t="s">
        <v>66</v>
      </c>
      <c r="AD498" t="s">
        <v>66</v>
      </c>
      <c r="AE498">
        <v>12</v>
      </c>
      <c r="AF498">
        <v>17</v>
      </c>
      <c r="AG498" t="s">
        <v>66</v>
      </c>
      <c r="AH498">
        <v>9</v>
      </c>
      <c r="AI498">
        <v>12</v>
      </c>
      <c r="AJ498" t="s">
        <v>66</v>
      </c>
      <c r="AK498">
        <v>5</v>
      </c>
      <c r="AL498">
        <v>10</v>
      </c>
      <c r="AM498">
        <v>7</v>
      </c>
      <c r="AN498">
        <v>11</v>
      </c>
      <c r="AO498">
        <v>57.142857139999997</v>
      </c>
      <c r="AP498">
        <v>41.666666669999998</v>
      </c>
      <c r="AQ498">
        <v>1.7142857140000001</v>
      </c>
      <c r="AR498">
        <v>1.5454545449999999</v>
      </c>
      <c r="AS498">
        <v>-0.168831169</v>
      </c>
      <c r="AT498">
        <v>0</v>
      </c>
      <c r="AU498" t="s">
        <v>66</v>
      </c>
      <c r="AV498">
        <v>0</v>
      </c>
      <c r="AW498">
        <v>0</v>
      </c>
      <c r="AX498">
        <v>0</v>
      </c>
      <c r="AY498">
        <v>1</v>
      </c>
      <c r="AZ498">
        <v>1</v>
      </c>
      <c r="BA498">
        <v>1</v>
      </c>
      <c r="BB498" t="s">
        <v>66</v>
      </c>
      <c r="BC498" t="s">
        <v>66</v>
      </c>
      <c r="BD498" t="s">
        <v>66</v>
      </c>
      <c r="BE498" t="s">
        <v>66</v>
      </c>
      <c r="BF498">
        <v>0</v>
      </c>
      <c r="BG498" t="s">
        <v>66</v>
      </c>
      <c r="BH498" t="s">
        <v>66</v>
      </c>
      <c r="BI498">
        <v>31</v>
      </c>
      <c r="BJ498">
        <v>5.5</v>
      </c>
      <c r="BK498" t="s">
        <v>66</v>
      </c>
      <c r="BL498">
        <v>25</v>
      </c>
      <c r="BM498">
        <v>16</v>
      </c>
      <c r="BN498">
        <v>6</v>
      </c>
      <c r="BO498">
        <f t="shared" si="77"/>
        <v>11</v>
      </c>
      <c r="BP498">
        <v>4</v>
      </c>
      <c r="BQ498">
        <v>1</v>
      </c>
      <c r="BS498">
        <v>0</v>
      </c>
      <c r="BT498">
        <f t="shared" si="78"/>
        <v>58.064516129032263</v>
      </c>
      <c r="BU498">
        <f t="shared" si="79"/>
        <v>63.636363636363633</v>
      </c>
      <c r="BV498">
        <f t="shared" si="80"/>
        <v>52</v>
      </c>
      <c r="BW498">
        <f t="shared" si="81"/>
        <v>36.363636363636367</v>
      </c>
    </row>
    <row r="499" spans="1:75" x14ac:dyDescent="0.2">
      <c r="A499" t="s">
        <v>213</v>
      </c>
      <c r="B499" t="s">
        <v>214</v>
      </c>
      <c r="C499" t="s">
        <v>62</v>
      </c>
      <c r="D499" t="s">
        <v>603</v>
      </c>
      <c r="E499" t="s">
        <v>616</v>
      </c>
      <c r="F499" t="s">
        <v>750</v>
      </c>
      <c r="G499">
        <v>5</v>
      </c>
      <c r="H499">
        <v>6.75</v>
      </c>
      <c r="I499">
        <v>12.5</v>
      </c>
      <c r="J499">
        <v>15.2</v>
      </c>
      <c r="K499">
        <v>39.450000000000003</v>
      </c>
      <c r="L499">
        <v>3.85</v>
      </c>
      <c r="M499">
        <v>15</v>
      </c>
      <c r="N499">
        <v>20</v>
      </c>
      <c r="O499">
        <v>5</v>
      </c>
      <c r="P499">
        <v>25</v>
      </c>
      <c r="Q499">
        <v>10</v>
      </c>
      <c r="R499">
        <v>5</v>
      </c>
      <c r="S499">
        <v>57.1</v>
      </c>
      <c r="T499">
        <v>66.666666669999998</v>
      </c>
      <c r="U499">
        <v>25</v>
      </c>
      <c r="V499">
        <v>2</v>
      </c>
      <c r="W499">
        <v>3</v>
      </c>
      <c r="X499">
        <v>3</v>
      </c>
      <c r="Y499">
        <v>1</v>
      </c>
      <c r="Z499">
        <v>50</v>
      </c>
      <c r="AA499" t="s">
        <v>66</v>
      </c>
      <c r="AB499" t="s">
        <v>66</v>
      </c>
      <c r="AC499" t="s">
        <v>66</v>
      </c>
      <c r="AD499" t="s">
        <v>66</v>
      </c>
      <c r="AE499">
        <v>16</v>
      </c>
      <c r="AF499">
        <v>20</v>
      </c>
      <c r="AG499" t="s">
        <v>66</v>
      </c>
      <c r="AH499">
        <v>7</v>
      </c>
      <c r="AI499">
        <v>12</v>
      </c>
      <c r="AJ499" t="s">
        <v>66</v>
      </c>
      <c r="AK499">
        <v>4</v>
      </c>
      <c r="AL499">
        <v>10</v>
      </c>
      <c r="AM499">
        <v>5.5</v>
      </c>
      <c r="AN499">
        <v>11</v>
      </c>
      <c r="AO499">
        <v>100</v>
      </c>
      <c r="AP499">
        <v>25</v>
      </c>
      <c r="AQ499">
        <v>2.9090909090000001</v>
      </c>
      <c r="AR499">
        <v>1.818181818</v>
      </c>
      <c r="AS499">
        <v>-1.0909090910000001</v>
      </c>
      <c r="AT499">
        <v>0</v>
      </c>
      <c r="AU499" t="s">
        <v>66</v>
      </c>
      <c r="AV499">
        <v>0</v>
      </c>
      <c r="AW499">
        <v>0</v>
      </c>
      <c r="AX499">
        <v>0</v>
      </c>
      <c r="AY499">
        <v>1</v>
      </c>
      <c r="AZ499">
        <v>1</v>
      </c>
      <c r="BA499">
        <v>1</v>
      </c>
      <c r="BB499" t="s">
        <v>66</v>
      </c>
      <c r="BC499" t="s">
        <v>66</v>
      </c>
      <c r="BD499" t="s">
        <v>66</v>
      </c>
      <c r="BE499" t="s">
        <v>66</v>
      </c>
      <c r="BF499">
        <v>0</v>
      </c>
      <c r="BG499" t="s">
        <v>66</v>
      </c>
      <c r="BH499" t="s">
        <v>66</v>
      </c>
      <c r="BI499">
        <v>36</v>
      </c>
      <c r="BJ499">
        <v>5.8</v>
      </c>
      <c r="BK499" t="s">
        <v>66</v>
      </c>
      <c r="BL499">
        <v>30</v>
      </c>
      <c r="BM499">
        <v>18</v>
      </c>
      <c r="BN499">
        <v>11</v>
      </c>
      <c r="BO499">
        <f t="shared" si="77"/>
        <v>14.5</v>
      </c>
      <c r="BP499">
        <v>4</v>
      </c>
      <c r="BQ499">
        <v>1</v>
      </c>
      <c r="BS499">
        <v>0</v>
      </c>
      <c r="BT499">
        <f t="shared" si="78"/>
        <v>58.333333333333336</v>
      </c>
      <c r="BU499">
        <f t="shared" si="79"/>
        <v>65.517241379310349</v>
      </c>
      <c r="BV499">
        <f t="shared" si="80"/>
        <v>46.666666666666664</v>
      </c>
      <c r="BW499">
        <f t="shared" si="81"/>
        <v>62.068965517241381</v>
      </c>
    </row>
    <row r="500" spans="1:75" x14ac:dyDescent="0.2">
      <c r="A500" t="s">
        <v>213</v>
      </c>
      <c r="B500" t="s">
        <v>214</v>
      </c>
      <c r="C500" t="s">
        <v>62</v>
      </c>
      <c r="D500" t="s">
        <v>603</v>
      </c>
      <c r="E500" t="s">
        <v>618</v>
      </c>
      <c r="F500" t="s">
        <v>751</v>
      </c>
      <c r="G500">
        <v>5</v>
      </c>
      <c r="H500">
        <v>6.75</v>
      </c>
      <c r="I500">
        <v>12.5</v>
      </c>
      <c r="J500">
        <v>15.2</v>
      </c>
      <c r="K500">
        <v>39.450000000000003</v>
      </c>
      <c r="L500">
        <v>3.85</v>
      </c>
      <c r="M500">
        <v>8</v>
      </c>
      <c r="N500">
        <v>12</v>
      </c>
      <c r="O500">
        <v>4</v>
      </c>
      <c r="P500">
        <v>16</v>
      </c>
      <c r="Q500">
        <v>8</v>
      </c>
      <c r="R500">
        <v>4</v>
      </c>
      <c r="S500">
        <v>55.1</v>
      </c>
      <c r="T500">
        <v>100</v>
      </c>
      <c r="U500">
        <v>33.333333330000002</v>
      </c>
      <c r="V500">
        <v>2</v>
      </c>
      <c r="W500">
        <v>3</v>
      </c>
      <c r="X500">
        <v>3</v>
      </c>
      <c r="Y500">
        <v>1</v>
      </c>
      <c r="Z500">
        <v>50</v>
      </c>
      <c r="AA500" t="s">
        <v>66</v>
      </c>
      <c r="AB500" t="s">
        <v>66</v>
      </c>
      <c r="AC500" t="s">
        <v>66</v>
      </c>
      <c r="AD500" t="s">
        <v>66</v>
      </c>
      <c r="AE500">
        <v>9</v>
      </c>
      <c r="AF500">
        <v>12</v>
      </c>
      <c r="AG500" t="s">
        <v>66</v>
      </c>
      <c r="AH500">
        <v>7</v>
      </c>
      <c r="AI500">
        <v>8</v>
      </c>
      <c r="AJ500" t="s">
        <v>66</v>
      </c>
      <c r="AK500">
        <v>3</v>
      </c>
      <c r="AL500">
        <v>7</v>
      </c>
      <c r="AM500">
        <v>5</v>
      </c>
      <c r="AN500">
        <v>7.5</v>
      </c>
      <c r="AO500">
        <v>50</v>
      </c>
      <c r="AP500">
        <v>33.333333330000002</v>
      </c>
      <c r="AQ500">
        <v>1.8</v>
      </c>
      <c r="AR500">
        <v>1.6</v>
      </c>
      <c r="AS500">
        <v>-0.2</v>
      </c>
      <c r="AT500">
        <v>0</v>
      </c>
      <c r="AU500" t="s">
        <v>66</v>
      </c>
      <c r="AV500">
        <v>0</v>
      </c>
      <c r="AW500">
        <v>0</v>
      </c>
      <c r="AX500">
        <v>0</v>
      </c>
      <c r="AY500">
        <v>1</v>
      </c>
      <c r="AZ500">
        <v>1</v>
      </c>
      <c r="BA500">
        <v>1</v>
      </c>
      <c r="BB500" t="s">
        <v>66</v>
      </c>
      <c r="BC500" t="s">
        <v>66</v>
      </c>
      <c r="BD500" t="s">
        <v>66</v>
      </c>
      <c r="BE500" t="s">
        <v>66</v>
      </c>
      <c r="BF500">
        <v>0</v>
      </c>
      <c r="BG500" t="s">
        <v>66</v>
      </c>
      <c r="BH500" t="s">
        <v>66</v>
      </c>
      <c r="BI500">
        <v>23</v>
      </c>
      <c r="BJ500">
        <v>3.3</v>
      </c>
      <c r="BK500" t="s">
        <v>66</v>
      </c>
      <c r="BL500">
        <v>16</v>
      </c>
      <c r="BM500">
        <v>14</v>
      </c>
      <c r="BN500">
        <v>6</v>
      </c>
      <c r="BO500">
        <f t="shared" si="77"/>
        <v>10</v>
      </c>
      <c r="BP500">
        <v>4</v>
      </c>
      <c r="BQ500">
        <v>1</v>
      </c>
      <c r="BS500">
        <v>0</v>
      </c>
      <c r="BT500">
        <f t="shared" si="78"/>
        <v>65.217391304347828</v>
      </c>
      <c r="BU500">
        <f t="shared" si="79"/>
        <v>39.393939393939391</v>
      </c>
      <c r="BV500">
        <f t="shared" si="80"/>
        <v>43.75</v>
      </c>
      <c r="BW500">
        <f t="shared" si="81"/>
        <v>50</v>
      </c>
    </row>
    <row r="501" spans="1:75" x14ac:dyDescent="0.2">
      <c r="A501" t="s">
        <v>213</v>
      </c>
      <c r="B501" t="s">
        <v>214</v>
      </c>
      <c r="C501" t="s">
        <v>62</v>
      </c>
      <c r="D501" t="s">
        <v>603</v>
      </c>
      <c r="E501" t="s">
        <v>620</v>
      </c>
      <c r="F501" t="s">
        <v>752</v>
      </c>
      <c r="G501">
        <v>5</v>
      </c>
      <c r="H501">
        <v>6.75</v>
      </c>
      <c r="I501">
        <v>12.5</v>
      </c>
      <c r="J501">
        <v>15.2</v>
      </c>
      <c r="K501">
        <v>39.450000000000003</v>
      </c>
      <c r="L501">
        <v>3.85</v>
      </c>
      <c r="M501">
        <v>30</v>
      </c>
      <c r="N501">
        <v>35</v>
      </c>
      <c r="O501">
        <v>5</v>
      </c>
      <c r="P501">
        <v>43</v>
      </c>
      <c r="Q501">
        <v>13</v>
      </c>
      <c r="R501">
        <v>6.5</v>
      </c>
      <c r="S501">
        <v>60.1</v>
      </c>
      <c r="T501">
        <v>43.333333330000002</v>
      </c>
      <c r="U501">
        <v>22.85714286</v>
      </c>
      <c r="V501">
        <v>4</v>
      </c>
      <c r="W501">
        <v>4</v>
      </c>
      <c r="X501">
        <v>14</v>
      </c>
      <c r="Y501">
        <v>10</v>
      </c>
      <c r="Z501">
        <v>250</v>
      </c>
      <c r="AA501" t="s">
        <v>66</v>
      </c>
      <c r="AB501" t="s">
        <v>66</v>
      </c>
      <c r="AC501" t="s">
        <v>66</v>
      </c>
      <c r="AD501" t="s">
        <v>66</v>
      </c>
      <c r="AE501">
        <v>29</v>
      </c>
      <c r="AF501">
        <v>37</v>
      </c>
      <c r="AG501" t="s">
        <v>66</v>
      </c>
      <c r="AH501">
        <v>20</v>
      </c>
      <c r="AI501">
        <v>26</v>
      </c>
      <c r="AJ501" t="s">
        <v>66</v>
      </c>
      <c r="AK501">
        <v>12</v>
      </c>
      <c r="AL501">
        <v>22</v>
      </c>
      <c r="AM501">
        <v>16</v>
      </c>
      <c r="AN501">
        <v>24</v>
      </c>
      <c r="AO501">
        <v>50</v>
      </c>
      <c r="AP501">
        <v>27.586206900000001</v>
      </c>
      <c r="AQ501">
        <v>1.8125</v>
      </c>
      <c r="AR501">
        <v>1.5416666670000001</v>
      </c>
      <c r="AS501">
        <v>-0.27083333300000001</v>
      </c>
      <c r="AT501">
        <v>0</v>
      </c>
      <c r="AU501" t="s">
        <v>66</v>
      </c>
      <c r="AV501">
        <v>0</v>
      </c>
      <c r="AW501">
        <v>0</v>
      </c>
      <c r="AX501">
        <v>0</v>
      </c>
      <c r="AY501">
        <v>1</v>
      </c>
      <c r="AZ501">
        <v>1</v>
      </c>
      <c r="BA501">
        <v>1</v>
      </c>
      <c r="BB501" t="s">
        <v>66</v>
      </c>
      <c r="BC501" t="s">
        <v>66</v>
      </c>
      <c r="BD501" t="s">
        <v>66</v>
      </c>
      <c r="BE501" t="s">
        <v>66</v>
      </c>
      <c r="BF501">
        <v>0</v>
      </c>
      <c r="BG501" t="s">
        <v>66</v>
      </c>
      <c r="BH501" t="s">
        <v>66</v>
      </c>
      <c r="BI501">
        <v>65</v>
      </c>
      <c r="BJ501">
        <v>8.8000000000000007</v>
      </c>
      <c r="BK501" t="s">
        <v>66</v>
      </c>
      <c r="BL501">
        <v>58</v>
      </c>
      <c r="BM501">
        <v>33</v>
      </c>
      <c r="BN501">
        <v>12</v>
      </c>
      <c r="BO501">
        <f t="shared" si="77"/>
        <v>22.5</v>
      </c>
      <c r="BP501">
        <v>4</v>
      </c>
      <c r="BQ501">
        <v>1</v>
      </c>
      <c r="BS501">
        <v>0</v>
      </c>
      <c r="BT501">
        <f t="shared" si="78"/>
        <v>53.846153846153847</v>
      </c>
      <c r="BU501">
        <f t="shared" si="79"/>
        <v>54.545454545454554</v>
      </c>
      <c r="BV501">
        <f t="shared" si="80"/>
        <v>50</v>
      </c>
      <c r="BW501">
        <f t="shared" si="81"/>
        <v>28.888888888888886</v>
      </c>
    </row>
    <row r="502" spans="1:75" x14ac:dyDescent="0.2">
      <c r="A502" t="s">
        <v>213</v>
      </c>
      <c r="B502" t="s">
        <v>214</v>
      </c>
      <c r="C502" t="s">
        <v>62</v>
      </c>
      <c r="D502" t="s">
        <v>603</v>
      </c>
      <c r="E502" t="s">
        <v>622</v>
      </c>
      <c r="F502" t="s">
        <v>753</v>
      </c>
      <c r="G502">
        <v>5</v>
      </c>
      <c r="H502">
        <v>6.75</v>
      </c>
      <c r="I502">
        <v>12.5</v>
      </c>
      <c r="J502">
        <v>15.2</v>
      </c>
      <c r="K502">
        <v>39.450000000000003</v>
      </c>
      <c r="L502">
        <v>3.85</v>
      </c>
      <c r="M502">
        <v>15</v>
      </c>
      <c r="N502">
        <v>20</v>
      </c>
      <c r="O502">
        <v>5</v>
      </c>
      <c r="P502">
        <v>23</v>
      </c>
      <c r="Q502">
        <v>8</v>
      </c>
      <c r="R502">
        <v>4</v>
      </c>
      <c r="S502">
        <v>55.1</v>
      </c>
      <c r="T502">
        <v>53.333333330000002</v>
      </c>
      <c r="U502">
        <v>15</v>
      </c>
      <c r="V502">
        <v>2</v>
      </c>
      <c r="W502">
        <v>3</v>
      </c>
      <c r="X502">
        <v>4</v>
      </c>
      <c r="Y502">
        <v>2</v>
      </c>
      <c r="Z502">
        <v>100</v>
      </c>
      <c r="AA502" t="s">
        <v>66</v>
      </c>
      <c r="AB502" t="s">
        <v>66</v>
      </c>
      <c r="AC502" t="s">
        <v>66</v>
      </c>
      <c r="AD502" t="s">
        <v>66</v>
      </c>
      <c r="AE502">
        <v>16</v>
      </c>
      <c r="AF502">
        <v>19</v>
      </c>
      <c r="AG502" t="s">
        <v>66</v>
      </c>
      <c r="AH502">
        <v>8</v>
      </c>
      <c r="AI502">
        <v>12</v>
      </c>
      <c r="AJ502" t="s">
        <v>66</v>
      </c>
      <c r="AK502">
        <v>5</v>
      </c>
      <c r="AL502">
        <v>9</v>
      </c>
      <c r="AM502">
        <v>6.5</v>
      </c>
      <c r="AN502">
        <v>10.5</v>
      </c>
      <c r="AO502">
        <v>61.53846154</v>
      </c>
      <c r="AP502">
        <v>18.75</v>
      </c>
      <c r="AQ502">
        <v>2.461538462</v>
      </c>
      <c r="AR502">
        <v>1.80952381</v>
      </c>
      <c r="AS502">
        <v>-0.65201465199999997</v>
      </c>
      <c r="AT502">
        <v>0</v>
      </c>
      <c r="AU502" t="s">
        <v>66</v>
      </c>
      <c r="AV502">
        <v>0</v>
      </c>
      <c r="AW502">
        <v>0</v>
      </c>
      <c r="AX502">
        <v>0</v>
      </c>
      <c r="AY502">
        <v>1</v>
      </c>
      <c r="AZ502">
        <v>1</v>
      </c>
      <c r="BA502">
        <v>1</v>
      </c>
      <c r="BB502" t="s">
        <v>66</v>
      </c>
      <c r="BC502" t="s">
        <v>66</v>
      </c>
      <c r="BD502" t="s">
        <v>66</v>
      </c>
      <c r="BE502" t="s">
        <v>66</v>
      </c>
      <c r="BF502">
        <v>0</v>
      </c>
      <c r="BG502" t="s">
        <v>66</v>
      </c>
      <c r="BH502" t="s">
        <v>66</v>
      </c>
      <c r="BI502">
        <v>28</v>
      </c>
      <c r="BJ502">
        <v>4.3</v>
      </c>
      <c r="BK502" t="s">
        <v>66</v>
      </c>
      <c r="BL502">
        <v>24</v>
      </c>
      <c r="BM502">
        <v>12</v>
      </c>
      <c r="BN502">
        <v>7</v>
      </c>
      <c r="BO502">
        <f t="shared" si="77"/>
        <v>9.5</v>
      </c>
      <c r="BP502">
        <v>4</v>
      </c>
      <c r="BQ502">
        <v>1</v>
      </c>
      <c r="BS502">
        <v>0</v>
      </c>
      <c r="BT502">
        <f t="shared" si="78"/>
        <v>46.428571428571431</v>
      </c>
      <c r="BU502">
        <f t="shared" si="79"/>
        <v>53.488372093023251</v>
      </c>
      <c r="BV502">
        <f t="shared" si="80"/>
        <v>33.333333333333329</v>
      </c>
      <c r="BW502">
        <f t="shared" si="81"/>
        <v>31.578947368421051</v>
      </c>
    </row>
    <row r="503" spans="1:75" x14ac:dyDescent="0.2">
      <c r="A503" t="s">
        <v>213</v>
      </c>
      <c r="B503" t="s">
        <v>214</v>
      </c>
      <c r="C503" t="s">
        <v>62</v>
      </c>
      <c r="D503" t="s">
        <v>603</v>
      </c>
      <c r="E503" t="s">
        <v>624</v>
      </c>
      <c r="F503" t="s">
        <v>754</v>
      </c>
      <c r="G503">
        <v>5</v>
      </c>
      <c r="H503">
        <v>6.75</v>
      </c>
      <c r="I503">
        <v>12.5</v>
      </c>
      <c r="J503">
        <v>15.2</v>
      </c>
      <c r="K503">
        <v>39.450000000000003</v>
      </c>
      <c r="L503">
        <v>3.85</v>
      </c>
      <c r="M503">
        <v>12</v>
      </c>
      <c r="N503">
        <v>16</v>
      </c>
      <c r="O503">
        <v>4</v>
      </c>
      <c r="P503">
        <v>18</v>
      </c>
      <c r="Q503">
        <v>6</v>
      </c>
      <c r="R503">
        <v>3</v>
      </c>
      <c r="S503">
        <v>53.1</v>
      </c>
      <c r="T503">
        <v>50</v>
      </c>
      <c r="U503">
        <v>12.5</v>
      </c>
      <c r="V503">
        <v>2</v>
      </c>
      <c r="W503">
        <v>2</v>
      </c>
      <c r="X503">
        <v>3</v>
      </c>
      <c r="Y503">
        <v>1</v>
      </c>
      <c r="Z503">
        <v>50</v>
      </c>
      <c r="AA503" t="s">
        <v>66</v>
      </c>
      <c r="AB503" t="s">
        <v>66</v>
      </c>
      <c r="AC503" t="s">
        <v>66</v>
      </c>
      <c r="AD503" t="s">
        <v>66</v>
      </c>
      <c r="AE503">
        <v>12</v>
      </c>
      <c r="AF503">
        <v>15</v>
      </c>
      <c r="AG503" t="s">
        <v>66</v>
      </c>
      <c r="AH503">
        <v>8</v>
      </c>
      <c r="AI503">
        <v>12</v>
      </c>
      <c r="AJ503" t="s">
        <v>66</v>
      </c>
      <c r="AK503">
        <v>3</v>
      </c>
      <c r="AL503">
        <v>6</v>
      </c>
      <c r="AM503">
        <v>5.5</v>
      </c>
      <c r="AN503">
        <v>9</v>
      </c>
      <c r="AO503">
        <v>63.636363639999999</v>
      </c>
      <c r="AP503">
        <v>25</v>
      </c>
      <c r="AQ503">
        <v>2.1818181820000002</v>
      </c>
      <c r="AR503">
        <v>1.6666666670000001</v>
      </c>
      <c r="AS503">
        <v>-0.515151515</v>
      </c>
      <c r="AT503">
        <v>0</v>
      </c>
      <c r="AU503" t="s">
        <v>66</v>
      </c>
      <c r="AV503">
        <v>0</v>
      </c>
      <c r="AW503">
        <v>0</v>
      </c>
      <c r="AX503">
        <v>0</v>
      </c>
      <c r="AY503">
        <v>1</v>
      </c>
      <c r="AZ503">
        <v>1</v>
      </c>
      <c r="BA503">
        <v>1</v>
      </c>
      <c r="BB503" t="s">
        <v>66</v>
      </c>
      <c r="BC503" t="s">
        <v>66</v>
      </c>
      <c r="BD503" t="s">
        <v>66</v>
      </c>
      <c r="BE503" t="s">
        <v>66</v>
      </c>
      <c r="BF503">
        <v>0</v>
      </c>
      <c r="BG503" t="s">
        <v>66</v>
      </c>
      <c r="BH503" t="s">
        <v>66</v>
      </c>
      <c r="BI503">
        <v>28</v>
      </c>
      <c r="BJ503">
        <v>4</v>
      </c>
      <c r="BK503" t="s">
        <v>66</v>
      </c>
      <c r="BL503">
        <v>25</v>
      </c>
      <c r="BM503">
        <v>14</v>
      </c>
      <c r="BN503">
        <v>8</v>
      </c>
      <c r="BO503">
        <f t="shared" si="77"/>
        <v>11</v>
      </c>
      <c r="BP503">
        <v>4</v>
      </c>
      <c r="BQ503">
        <v>1</v>
      </c>
      <c r="BS503">
        <v>0</v>
      </c>
      <c r="BT503">
        <f t="shared" si="78"/>
        <v>57.142857142857139</v>
      </c>
      <c r="BU503">
        <f t="shared" si="79"/>
        <v>50</v>
      </c>
      <c r="BV503">
        <f t="shared" si="80"/>
        <v>52</v>
      </c>
      <c r="BW503">
        <f t="shared" si="81"/>
        <v>50</v>
      </c>
    </row>
    <row r="504" spans="1:75" x14ac:dyDescent="0.2">
      <c r="A504" t="s">
        <v>213</v>
      </c>
      <c r="B504" t="s">
        <v>214</v>
      </c>
      <c r="C504" t="s">
        <v>62</v>
      </c>
      <c r="D504" t="s">
        <v>603</v>
      </c>
      <c r="E504" t="s">
        <v>626</v>
      </c>
      <c r="F504" t="s">
        <v>755</v>
      </c>
      <c r="G504">
        <v>5</v>
      </c>
      <c r="H504">
        <v>6.75</v>
      </c>
      <c r="I504">
        <v>12.5</v>
      </c>
      <c r="J504">
        <v>15.2</v>
      </c>
      <c r="K504">
        <v>39.450000000000003</v>
      </c>
      <c r="L504">
        <v>3.85</v>
      </c>
      <c r="M504">
        <v>19</v>
      </c>
      <c r="N504">
        <v>24</v>
      </c>
      <c r="O504">
        <v>5</v>
      </c>
      <c r="P504">
        <v>26</v>
      </c>
      <c r="Q504">
        <v>7</v>
      </c>
      <c r="R504">
        <v>3.5</v>
      </c>
      <c r="S504">
        <v>54.1</v>
      </c>
      <c r="T504">
        <v>36.842105259999997</v>
      </c>
      <c r="U504">
        <v>8.3333333330000006</v>
      </c>
      <c r="V504">
        <v>2</v>
      </c>
      <c r="W504">
        <v>5</v>
      </c>
      <c r="X504">
        <v>4</v>
      </c>
      <c r="Y504">
        <v>2</v>
      </c>
      <c r="Z504">
        <v>100</v>
      </c>
      <c r="AA504" t="s">
        <v>66</v>
      </c>
      <c r="AB504" t="s">
        <v>66</v>
      </c>
      <c r="AC504" t="s">
        <v>66</v>
      </c>
      <c r="AD504" t="s">
        <v>66</v>
      </c>
      <c r="AE504">
        <v>18</v>
      </c>
      <c r="AF504">
        <v>21</v>
      </c>
      <c r="AG504" t="s">
        <v>66</v>
      </c>
      <c r="AH504">
        <v>10</v>
      </c>
      <c r="AI504">
        <v>13</v>
      </c>
      <c r="AJ504" t="s">
        <v>66</v>
      </c>
      <c r="AK504">
        <v>9</v>
      </c>
      <c r="AL504">
        <v>9</v>
      </c>
      <c r="AM504">
        <v>9.5</v>
      </c>
      <c r="AN504">
        <v>11</v>
      </c>
      <c r="AO504">
        <v>15.78947368</v>
      </c>
      <c r="AP504">
        <v>16.666666670000001</v>
      </c>
      <c r="AQ504">
        <v>1.8947368419999999</v>
      </c>
      <c r="AR504">
        <v>1.9090909089999999</v>
      </c>
      <c r="AS504">
        <v>1.4354067E-2</v>
      </c>
      <c r="AT504">
        <v>0</v>
      </c>
      <c r="AU504" t="s">
        <v>66</v>
      </c>
      <c r="AV504">
        <v>0</v>
      </c>
      <c r="AW504">
        <v>0</v>
      </c>
      <c r="AX504">
        <v>0</v>
      </c>
      <c r="AY504">
        <v>1</v>
      </c>
      <c r="AZ504">
        <v>1</v>
      </c>
      <c r="BA504">
        <v>1</v>
      </c>
      <c r="BB504" t="s">
        <v>66</v>
      </c>
      <c r="BC504" t="s">
        <v>66</v>
      </c>
      <c r="BD504" t="s">
        <v>66</v>
      </c>
      <c r="BE504" t="s">
        <v>66</v>
      </c>
      <c r="BF504">
        <v>0</v>
      </c>
      <c r="BG504" t="s">
        <v>66</v>
      </c>
      <c r="BH504" t="s">
        <v>66</v>
      </c>
      <c r="BI504">
        <v>35</v>
      </c>
      <c r="BJ504">
        <v>0.6</v>
      </c>
      <c r="BK504" t="s">
        <v>66</v>
      </c>
      <c r="BL504">
        <v>27</v>
      </c>
      <c r="BM504">
        <v>18</v>
      </c>
      <c r="BN504">
        <v>13</v>
      </c>
      <c r="BO504">
        <f t="shared" si="77"/>
        <v>15.5</v>
      </c>
      <c r="BP504">
        <v>4</v>
      </c>
      <c r="BQ504">
        <v>1</v>
      </c>
      <c r="BS504">
        <v>0</v>
      </c>
      <c r="BT504">
        <f t="shared" si="78"/>
        <v>45.714285714285715</v>
      </c>
      <c r="BU504">
        <f t="shared" si="79"/>
        <v>-233.33333333333334</v>
      </c>
      <c r="BV504">
        <f t="shared" si="80"/>
        <v>33.333333333333329</v>
      </c>
      <c r="BW504">
        <f t="shared" si="81"/>
        <v>38.70967741935484</v>
      </c>
    </row>
    <row r="505" spans="1:75" x14ac:dyDescent="0.2">
      <c r="A505" t="s">
        <v>213</v>
      </c>
      <c r="B505" t="s">
        <v>214</v>
      </c>
      <c r="C505" t="s">
        <v>62</v>
      </c>
      <c r="D505" t="s">
        <v>603</v>
      </c>
      <c r="E505" t="s">
        <v>628</v>
      </c>
      <c r="F505" t="s">
        <v>756</v>
      </c>
      <c r="G505">
        <v>5</v>
      </c>
      <c r="H505">
        <v>6.75</v>
      </c>
      <c r="I505">
        <v>12.5</v>
      </c>
      <c r="J505">
        <v>15.2</v>
      </c>
      <c r="K505">
        <v>39.450000000000003</v>
      </c>
      <c r="L505">
        <v>3.85</v>
      </c>
      <c r="M505">
        <v>10</v>
      </c>
      <c r="N505">
        <v>14</v>
      </c>
      <c r="O505">
        <v>4</v>
      </c>
      <c r="P505">
        <v>18</v>
      </c>
      <c r="Q505">
        <v>8</v>
      </c>
      <c r="R505">
        <v>4</v>
      </c>
      <c r="S505">
        <v>55.1</v>
      </c>
      <c r="T505">
        <v>80</v>
      </c>
      <c r="U505">
        <v>28.571428569999998</v>
      </c>
      <c r="V505">
        <v>2</v>
      </c>
      <c r="W505">
        <v>3</v>
      </c>
      <c r="X505">
        <v>4</v>
      </c>
      <c r="Y505">
        <v>2</v>
      </c>
      <c r="Z505">
        <v>100</v>
      </c>
      <c r="AA505" t="s">
        <v>66</v>
      </c>
      <c r="AB505" t="s">
        <v>66</v>
      </c>
      <c r="AC505" t="s">
        <v>66</v>
      </c>
      <c r="AD505" t="s">
        <v>66</v>
      </c>
      <c r="AE505">
        <v>9</v>
      </c>
      <c r="AF505">
        <v>12</v>
      </c>
      <c r="AG505" t="s">
        <v>66</v>
      </c>
      <c r="AH505">
        <v>7</v>
      </c>
      <c r="AI505">
        <v>10</v>
      </c>
      <c r="AJ505" t="s">
        <v>66</v>
      </c>
      <c r="AK505">
        <v>3</v>
      </c>
      <c r="AL505">
        <v>8</v>
      </c>
      <c r="AM505">
        <v>5</v>
      </c>
      <c r="AN505">
        <v>9</v>
      </c>
      <c r="AO505">
        <v>80</v>
      </c>
      <c r="AP505">
        <v>33.333333330000002</v>
      </c>
      <c r="AQ505">
        <v>1.8</v>
      </c>
      <c r="AR505">
        <v>1.3333333329999999</v>
      </c>
      <c r="AS505">
        <v>-0.46666666699999998</v>
      </c>
      <c r="AT505">
        <v>0</v>
      </c>
      <c r="AU505" t="s">
        <v>66</v>
      </c>
      <c r="AV505">
        <v>0</v>
      </c>
      <c r="AW505">
        <v>0</v>
      </c>
      <c r="AX505">
        <v>0</v>
      </c>
      <c r="AY505">
        <v>1</v>
      </c>
      <c r="AZ505">
        <v>1</v>
      </c>
      <c r="BA505">
        <v>1</v>
      </c>
      <c r="BB505" t="s">
        <v>66</v>
      </c>
      <c r="BC505" t="s">
        <v>66</v>
      </c>
      <c r="BD505" t="s">
        <v>66</v>
      </c>
      <c r="BE505" t="s">
        <v>66</v>
      </c>
      <c r="BF505">
        <v>0</v>
      </c>
      <c r="BG505" t="s">
        <v>66</v>
      </c>
      <c r="BH505" t="s">
        <v>66</v>
      </c>
      <c r="BI505">
        <v>23</v>
      </c>
      <c r="BJ505">
        <v>3.7</v>
      </c>
      <c r="BK505" t="s">
        <v>66</v>
      </c>
      <c r="BL505">
        <v>18</v>
      </c>
      <c r="BM505">
        <v>13</v>
      </c>
      <c r="BN505">
        <v>5</v>
      </c>
      <c r="BO505">
        <f t="shared" si="77"/>
        <v>9</v>
      </c>
      <c r="BP505">
        <v>4</v>
      </c>
      <c r="BQ505">
        <v>1</v>
      </c>
      <c r="BS505">
        <v>0</v>
      </c>
      <c r="BT505">
        <f t="shared" si="78"/>
        <v>56.521739130434781</v>
      </c>
      <c r="BU505">
        <f t="shared" si="79"/>
        <v>45.945945945945951</v>
      </c>
      <c r="BV505">
        <f t="shared" si="80"/>
        <v>50</v>
      </c>
      <c r="BW505">
        <f t="shared" si="81"/>
        <v>44.444444444444443</v>
      </c>
    </row>
    <row r="506" spans="1:75" x14ac:dyDescent="0.2">
      <c r="A506" t="s">
        <v>213</v>
      </c>
      <c r="B506" t="s">
        <v>214</v>
      </c>
      <c r="C506" t="s">
        <v>62</v>
      </c>
      <c r="D506" t="s">
        <v>603</v>
      </c>
      <c r="E506" t="s">
        <v>632</v>
      </c>
      <c r="F506" t="s">
        <v>758</v>
      </c>
      <c r="G506">
        <v>5</v>
      </c>
      <c r="H506">
        <v>6.75</v>
      </c>
      <c r="I506">
        <v>12.5</v>
      </c>
      <c r="J506">
        <v>15.2</v>
      </c>
      <c r="K506">
        <v>39.450000000000003</v>
      </c>
      <c r="L506">
        <v>3.85</v>
      </c>
      <c r="M506">
        <v>28</v>
      </c>
      <c r="N506">
        <v>32</v>
      </c>
      <c r="O506">
        <v>4</v>
      </c>
      <c r="P506">
        <v>39</v>
      </c>
      <c r="Q506">
        <v>11</v>
      </c>
      <c r="R506">
        <v>5.5</v>
      </c>
      <c r="S506">
        <v>58.1</v>
      </c>
      <c r="T506">
        <v>39.285714290000001</v>
      </c>
      <c r="U506">
        <v>21.875</v>
      </c>
      <c r="V506">
        <v>4</v>
      </c>
      <c r="W506">
        <v>7</v>
      </c>
      <c r="X506">
        <v>7</v>
      </c>
      <c r="Y506">
        <v>3</v>
      </c>
      <c r="Z506">
        <v>75</v>
      </c>
      <c r="AA506" t="s">
        <v>66</v>
      </c>
      <c r="AB506" t="s">
        <v>66</v>
      </c>
      <c r="AC506" t="s">
        <v>66</v>
      </c>
      <c r="AD506" t="s">
        <v>66</v>
      </c>
      <c r="AE506">
        <v>27</v>
      </c>
      <c r="AF506">
        <v>30</v>
      </c>
      <c r="AG506" t="s">
        <v>66</v>
      </c>
      <c r="AH506">
        <v>17</v>
      </c>
      <c r="AI506">
        <v>23</v>
      </c>
      <c r="AJ506" t="s">
        <v>66</v>
      </c>
      <c r="AK506">
        <v>12</v>
      </c>
      <c r="AL506">
        <v>19</v>
      </c>
      <c r="AM506">
        <v>14.5</v>
      </c>
      <c r="AN506">
        <v>21</v>
      </c>
      <c r="AO506">
        <v>44.82758621</v>
      </c>
      <c r="AP506">
        <v>11.11111111</v>
      </c>
      <c r="AQ506">
        <v>1.862068966</v>
      </c>
      <c r="AR506">
        <v>1.428571429</v>
      </c>
      <c r="AS506">
        <v>-0.43349753699999999</v>
      </c>
      <c r="AT506">
        <v>0</v>
      </c>
      <c r="AU506" t="s">
        <v>66</v>
      </c>
      <c r="AV506">
        <v>0</v>
      </c>
      <c r="AW506">
        <v>0</v>
      </c>
      <c r="AX506">
        <v>0</v>
      </c>
      <c r="AY506">
        <v>1</v>
      </c>
      <c r="AZ506">
        <v>1</v>
      </c>
      <c r="BA506">
        <v>1</v>
      </c>
      <c r="BB506" t="s">
        <v>66</v>
      </c>
      <c r="BC506" t="s">
        <v>66</v>
      </c>
      <c r="BD506" t="s">
        <v>66</v>
      </c>
      <c r="BE506" t="s">
        <v>66</v>
      </c>
      <c r="BF506">
        <v>0</v>
      </c>
      <c r="BG506" t="s">
        <v>66</v>
      </c>
      <c r="BH506" t="s">
        <v>66</v>
      </c>
      <c r="BI506">
        <v>56</v>
      </c>
      <c r="BJ506">
        <v>8.5</v>
      </c>
      <c r="BK506" t="s">
        <v>66</v>
      </c>
      <c r="BL506">
        <v>43</v>
      </c>
      <c r="BM506">
        <v>38</v>
      </c>
      <c r="BN506">
        <v>32</v>
      </c>
      <c r="BO506">
        <f t="shared" si="77"/>
        <v>35</v>
      </c>
      <c r="BP506">
        <v>4</v>
      </c>
      <c r="BQ506">
        <v>1</v>
      </c>
      <c r="BS506">
        <v>0</v>
      </c>
      <c r="BT506">
        <f t="shared" si="78"/>
        <v>50</v>
      </c>
      <c r="BU506">
        <f t="shared" si="79"/>
        <v>52.941176470588239</v>
      </c>
      <c r="BV506">
        <f t="shared" si="80"/>
        <v>37.209302325581397</v>
      </c>
      <c r="BW506">
        <f t="shared" si="81"/>
        <v>58.571428571428577</v>
      </c>
    </row>
    <row r="507" spans="1:75" x14ac:dyDescent="0.2">
      <c r="A507" t="s">
        <v>213</v>
      </c>
      <c r="B507" t="s">
        <v>214</v>
      </c>
      <c r="C507" t="s">
        <v>62</v>
      </c>
      <c r="D507" t="s">
        <v>603</v>
      </c>
      <c r="E507" t="s">
        <v>634</v>
      </c>
      <c r="F507" t="s">
        <v>759</v>
      </c>
      <c r="G507">
        <v>5</v>
      </c>
      <c r="H507">
        <v>6.75</v>
      </c>
      <c r="I507">
        <v>12.5</v>
      </c>
      <c r="J507">
        <v>15.2</v>
      </c>
      <c r="K507">
        <v>39.450000000000003</v>
      </c>
      <c r="L507">
        <v>3.85</v>
      </c>
      <c r="M507">
        <v>20</v>
      </c>
      <c r="N507">
        <v>25</v>
      </c>
      <c r="O507">
        <v>5</v>
      </c>
      <c r="P507">
        <v>27</v>
      </c>
      <c r="Q507">
        <v>7</v>
      </c>
      <c r="R507">
        <v>3.5</v>
      </c>
      <c r="S507">
        <v>54.1</v>
      </c>
      <c r="T507">
        <v>35</v>
      </c>
      <c r="U507">
        <v>8</v>
      </c>
      <c r="V507">
        <v>4</v>
      </c>
      <c r="W507">
        <v>3</v>
      </c>
      <c r="X507">
        <v>5</v>
      </c>
      <c r="Y507">
        <v>1</v>
      </c>
      <c r="Z507">
        <v>25</v>
      </c>
      <c r="AA507" t="s">
        <v>66</v>
      </c>
      <c r="AB507" t="s">
        <v>66</v>
      </c>
      <c r="AC507" t="s">
        <v>66</v>
      </c>
      <c r="AD507" t="s">
        <v>66</v>
      </c>
      <c r="AE507">
        <v>20</v>
      </c>
      <c r="AF507">
        <v>22</v>
      </c>
      <c r="AG507" t="s">
        <v>66</v>
      </c>
      <c r="AH507">
        <v>13</v>
      </c>
      <c r="AI507">
        <v>15</v>
      </c>
      <c r="AJ507" t="s">
        <v>66</v>
      </c>
      <c r="AK507">
        <v>12</v>
      </c>
      <c r="AL507">
        <v>8</v>
      </c>
      <c r="AM507">
        <v>12.5</v>
      </c>
      <c r="AN507">
        <v>11.5</v>
      </c>
      <c r="AO507">
        <v>-8</v>
      </c>
      <c r="AP507">
        <v>10</v>
      </c>
      <c r="AQ507">
        <v>1.6</v>
      </c>
      <c r="AR507">
        <v>1.9130434780000001</v>
      </c>
      <c r="AS507">
        <v>0.31304347799999999</v>
      </c>
      <c r="AT507">
        <v>0</v>
      </c>
      <c r="AU507" t="s">
        <v>66</v>
      </c>
      <c r="AV507">
        <v>0</v>
      </c>
      <c r="AW507">
        <v>0</v>
      </c>
      <c r="AX507">
        <v>0</v>
      </c>
      <c r="AY507">
        <v>1</v>
      </c>
      <c r="AZ507">
        <v>1</v>
      </c>
      <c r="BA507">
        <v>1</v>
      </c>
      <c r="BB507" t="s">
        <v>66</v>
      </c>
      <c r="BC507" t="s">
        <v>66</v>
      </c>
      <c r="BD507" t="s">
        <v>66</v>
      </c>
      <c r="BE507" t="s">
        <v>66</v>
      </c>
      <c r="BF507">
        <v>0</v>
      </c>
      <c r="BG507" t="s">
        <v>66</v>
      </c>
      <c r="BH507" t="s">
        <v>66</v>
      </c>
      <c r="BI507">
        <v>30</v>
      </c>
      <c r="BJ507">
        <v>5.2</v>
      </c>
      <c r="BK507" t="s">
        <v>66</v>
      </c>
      <c r="BL507">
        <v>24</v>
      </c>
      <c r="BM507">
        <v>25</v>
      </c>
      <c r="BN507">
        <v>16</v>
      </c>
      <c r="BO507">
        <f t="shared" si="77"/>
        <v>20.5</v>
      </c>
      <c r="BP507">
        <v>4</v>
      </c>
      <c r="BQ507">
        <v>1</v>
      </c>
      <c r="BS507">
        <v>0</v>
      </c>
      <c r="BT507">
        <f t="shared" si="78"/>
        <v>33.333333333333329</v>
      </c>
      <c r="BU507">
        <f t="shared" si="79"/>
        <v>23.076923076923077</v>
      </c>
      <c r="BV507">
        <f t="shared" si="80"/>
        <v>16.666666666666664</v>
      </c>
      <c r="BW507">
        <f t="shared" si="81"/>
        <v>39.024390243902438</v>
      </c>
    </row>
    <row r="508" spans="1:75" x14ac:dyDescent="0.2">
      <c r="A508" t="s">
        <v>213</v>
      </c>
      <c r="B508" t="s">
        <v>214</v>
      </c>
      <c r="C508" t="s">
        <v>62</v>
      </c>
      <c r="D508" t="s">
        <v>603</v>
      </c>
      <c r="E508" t="s">
        <v>638</v>
      </c>
      <c r="F508" t="s">
        <v>761</v>
      </c>
      <c r="G508">
        <v>5</v>
      </c>
      <c r="H508">
        <v>6.75</v>
      </c>
      <c r="I508">
        <v>12.5</v>
      </c>
      <c r="J508">
        <v>15.2</v>
      </c>
      <c r="K508">
        <v>39.450000000000003</v>
      </c>
      <c r="L508">
        <v>3.85</v>
      </c>
      <c r="M508">
        <v>12</v>
      </c>
      <c r="N508">
        <v>18</v>
      </c>
      <c r="O508">
        <v>6</v>
      </c>
      <c r="P508">
        <v>17</v>
      </c>
      <c r="Q508">
        <v>5</v>
      </c>
      <c r="R508">
        <v>2.5</v>
      </c>
      <c r="S508">
        <v>52.1</v>
      </c>
      <c r="T508">
        <v>41.666666669999998</v>
      </c>
      <c r="U508">
        <v>-5.5555555559999998</v>
      </c>
      <c r="V508">
        <v>2</v>
      </c>
      <c r="W508">
        <v>2</v>
      </c>
      <c r="X508">
        <v>3</v>
      </c>
      <c r="Y508">
        <v>1</v>
      </c>
      <c r="Z508">
        <v>50</v>
      </c>
      <c r="AA508" t="s">
        <v>66</v>
      </c>
      <c r="AB508" t="s">
        <v>66</v>
      </c>
      <c r="AC508" t="s">
        <v>66</v>
      </c>
      <c r="AD508" t="s">
        <v>66</v>
      </c>
      <c r="AE508">
        <v>15</v>
      </c>
      <c r="AF508">
        <v>14</v>
      </c>
      <c r="AG508" t="s">
        <v>66</v>
      </c>
      <c r="AH508">
        <v>6</v>
      </c>
      <c r="AI508">
        <v>8</v>
      </c>
      <c r="AJ508" t="s">
        <v>66</v>
      </c>
      <c r="AK508">
        <v>4</v>
      </c>
      <c r="AL508">
        <v>5</v>
      </c>
      <c r="AM508">
        <v>5</v>
      </c>
      <c r="AN508">
        <v>6.5</v>
      </c>
      <c r="AO508">
        <v>30</v>
      </c>
      <c r="AP508">
        <v>-6.6666666670000003</v>
      </c>
      <c r="AQ508">
        <v>3</v>
      </c>
      <c r="AR508">
        <v>2.153846154</v>
      </c>
      <c r="AS508">
        <v>-0.84615384599999999</v>
      </c>
      <c r="AT508">
        <v>0</v>
      </c>
      <c r="AU508" t="s">
        <v>66</v>
      </c>
      <c r="AV508">
        <v>0</v>
      </c>
      <c r="AW508">
        <v>0</v>
      </c>
      <c r="AX508">
        <v>0</v>
      </c>
      <c r="AY508">
        <v>1</v>
      </c>
      <c r="AZ508">
        <v>1</v>
      </c>
      <c r="BA508">
        <v>1</v>
      </c>
      <c r="BB508" t="s">
        <v>66</v>
      </c>
      <c r="BC508" t="s">
        <v>66</v>
      </c>
      <c r="BD508" t="s">
        <v>66</v>
      </c>
      <c r="BE508" t="s">
        <v>66</v>
      </c>
      <c r="BF508">
        <v>0</v>
      </c>
      <c r="BG508" t="s">
        <v>66</v>
      </c>
      <c r="BH508" t="s">
        <v>66</v>
      </c>
      <c r="BI508">
        <v>69</v>
      </c>
      <c r="BJ508">
        <v>10.8</v>
      </c>
      <c r="BK508" t="s">
        <v>66</v>
      </c>
      <c r="BL508">
        <v>65</v>
      </c>
      <c r="BM508">
        <v>29</v>
      </c>
      <c r="BN508">
        <v>13</v>
      </c>
      <c r="BO508">
        <f t="shared" si="77"/>
        <v>21</v>
      </c>
      <c r="BP508">
        <v>4</v>
      </c>
      <c r="BQ508">
        <v>1</v>
      </c>
      <c r="BS508">
        <v>0</v>
      </c>
      <c r="BT508">
        <f t="shared" si="78"/>
        <v>82.608695652173907</v>
      </c>
      <c r="BU508">
        <f t="shared" si="79"/>
        <v>81.481481481481495</v>
      </c>
      <c r="BV508">
        <f t="shared" si="80"/>
        <v>76.923076923076934</v>
      </c>
      <c r="BW508">
        <f t="shared" si="81"/>
        <v>76.19047619047619</v>
      </c>
    </row>
    <row r="509" spans="1:75" x14ac:dyDescent="0.2">
      <c r="A509" t="s">
        <v>213</v>
      </c>
      <c r="B509" t="s">
        <v>214</v>
      </c>
      <c r="C509" t="s">
        <v>62</v>
      </c>
      <c r="D509" t="s">
        <v>603</v>
      </c>
      <c r="E509" t="s">
        <v>640</v>
      </c>
      <c r="F509" t="s">
        <v>762</v>
      </c>
      <c r="G509">
        <v>5</v>
      </c>
      <c r="H509">
        <v>6.75</v>
      </c>
      <c r="I509">
        <v>12.5</v>
      </c>
      <c r="J509">
        <v>15.2</v>
      </c>
      <c r="K509">
        <v>39.450000000000003</v>
      </c>
      <c r="L509">
        <v>3.85</v>
      </c>
      <c r="M509">
        <v>32</v>
      </c>
      <c r="N509">
        <v>39</v>
      </c>
      <c r="O509">
        <v>7</v>
      </c>
      <c r="P509">
        <v>47</v>
      </c>
      <c r="Q509">
        <v>15</v>
      </c>
      <c r="R509">
        <v>7.5</v>
      </c>
      <c r="S509">
        <v>62.1</v>
      </c>
      <c r="T509">
        <v>46.875</v>
      </c>
      <c r="U509">
        <v>20.512820510000001</v>
      </c>
      <c r="V509">
        <v>5</v>
      </c>
      <c r="W509">
        <v>8</v>
      </c>
      <c r="X509">
        <v>7</v>
      </c>
      <c r="Y509">
        <v>2</v>
      </c>
      <c r="Z509">
        <v>40</v>
      </c>
      <c r="AA509" t="s">
        <v>66</v>
      </c>
      <c r="AB509" t="s">
        <v>66</v>
      </c>
      <c r="AC509" t="s">
        <v>66</v>
      </c>
      <c r="AD509" t="s">
        <v>66</v>
      </c>
      <c r="AE509">
        <v>37</v>
      </c>
      <c r="AF509">
        <v>39</v>
      </c>
      <c r="AG509" t="s">
        <v>66</v>
      </c>
      <c r="AH509">
        <v>19</v>
      </c>
      <c r="AI509">
        <v>22</v>
      </c>
      <c r="AJ509" t="s">
        <v>66</v>
      </c>
      <c r="AK509">
        <v>18</v>
      </c>
      <c r="AL509">
        <v>20</v>
      </c>
      <c r="AM509">
        <v>18.5</v>
      </c>
      <c r="AN509">
        <v>21</v>
      </c>
      <c r="AO509">
        <v>13.513513509999999</v>
      </c>
      <c r="AP509">
        <v>5.4054054049999998</v>
      </c>
      <c r="AQ509">
        <v>2</v>
      </c>
      <c r="AR509">
        <v>1.8571428569999999</v>
      </c>
      <c r="AS509">
        <v>-0.14285714299999999</v>
      </c>
      <c r="AT509">
        <v>0</v>
      </c>
      <c r="AU509" t="s">
        <v>66</v>
      </c>
      <c r="AV509">
        <v>0</v>
      </c>
      <c r="AW509">
        <v>0</v>
      </c>
      <c r="AX509">
        <v>0</v>
      </c>
      <c r="AY509">
        <v>1</v>
      </c>
      <c r="AZ509">
        <v>1</v>
      </c>
      <c r="BA509">
        <v>1</v>
      </c>
      <c r="BB509" t="s">
        <v>66</v>
      </c>
      <c r="BC509" t="s">
        <v>66</v>
      </c>
      <c r="BD509" t="s">
        <v>66</v>
      </c>
      <c r="BE509" t="s">
        <v>66</v>
      </c>
      <c r="BF509">
        <v>0</v>
      </c>
      <c r="BG509" t="s">
        <v>66</v>
      </c>
      <c r="BH509" t="s">
        <v>66</v>
      </c>
      <c r="BI509">
        <v>23</v>
      </c>
      <c r="BJ509">
        <v>3.4</v>
      </c>
      <c r="BK509" t="s">
        <v>66</v>
      </c>
      <c r="BL509">
        <v>14</v>
      </c>
      <c r="BM509">
        <v>12</v>
      </c>
      <c r="BN509">
        <v>8</v>
      </c>
      <c r="BO509">
        <f t="shared" si="77"/>
        <v>10</v>
      </c>
      <c r="BP509">
        <v>4</v>
      </c>
      <c r="BQ509">
        <v>1</v>
      </c>
      <c r="BS509">
        <v>0</v>
      </c>
      <c r="BT509">
        <f t="shared" si="78"/>
        <v>-39.130434782608695</v>
      </c>
      <c r="BU509">
        <f t="shared" si="79"/>
        <v>-47.058823529411768</v>
      </c>
      <c r="BV509">
        <f t="shared" si="80"/>
        <v>-164.28571428571428</v>
      </c>
      <c r="BW509">
        <f t="shared" si="81"/>
        <v>-85</v>
      </c>
    </row>
    <row r="510" spans="1:75" x14ac:dyDescent="0.2">
      <c r="A510" t="s">
        <v>213</v>
      </c>
      <c r="B510" t="s">
        <v>214</v>
      </c>
      <c r="C510" t="s">
        <v>62</v>
      </c>
      <c r="D510" t="s">
        <v>603</v>
      </c>
      <c r="E510" t="s">
        <v>642</v>
      </c>
      <c r="F510" t="s">
        <v>763</v>
      </c>
      <c r="G510">
        <v>5</v>
      </c>
      <c r="H510">
        <v>6.75</v>
      </c>
      <c r="I510">
        <v>12.5</v>
      </c>
      <c r="J510">
        <v>15.2</v>
      </c>
      <c r="K510">
        <v>39.450000000000003</v>
      </c>
      <c r="L510">
        <v>3.85</v>
      </c>
      <c r="M510">
        <v>19</v>
      </c>
      <c r="N510">
        <v>25</v>
      </c>
      <c r="O510">
        <v>6</v>
      </c>
      <c r="P510">
        <v>26</v>
      </c>
      <c r="Q510">
        <v>7</v>
      </c>
      <c r="R510">
        <v>3.5</v>
      </c>
      <c r="S510">
        <v>54.1</v>
      </c>
      <c r="T510">
        <v>36.842105259999997</v>
      </c>
      <c r="U510">
        <v>4</v>
      </c>
      <c r="V510">
        <v>4</v>
      </c>
      <c r="W510">
        <v>5</v>
      </c>
      <c r="X510">
        <v>5</v>
      </c>
      <c r="Y510">
        <v>1</v>
      </c>
      <c r="Z510">
        <v>25</v>
      </c>
      <c r="AA510" t="s">
        <v>66</v>
      </c>
      <c r="AB510" t="s">
        <v>66</v>
      </c>
      <c r="AC510" t="s">
        <v>66</v>
      </c>
      <c r="AD510" t="s">
        <v>66</v>
      </c>
      <c r="AE510">
        <v>19</v>
      </c>
      <c r="AF510">
        <v>21</v>
      </c>
      <c r="AG510" t="s">
        <v>66</v>
      </c>
      <c r="AH510">
        <v>15</v>
      </c>
      <c r="AI510">
        <v>14</v>
      </c>
      <c r="AJ510" t="s">
        <v>66</v>
      </c>
      <c r="AK510">
        <v>10</v>
      </c>
      <c r="AL510">
        <v>11</v>
      </c>
      <c r="AM510">
        <v>12.5</v>
      </c>
      <c r="AN510">
        <v>12.5</v>
      </c>
      <c r="AO510">
        <v>0</v>
      </c>
      <c r="AP510">
        <v>10.52631579</v>
      </c>
      <c r="AQ510">
        <v>1.52</v>
      </c>
      <c r="AR510">
        <v>1.68</v>
      </c>
      <c r="AS510">
        <v>0.16</v>
      </c>
      <c r="AT510">
        <v>0</v>
      </c>
      <c r="AU510" t="s">
        <v>66</v>
      </c>
      <c r="AV510">
        <v>0</v>
      </c>
      <c r="AW510">
        <v>0</v>
      </c>
      <c r="AX510">
        <v>0</v>
      </c>
      <c r="AY510">
        <v>1</v>
      </c>
      <c r="AZ510">
        <v>1</v>
      </c>
      <c r="BA510">
        <v>1</v>
      </c>
      <c r="BB510" t="s">
        <v>66</v>
      </c>
      <c r="BC510" t="s">
        <v>66</v>
      </c>
      <c r="BD510" t="s">
        <v>66</v>
      </c>
      <c r="BE510" t="s">
        <v>66</v>
      </c>
      <c r="BF510">
        <v>0</v>
      </c>
      <c r="BG510" t="s">
        <v>66</v>
      </c>
      <c r="BH510" t="s">
        <v>66</v>
      </c>
      <c r="BI510">
        <v>39</v>
      </c>
      <c r="BJ510">
        <v>6.4</v>
      </c>
      <c r="BK510" t="s">
        <v>66</v>
      </c>
      <c r="BL510">
        <v>36</v>
      </c>
      <c r="BM510">
        <v>20</v>
      </c>
      <c r="BN510">
        <v>14</v>
      </c>
      <c r="BO510">
        <f t="shared" si="77"/>
        <v>17</v>
      </c>
      <c r="BP510">
        <v>4</v>
      </c>
      <c r="BQ510">
        <v>1</v>
      </c>
      <c r="BS510">
        <v>0</v>
      </c>
      <c r="BT510">
        <f t="shared" si="78"/>
        <v>51.282051282051277</v>
      </c>
      <c r="BU510">
        <f t="shared" si="79"/>
        <v>37.500000000000007</v>
      </c>
      <c r="BV510">
        <f t="shared" si="80"/>
        <v>47.222222222222221</v>
      </c>
      <c r="BW510">
        <f t="shared" si="81"/>
        <v>26.47058823529412</v>
      </c>
    </row>
    <row r="511" spans="1:75" x14ac:dyDescent="0.2">
      <c r="A511" t="s">
        <v>256</v>
      </c>
      <c r="B511" t="s">
        <v>257</v>
      </c>
      <c r="C511" t="s">
        <v>62</v>
      </c>
      <c r="D511" t="s">
        <v>603</v>
      </c>
      <c r="E511" t="s">
        <v>604</v>
      </c>
      <c r="F511" t="s">
        <v>784</v>
      </c>
      <c r="G511">
        <v>5.0999999999999996</v>
      </c>
      <c r="H511">
        <v>1.55</v>
      </c>
      <c r="I511">
        <v>1.85</v>
      </c>
      <c r="J511">
        <v>0.3</v>
      </c>
      <c r="K511">
        <v>8.8000000000000007</v>
      </c>
      <c r="L511">
        <v>0.66666666699999999</v>
      </c>
      <c r="M511">
        <v>15</v>
      </c>
      <c r="N511">
        <v>19</v>
      </c>
      <c r="O511">
        <v>4</v>
      </c>
      <c r="P511">
        <v>17</v>
      </c>
      <c r="Q511">
        <v>2</v>
      </c>
      <c r="R511">
        <v>1</v>
      </c>
      <c r="S511">
        <v>49.1</v>
      </c>
      <c r="T511">
        <v>13.33333333</v>
      </c>
      <c r="U511">
        <v>-10.52631579</v>
      </c>
      <c r="V511">
        <v>2</v>
      </c>
      <c r="W511">
        <v>2</v>
      </c>
      <c r="X511">
        <v>2</v>
      </c>
      <c r="Y511">
        <v>0</v>
      </c>
      <c r="Z511">
        <v>0</v>
      </c>
      <c r="AA511" t="s">
        <v>66</v>
      </c>
      <c r="AB511" t="s">
        <v>66</v>
      </c>
      <c r="AC511" t="s">
        <v>66</v>
      </c>
      <c r="AD511" t="s">
        <v>66</v>
      </c>
      <c r="AE511">
        <v>9</v>
      </c>
      <c r="AF511">
        <v>12</v>
      </c>
      <c r="AG511" t="s">
        <v>66</v>
      </c>
      <c r="AH511">
        <v>7</v>
      </c>
      <c r="AI511">
        <v>8</v>
      </c>
      <c r="AJ511" t="s">
        <v>66</v>
      </c>
      <c r="AK511">
        <v>4</v>
      </c>
      <c r="AL511">
        <v>6</v>
      </c>
      <c r="AM511">
        <v>5.5</v>
      </c>
      <c r="AN511">
        <v>7</v>
      </c>
      <c r="AO511">
        <v>27.272727270000001</v>
      </c>
      <c r="AP511">
        <v>33.333333330000002</v>
      </c>
      <c r="AQ511">
        <v>1.636363636</v>
      </c>
      <c r="AR511">
        <v>1.7142857140000001</v>
      </c>
      <c r="AS511">
        <v>7.7922078000000006E-2</v>
      </c>
      <c r="AT511">
        <v>0</v>
      </c>
      <c r="AU511" t="s">
        <v>66</v>
      </c>
      <c r="AV511">
        <v>0</v>
      </c>
      <c r="AW511">
        <v>0</v>
      </c>
      <c r="AX511">
        <v>0</v>
      </c>
      <c r="AY511">
        <v>1</v>
      </c>
      <c r="AZ511">
        <v>1</v>
      </c>
      <c r="BA511">
        <v>1</v>
      </c>
      <c r="BB511" t="s">
        <v>66</v>
      </c>
      <c r="BC511" t="s">
        <v>66</v>
      </c>
      <c r="BD511" t="s">
        <v>66</v>
      </c>
      <c r="BE511" t="s">
        <v>66</v>
      </c>
      <c r="BF511">
        <v>0</v>
      </c>
      <c r="BG511" t="s">
        <v>66</v>
      </c>
      <c r="BH511" t="s">
        <v>66</v>
      </c>
      <c r="BI511">
        <v>72</v>
      </c>
      <c r="BJ511">
        <v>10.199999999999999</v>
      </c>
      <c r="BK511" t="s">
        <v>66</v>
      </c>
      <c r="BL511">
        <v>52</v>
      </c>
      <c r="BM511">
        <v>22</v>
      </c>
      <c r="BN511">
        <v>13</v>
      </c>
      <c r="BO511">
        <f t="shared" si="77"/>
        <v>17.5</v>
      </c>
      <c r="BP511">
        <v>4</v>
      </c>
      <c r="BQ511">
        <v>1</v>
      </c>
      <c r="BS511">
        <v>0</v>
      </c>
      <c r="BT511">
        <f t="shared" si="78"/>
        <v>79.166666666666657</v>
      </c>
      <c r="BU511">
        <f t="shared" si="79"/>
        <v>80.392156862745097</v>
      </c>
      <c r="BV511">
        <f t="shared" si="80"/>
        <v>82.692307692307693</v>
      </c>
      <c r="BW511">
        <f t="shared" si="81"/>
        <v>68.571428571428569</v>
      </c>
    </row>
    <row r="512" spans="1:75" x14ac:dyDescent="0.2">
      <c r="A512" t="s">
        <v>256</v>
      </c>
      <c r="B512" t="s">
        <v>257</v>
      </c>
      <c r="C512" t="s">
        <v>62</v>
      </c>
      <c r="D512" t="s">
        <v>603</v>
      </c>
      <c r="E512" t="s">
        <v>606</v>
      </c>
      <c r="F512" t="s">
        <v>785</v>
      </c>
      <c r="G512">
        <v>5.0999999999999996</v>
      </c>
      <c r="H512">
        <v>1.55</v>
      </c>
      <c r="I512">
        <v>1.85</v>
      </c>
      <c r="J512">
        <v>0.3</v>
      </c>
      <c r="K512">
        <v>8.8000000000000007</v>
      </c>
      <c r="L512">
        <v>0.66666666699999999</v>
      </c>
      <c r="M512">
        <v>45</v>
      </c>
      <c r="N512">
        <v>40</v>
      </c>
      <c r="O512">
        <v>-5</v>
      </c>
      <c r="P512">
        <v>43</v>
      </c>
      <c r="Q512">
        <v>-2</v>
      </c>
      <c r="R512">
        <v>-1</v>
      </c>
      <c r="S512">
        <v>45.1</v>
      </c>
      <c r="T512">
        <v>-4.4444444440000002</v>
      </c>
      <c r="U512">
        <v>7.5</v>
      </c>
      <c r="V512">
        <v>7</v>
      </c>
      <c r="W512">
        <v>7</v>
      </c>
      <c r="X512">
        <v>13</v>
      </c>
      <c r="Y512">
        <v>6</v>
      </c>
      <c r="Z512">
        <v>85.714285709999999</v>
      </c>
      <c r="AA512" t="s">
        <v>66</v>
      </c>
      <c r="AB512" t="s">
        <v>66</v>
      </c>
      <c r="AC512" t="s">
        <v>66</v>
      </c>
      <c r="AD512" t="s">
        <v>66</v>
      </c>
      <c r="AE512">
        <v>34</v>
      </c>
      <c r="AF512">
        <v>37</v>
      </c>
      <c r="AG512" t="s">
        <v>66</v>
      </c>
      <c r="AH512">
        <v>24</v>
      </c>
      <c r="AI512">
        <v>23</v>
      </c>
      <c r="AJ512" t="s">
        <v>66</v>
      </c>
      <c r="AK512">
        <v>16</v>
      </c>
      <c r="AL512">
        <v>19</v>
      </c>
      <c r="AM512">
        <v>20</v>
      </c>
      <c r="AN512">
        <v>21</v>
      </c>
      <c r="AO512">
        <v>5</v>
      </c>
      <c r="AP512">
        <v>8.8235294119999992</v>
      </c>
      <c r="AQ512">
        <v>1.7</v>
      </c>
      <c r="AR512">
        <v>1.7619047619999999</v>
      </c>
      <c r="AS512">
        <v>6.1904762000000002E-2</v>
      </c>
      <c r="AT512">
        <v>0</v>
      </c>
      <c r="AU512" t="s">
        <v>66</v>
      </c>
      <c r="AV512">
        <v>0</v>
      </c>
      <c r="AW512">
        <v>0</v>
      </c>
      <c r="AX512">
        <v>0</v>
      </c>
      <c r="AY512">
        <v>1</v>
      </c>
      <c r="AZ512">
        <v>1</v>
      </c>
      <c r="BA512">
        <v>1</v>
      </c>
      <c r="BB512" t="s">
        <v>66</v>
      </c>
      <c r="BC512" t="s">
        <v>66</v>
      </c>
      <c r="BD512" t="s">
        <v>66</v>
      </c>
      <c r="BE512" t="s">
        <v>66</v>
      </c>
      <c r="BF512">
        <v>0</v>
      </c>
      <c r="BG512" t="s">
        <v>66</v>
      </c>
      <c r="BH512" t="s">
        <v>66</v>
      </c>
      <c r="BI512">
        <v>63</v>
      </c>
      <c r="BJ512">
        <v>13.3</v>
      </c>
      <c r="BK512" t="s">
        <v>66</v>
      </c>
      <c r="BL512">
        <v>50</v>
      </c>
      <c r="BM512">
        <v>30</v>
      </c>
      <c r="BN512">
        <v>18</v>
      </c>
      <c r="BO512">
        <f t="shared" ref="BO512:BO543" si="82">AVERAGE(BM512,BN512)</f>
        <v>24</v>
      </c>
      <c r="BP512">
        <v>4</v>
      </c>
      <c r="BQ512">
        <v>1</v>
      </c>
      <c r="BS512">
        <v>0</v>
      </c>
      <c r="BT512">
        <f t="shared" ref="BT512:BT543" si="83">(BI512-M512)/BI512*100</f>
        <v>28.571428571428569</v>
      </c>
      <c r="BU512">
        <f t="shared" ref="BU512:BU543" si="84">(BJ512-V512)/BJ512*100</f>
        <v>47.368421052631582</v>
      </c>
      <c r="BV512">
        <f t="shared" ref="BV512:BV543" si="85">(BL512-AE512)/BL512*100</f>
        <v>32</v>
      </c>
      <c r="BW512">
        <f t="shared" ref="BW512:BW543" si="86">(BO512-AM512)/BO512*100</f>
        <v>16.666666666666664</v>
      </c>
    </row>
    <row r="513" spans="1:75" x14ac:dyDescent="0.2">
      <c r="A513" t="s">
        <v>256</v>
      </c>
      <c r="B513" t="s">
        <v>257</v>
      </c>
      <c r="C513" t="s">
        <v>62</v>
      </c>
      <c r="D513" t="s">
        <v>603</v>
      </c>
      <c r="E513" t="s">
        <v>608</v>
      </c>
      <c r="F513" t="s">
        <v>786</v>
      </c>
      <c r="G513">
        <v>5.0999999999999996</v>
      </c>
      <c r="H513">
        <v>1.55</v>
      </c>
      <c r="I513">
        <v>1.85</v>
      </c>
      <c r="J513">
        <v>0.3</v>
      </c>
      <c r="K513">
        <v>8.8000000000000007</v>
      </c>
      <c r="L513">
        <v>0.66666666699999999</v>
      </c>
      <c r="M513">
        <v>32</v>
      </c>
      <c r="N513">
        <v>36</v>
      </c>
      <c r="O513">
        <v>4</v>
      </c>
      <c r="P513">
        <v>39</v>
      </c>
      <c r="Q513">
        <v>7</v>
      </c>
      <c r="R513">
        <v>3.5</v>
      </c>
      <c r="S513">
        <v>54.1</v>
      </c>
      <c r="T513">
        <v>21.875</v>
      </c>
      <c r="U513">
        <v>8.3333333330000006</v>
      </c>
      <c r="V513">
        <v>4</v>
      </c>
      <c r="W513">
        <v>6</v>
      </c>
      <c r="X513">
        <v>6</v>
      </c>
      <c r="Y513">
        <v>2</v>
      </c>
      <c r="Z513">
        <v>50</v>
      </c>
      <c r="AA513" t="s">
        <v>66</v>
      </c>
      <c r="AB513" t="s">
        <v>66</v>
      </c>
      <c r="AC513" t="s">
        <v>66</v>
      </c>
      <c r="AD513" t="s">
        <v>66</v>
      </c>
      <c r="AE513">
        <v>30</v>
      </c>
      <c r="AF513">
        <v>34</v>
      </c>
      <c r="AG513" t="s">
        <v>66</v>
      </c>
      <c r="AH513">
        <v>13</v>
      </c>
      <c r="AI513">
        <v>13</v>
      </c>
      <c r="AJ513" t="s">
        <v>66</v>
      </c>
      <c r="AK513">
        <v>9</v>
      </c>
      <c r="AL513">
        <v>11</v>
      </c>
      <c r="AM513">
        <v>11</v>
      </c>
      <c r="AN513">
        <v>12</v>
      </c>
      <c r="AO513">
        <v>9.0909090910000003</v>
      </c>
      <c r="AP513">
        <v>13.33333333</v>
      </c>
      <c r="AQ513">
        <v>2.7272727269999999</v>
      </c>
      <c r="AR513">
        <v>2.8333333330000001</v>
      </c>
      <c r="AS513">
        <v>0.106060606</v>
      </c>
      <c r="AT513">
        <v>0</v>
      </c>
      <c r="AU513" t="s">
        <v>66</v>
      </c>
      <c r="AV513">
        <v>0</v>
      </c>
      <c r="AW513">
        <v>0</v>
      </c>
      <c r="AX513">
        <v>0</v>
      </c>
      <c r="AY513">
        <v>1</v>
      </c>
      <c r="AZ513">
        <v>1</v>
      </c>
      <c r="BA513">
        <v>1</v>
      </c>
      <c r="BB513" t="s">
        <v>66</v>
      </c>
      <c r="BC513" t="s">
        <v>66</v>
      </c>
      <c r="BD513" t="s">
        <v>66</v>
      </c>
      <c r="BE513" t="s">
        <v>66</v>
      </c>
      <c r="BF513">
        <v>0</v>
      </c>
      <c r="BG513" t="s">
        <v>66</v>
      </c>
      <c r="BH513" t="s">
        <v>66</v>
      </c>
      <c r="BI513">
        <v>51</v>
      </c>
      <c r="BJ513">
        <v>9</v>
      </c>
      <c r="BK513" t="s">
        <v>66</v>
      </c>
      <c r="BL513">
        <v>44</v>
      </c>
      <c r="BM513">
        <v>19</v>
      </c>
      <c r="BN513">
        <v>9</v>
      </c>
      <c r="BO513">
        <f t="shared" si="82"/>
        <v>14</v>
      </c>
      <c r="BP513">
        <v>4</v>
      </c>
      <c r="BQ513">
        <v>1</v>
      </c>
      <c r="BS513">
        <v>0</v>
      </c>
      <c r="BT513">
        <f t="shared" si="83"/>
        <v>37.254901960784316</v>
      </c>
      <c r="BU513">
        <f t="shared" si="84"/>
        <v>55.555555555555557</v>
      </c>
      <c r="BV513">
        <f t="shared" si="85"/>
        <v>31.818181818181817</v>
      </c>
      <c r="BW513">
        <f t="shared" si="86"/>
        <v>21.428571428571427</v>
      </c>
    </row>
    <row r="514" spans="1:75" x14ac:dyDescent="0.2">
      <c r="A514" t="s">
        <v>256</v>
      </c>
      <c r="B514" t="s">
        <v>257</v>
      </c>
      <c r="C514" t="s">
        <v>62</v>
      </c>
      <c r="D514" t="s">
        <v>603</v>
      </c>
      <c r="E514" t="s">
        <v>610</v>
      </c>
      <c r="F514" t="s">
        <v>787</v>
      </c>
      <c r="G514">
        <v>5.0999999999999996</v>
      </c>
      <c r="H514">
        <v>1.55</v>
      </c>
      <c r="I514">
        <v>1.85</v>
      </c>
      <c r="J514">
        <v>0.3</v>
      </c>
      <c r="K514">
        <v>8.8000000000000007</v>
      </c>
      <c r="L514">
        <v>0.66666666699999999</v>
      </c>
      <c r="M514">
        <v>29</v>
      </c>
      <c r="N514">
        <v>29</v>
      </c>
      <c r="O514">
        <v>0</v>
      </c>
      <c r="P514">
        <v>40</v>
      </c>
      <c r="Q514">
        <v>11</v>
      </c>
      <c r="R514">
        <v>5.5</v>
      </c>
      <c r="S514">
        <v>58.1</v>
      </c>
      <c r="T514">
        <v>37.931034480000001</v>
      </c>
      <c r="U514">
        <v>37.931034480000001</v>
      </c>
      <c r="V514">
        <v>5</v>
      </c>
      <c r="W514">
        <v>5</v>
      </c>
      <c r="X514">
        <v>5</v>
      </c>
      <c r="Y514">
        <v>0</v>
      </c>
      <c r="Z514">
        <v>0</v>
      </c>
      <c r="AA514" t="s">
        <v>66</v>
      </c>
      <c r="AB514" t="s">
        <v>66</v>
      </c>
      <c r="AC514" t="s">
        <v>66</v>
      </c>
      <c r="AD514" t="s">
        <v>66</v>
      </c>
      <c r="AE514">
        <v>26</v>
      </c>
      <c r="AF514">
        <v>30</v>
      </c>
      <c r="AG514" t="s">
        <v>66</v>
      </c>
      <c r="AH514">
        <v>20</v>
      </c>
      <c r="AI514">
        <v>14</v>
      </c>
      <c r="AJ514" t="s">
        <v>66</v>
      </c>
      <c r="AK514">
        <v>9</v>
      </c>
      <c r="AL514">
        <v>11</v>
      </c>
      <c r="AM514">
        <v>14.5</v>
      </c>
      <c r="AN514">
        <v>12.5</v>
      </c>
      <c r="AO514">
        <v>-13.79310345</v>
      </c>
      <c r="AP514">
        <v>15.38461538</v>
      </c>
      <c r="AQ514">
        <v>1.7931034480000001</v>
      </c>
      <c r="AR514">
        <v>2.4</v>
      </c>
      <c r="AS514">
        <v>0.60689655200000003</v>
      </c>
      <c r="AT514">
        <v>0</v>
      </c>
      <c r="AU514" t="s">
        <v>66</v>
      </c>
      <c r="AV514">
        <v>0</v>
      </c>
      <c r="AW514">
        <v>0</v>
      </c>
      <c r="AX514">
        <v>0</v>
      </c>
      <c r="AY514">
        <v>1</v>
      </c>
      <c r="AZ514">
        <v>1</v>
      </c>
      <c r="BA514">
        <v>1</v>
      </c>
      <c r="BB514" t="s">
        <v>66</v>
      </c>
      <c r="BC514" t="s">
        <v>66</v>
      </c>
      <c r="BD514" t="s">
        <v>66</v>
      </c>
      <c r="BE514" t="s">
        <v>66</v>
      </c>
      <c r="BF514">
        <v>0</v>
      </c>
      <c r="BG514" t="s">
        <v>66</v>
      </c>
      <c r="BH514" t="s">
        <v>66</v>
      </c>
      <c r="BI514">
        <v>36</v>
      </c>
      <c r="BJ514">
        <v>8.8000000000000007</v>
      </c>
      <c r="BK514" t="s">
        <v>66</v>
      </c>
      <c r="BL514">
        <v>29</v>
      </c>
      <c r="BM514">
        <v>15</v>
      </c>
      <c r="BN514">
        <v>7</v>
      </c>
      <c r="BO514">
        <f t="shared" si="82"/>
        <v>11</v>
      </c>
      <c r="BP514">
        <v>4</v>
      </c>
      <c r="BQ514">
        <v>1</v>
      </c>
      <c r="BS514">
        <v>0</v>
      </c>
      <c r="BT514">
        <f t="shared" si="83"/>
        <v>19.444444444444446</v>
      </c>
      <c r="BU514">
        <f t="shared" si="84"/>
        <v>43.181818181818187</v>
      </c>
      <c r="BV514">
        <f t="shared" si="85"/>
        <v>10.344827586206897</v>
      </c>
      <c r="BW514">
        <f t="shared" si="86"/>
        <v>-31.818181818181817</v>
      </c>
    </row>
    <row r="515" spans="1:75" x14ac:dyDescent="0.2">
      <c r="A515" t="s">
        <v>256</v>
      </c>
      <c r="B515" t="s">
        <v>257</v>
      </c>
      <c r="C515" t="s">
        <v>62</v>
      </c>
      <c r="D515" t="s">
        <v>603</v>
      </c>
      <c r="E515" t="s">
        <v>612</v>
      </c>
      <c r="F515" t="s">
        <v>788</v>
      </c>
      <c r="G515">
        <v>5.0999999999999996</v>
      </c>
      <c r="H515">
        <v>1.55</v>
      </c>
      <c r="I515">
        <v>1.85</v>
      </c>
      <c r="J515">
        <v>0.3</v>
      </c>
      <c r="K515">
        <v>8.8000000000000007</v>
      </c>
      <c r="L515">
        <v>0.66666666699999999</v>
      </c>
      <c r="M515">
        <v>51</v>
      </c>
      <c r="N515">
        <v>53</v>
      </c>
      <c r="O515">
        <v>2</v>
      </c>
      <c r="P515">
        <v>56</v>
      </c>
      <c r="Q515">
        <v>5</v>
      </c>
      <c r="R515">
        <v>2.5</v>
      </c>
      <c r="S515">
        <v>52.1</v>
      </c>
      <c r="T515">
        <v>9.8039215689999999</v>
      </c>
      <c r="U515">
        <v>5.6603773579999999</v>
      </c>
      <c r="V515">
        <v>9</v>
      </c>
      <c r="W515">
        <v>11</v>
      </c>
      <c r="X515">
        <v>11</v>
      </c>
      <c r="Y515">
        <v>2</v>
      </c>
      <c r="Z515">
        <v>22.222222219999999</v>
      </c>
      <c r="AA515" t="s">
        <v>66</v>
      </c>
      <c r="AB515" t="s">
        <v>66</v>
      </c>
      <c r="AC515" t="s">
        <v>66</v>
      </c>
      <c r="AD515" t="s">
        <v>66</v>
      </c>
      <c r="AE515">
        <v>46</v>
      </c>
      <c r="AF515">
        <v>51</v>
      </c>
      <c r="AG515" t="s">
        <v>66</v>
      </c>
      <c r="AH515">
        <v>23</v>
      </c>
      <c r="AI515">
        <v>23</v>
      </c>
      <c r="AJ515" t="s">
        <v>66</v>
      </c>
      <c r="AK515">
        <v>16</v>
      </c>
      <c r="AL515">
        <v>17</v>
      </c>
      <c r="AM515">
        <v>19.5</v>
      </c>
      <c r="AN515">
        <v>20</v>
      </c>
      <c r="AO515">
        <v>2.5641025640000001</v>
      </c>
      <c r="AP515">
        <v>10.86956522</v>
      </c>
      <c r="AQ515">
        <v>2.3589743589999999</v>
      </c>
      <c r="AR515">
        <v>2.5499999999999998</v>
      </c>
      <c r="AS515">
        <v>0.191025641</v>
      </c>
      <c r="AT515">
        <v>0</v>
      </c>
      <c r="AU515" t="s">
        <v>66</v>
      </c>
      <c r="AV515">
        <v>0</v>
      </c>
      <c r="AW515">
        <v>0</v>
      </c>
      <c r="AX515">
        <v>0</v>
      </c>
      <c r="AY515">
        <v>1</v>
      </c>
      <c r="AZ515">
        <v>1</v>
      </c>
      <c r="BA515">
        <v>1</v>
      </c>
      <c r="BB515" t="s">
        <v>66</v>
      </c>
      <c r="BC515" t="s">
        <v>66</v>
      </c>
      <c r="BD515" t="s">
        <v>66</v>
      </c>
      <c r="BE515" t="s">
        <v>66</v>
      </c>
      <c r="BF515">
        <v>0</v>
      </c>
      <c r="BG515" t="s">
        <v>66</v>
      </c>
      <c r="BH515" t="s">
        <v>66</v>
      </c>
      <c r="BI515">
        <v>55</v>
      </c>
      <c r="BJ515">
        <v>3.5</v>
      </c>
      <c r="BK515" t="s">
        <v>66</v>
      </c>
      <c r="BL515">
        <v>49</v>
      </c>
      <c r="BM515">
        <v>23</v>
      </c>
      <c r="BN515">
        <v>16</v>
      </c>
      <c r="BO515">
        <f t="shared" si="82"/>
        <v>19.5</v>
      </c>
      <c r="BP515">
        <v>4</v>
      </c>
      <c r="BQ515">
        <v>1</v>
      </c>
      <c r="BS515">
        <v>0</v>
      </c>
      <c r="BT515">
        <f t="shared" si="83"/>
        <v>7.2727272727272725</v>
      </c>
      <c r="BU515">
        <f t="shared" si="84"/>
        <v>-157.14285714285714</v>
      </c>
      <c r="BV515">
        <f t="shared" si="85"/>
        <v>6.1224489795918364</v>
      </c>
      <c r="BW515">
        <f t="shared" si="86"/>
        <v>0</v>
      </c>
    </row>
    <row r="516" spans="1:75" x14ac:dyDescent="0.2">
      <c r="A516" t="s">
        <v>256</v>
      </c>
      <c r="B516" t="s">
        <v>257</v>
      </c>
      <c r="C516" t="s">
        <v>62</v>
      </c>
      <c r="D516" t="s">
        <v>603</v>
      </c>
      <c r="E516" t="s">
        <v>614</v>
      </c>
      <c r="F516" t="s">
        <v>789</v>
      </c>
      <c r="G516">
        <v>5.0999999999999996</v>
      </c>
      <c r="H516">
        <v>1.55</v>
      </c>
      <c r="I516">
        <v>1.85</v>
      </c>
      <c r="J516">
        <v>0.3</v>
      </c>
      <c r="K516">
        <v>8.8000000000000007</v>
      </c>
      <c r="L516">
        <v>0.66666666699999999</v>
      </c>
      <c r="M516">
        <v>48</v>
      </c>
      <c r="N516">
        <v>54</v>
      </c>
      <c r="O516">
        <v>6</v>
      </c>
      <c r="P516">
        <v>58</v>
      </c>
      <c r="Q516">
        <v>10</v>
      </c>
      <c r="R516">
        <v>5</v>
      </c>
      <c r="S516">
        <v>57.1</v>
      </c>
      <c r="T516">
        <v>20.833333329999999</v>
      </c>
      <c r="U516">
        <v>7.407407407</v>
      </c>
      <c r="V516">
        <v>6</v>
      </c>
      <c r="W516">
        <v>9</v>
      </c>
      <c r="X516">
        <v>9</v>
      </c>
      <c r="Y516">
        <v>3</v>
      </c>
      <c r="Z516">
        <v>50</v>
      </c>
      <c r="AA516" t="s">
        <v>66</v>
      </c>
      <c r="AB516" t="s">
        <v>66</v>
      </c>
      <c r="AC516" t="s">
        <v>66</v>
      </c>
      <c r="AD516" t="s">
        <v>66</v>
      </c>
      <c r="AE516">
        <v>50</v>
      </c>
      <c r="AF516">
        <v>49</v>
      </c>
      <c r="AG516" t="s">
        <v>66</v>
      </c>
      <c r="AH516">
        <v>32</v>
      </c>
      <c r="AI516">
        <v>35</v>
      </c>
      <c r="AJ516" t="s">
        <v>66</v>
      </c>
      <c r="AK516">
        <v>15</v>
      </c>
      <c r="AL516">
        <v>19</v>
      </c>
      <c r="AM516">
        <v>23.5</v>
      </c>
      <c r="AN516">
        <v>27</v>
      </c>
      <c r="AO516">
        <v>14.893617020000001</v>
      </c>
      <c r="AP516">
        <v>-2</v>
      </c>
      <c r="AQ516">
        <v>2.1276595739999999</v>
      </c>
      <c r="AR516">
        <v>1.8148148150000001</v>
      </c>
      <c r="AS516">
        <v>-0.31284475899999997</v>
      </c>
      <c r="AT516">
        <v>0</v>
      </c>
      <c r="AU516" t="s">
        <v>66</v>
      </c>
      <c r="AV516">
        <v>0</v>
      </c>
      <c r="AW516">
        <v>0</v>
      </c>
      <c r="AX516">
        <v>0</v>
      </c>
      <c r="AY516">
        <v>1</v>
      </c>
      <c r="AZ516">
        <v>1</v>
      </c>
      <c r="BA516">
        <v>1</v>
      </c>
      <c r="BB516" t="s">
        <v>66</v>
      </c>
      <c r="BC516" t="s">
        <v>66</v>
      </c>
      <c r="BD516" t="s">
        <v>66</v>
      </c>
      <c r="BE516" t="s">
        <v>66</v>
      </c>
      <c r="BF516">
        <v>0</v>
      </c>
      <c r="BG516" t="s">
        <v>66</v>
      </c>
      <c r="BH516" t="s">
        <v>66</v>
      </c>
      <c r="BI516">
        <v>73</v>
      </c>
      <c r="BJ516">
        <v>12.4</v>
      </c>
      <c r="BK516" t="s">
        <v>66</v>
      </c>
      <c r="BL516">
        <f>73-14</f>
        <v>59</v>
      </c>
      <c r="BM516">
        <v>45</v>
      </c>
      <c r="BN516">
        <v>22</v>
      </c>
      <c r="BO516">
        <f t="shared" si="82"/>
        <v>33.5</v>
      </c>
      <c r="BP516">
        <v>4</v>
      </c>
      <c r="BQ516">
        <v>1</v>
      </c>
      <c r="BS516">
        <v>0</v>
      </c>
      <c r="BT516">
        <f t="shared" si="83"/>
        <v>34.246575342465754</v>
      </c>
      <c r="BU516">
        <f t="shared" si="84"/>
        <v>51.612903225806448</v>
      </c>
      <c r="BV516">
        <f t="shared" si="85"/>
        <v>15.254237288135593</v>
      </c>
      <c r="BW516">
        <f t="shared" si="86"/>
        <v>29.850746268656714</v>
      </c>
    </row>
    <row r="517" spans="1:75" x14ac:dyDescent="0.2">
      <c r="A517" t="s">
        <v>256</v>
      </c>
      <c r="B517" t="s">
        <v>257</v>
      </c>
      <c r="C517" t="s">
        <v>62</v>
      </c>
      <c r="D517" t="s">
        <v>603</v>
      </c>
      <c r="E517" t="s">
        <v>616</v>
      </c>
      <c r="F517" t="s">
        <v>790</v>
      </c>
      <c r="G517">
        <v>5.0999999999999996</v>
      </c>
      <c r="H517">
        <v>1.55</v>
      </c>
      <c r="I517">
        <v>1.85</v>
      </c>
      <c r="J517">
        <v>0.3</v>
      </c>
      <c r="K517">
        <v>8.8000000000000007</v>
      </c>
      <c r="L517">
        <v>0.66666666699999999</v>
      </c>
      <c r="M517">
        <v>22</v>
      </c>
      <c r="N517">
        <v>25</v>
      </c>
      <c r="O517">
        <v>3</v>
      </c>
      <c r="P517">
        <v>28</v>
      </c>
      <c r="Q517">
        <v>6</v>
      </c>
      <c r="R517">
        <v>3</v>
      </c>
      <c r="S517">
        <v>53.1</v>
      </c>
      <c r="T517">
        <v>27.272727270000001</v>
      </c>
      <c r="U517">
        <v>12</v>
      </c>
      <c r="V517">
        <v>3</v>
      </c>
      <c r="W517">
        <v>5</v>
      </c>
      <c r="X517">
        <v>4</v>
      </c>
      <c r="Y517">
        <v>1</v>
      </c>
      <c r="Z517">
        <v>33.333333330000002</v>
      </c>
      <c r="AA517" t="s">
        <v>66</v>
      </c>
      <c r="AB517" t="s">
        <v>66</v>
      </c>
      <c r="AC517" t="s">
        <v>66</v>
      </c>
      <c r="AD517" t="s">
        <v>66</v>
      </c>
      <c r="AE517">
        <v>20</v>
      </c>
      <c r="AF517">
        <v>22</v>
      </c>
      <c r="AG517" t="s">
        <v>66</v>
      </c>
      <c r="AH517">
        <v>15</v>
      </c>
      <c r="AI517">
        <v>13</v>
      </c>
      <c r="AJ517" t="s">
        <v>66</v>
      </c>
      <c r="AK517">
        <v>10</v>
      </c>
      <c r="AL517">
        <v>5</v>
      </c>
      <c r="AM517">
        <v>12.5</v>
      </c>
      <c r="AN517">
        <v>9</v>
      </c>
      <c r="AO517">
        <v>-28</v>
      </c>
      <c r="AP517">
        <v>10</v>
      </c>
      <c r="AQ517">
        <v>1.6</v>
      </c>
      <c r="AR517">
        <v>2.4444444440000002</v>
      </c>
      <c r="AS517">
        <v>0.84444444399999996</v>
      </c>
      <c r="AT517">
        <v>0</v>
      </c>
      <c r="AU517" t="s">
        <v>66</v>
      </c>
      <c r="AV517">
        <v>0</v>
      </c>
      <c r="AW517">
        <v>0</v>
      </c>
      <c r="AX517">
        <v>0</v>
      </c>
      <c r="AY517">
        <v>1</v>
      </c>
      <c r="AZ517">
        <v>1</v>
      </c>
      <c r="BA517">
        <v>1</v>
      </c>
      <c r="BB517" t="s">
        <v>66</v>
      </c>
      <c r="BC517" t="s">
        <v>66</v>
      </c>
      <c r="BD517" t="s">
        <v>66</v>
      </c>
      <c r="BE517" t="s">
        <v>66</v>
      </c>
      <c r="BF517">
        <v>0</v>
      </c>
      <c r="BG517" t="s">
        <v>66</v>
      </c>
      <c r="BH517" t="s">
        <v>66</v>
      </c>
      <c r="BI517">
        <v>42</v>
      </c>
      <c r="BJ517">
        <v>7.4</v>
      </c>
      <c r="BK517" t="s">
        <v>66</v>
      </c>
      <c r="BL517">
        <v>20</v>
      </c>
      <c r="BM517">
        <v>19</v>
      </c>
      <c r="BN517">
        <v>9</v>
      </c>
      <c r="BO517">
        <f t="shared" si="82"/>
        <v>14</v>
      </c>
      <c r="BP517">
        <v>4</v>
      </c>
      <c r="BQ517">
        <v>1</v>
      </c>
      <c r="BS517">
        <v>0</v>
      </c>
      <c r="BT517">
        <f t="shared" si="83"/>
        <v>47.619047619047613</v>
      </c>
      <c r="BU517">
        <f t="shared" si="84"/>
        <v>59.45945945945946</v>
      </c>
      <c r="BV517">
        <f t="shared" si="85"/>
        <v>0</v>
      </c>
      <c r="BW517">
        <f t="shared" si="86"/>
        <v>10.714285714285714</v>
      </c>
    </row>
    <row r="518" spans="1:75" x14ac:dyDescent="0.2">
      <c r="A518" t="s">
        <v>256</v>
      </c>
      <c r="B518" t="s">
        <v>257</v>
      </c>
      <c r="C518" t="s">
        <v>62</v>
      </c>
      <c r="D518" t="s">
        <v>603</v>
      </c>
      <c r="E518" t="s">
        <v>618</v>
      </c>
      <c r="F518" t="s">
        <v>791</v>
      </c>
      <c r="G518">
        <v>5.0999999999999996</v>
      </c>
      <c r="H518">
        <v>1.55</v>
      </c>
      <c r="I518">
        <v>1.85</v>
      </c>
      <c r="J518">
        <v>0.3</v>
      </c>
      <c r="K518">
        <v>8.8000000000000007</v>
      </c>
      <c r="L518">
        <v>0.66666666699999999</v>
      </c>
      <c r="M518">
        <v>25</v>
      </c>
      <c r="N518">
        <v>29</v>
      </c>
      <c r="O518">
        <v>4</v>
      </c>
      <c r="P518">
        <v>31</v>
      </c>
      <c r="Q518">
        <v>6</v>
      </c>
      <c r="R518">
        <v>3</v>
      </c>
      <c r="S518">
        <v>53.1</v>
      </c>
      <c r="T518">
        <v>24</v>
      </c>
      <c r="U518">
        <v>6.896551724</v>
      </c>
      <c r="V518">
        <v>3</v>
      </c>
      <c r="W518">
        <v>5</v>
      </c>
      <c r="X518">
        <v>5</v>
      </c>
      <c r="Y518">
        <v>2</v>
      </c>
      <c r="Z518">
        <v>66.666666669999998</v>
      </c>
      <c r="AA518" t="s">
        <v>66</v>
      </c>
      <c r="AB518" t="s">
        <v>66</v>
      </c>
      <c r="AC518" t="s">
        <v>66</v>
      </c>
      <c r="AD518" t="s">
        <v>66</v>
      </c>
      <c r="AE518">
        <v>20</v>
      </c>
      <c r="AF518">
        <v>25</v>
      </c>
      <c r="AG518" t="s">
        <v>66</v>
      </c>
      <c r="AH518">
        <v>12</v>
      </c>
      <c r="AI518">
        <v>11</v>
      </c>
      <c r="AJ518" t="s">
        <v>66</v>
      </c>
      <c r="AK518">
        <v>8</v>
      </c>
      <c r="AL518">
        <v>6</v>
      </c>
      <c r="AM518">
        <v>10</v>
      </c>
      <c r="AN518">
        <v>8.5</v>
      </c>
      <c r="AO518">
        <v>-15</v>
      </c>
      <c r="AP518">
        <v>25</v>
      </c>
      <c r="AQ518">
        <v>2</v>
      </c>
      <c r="AR518">
        <v>2.9411764709999999</v>
      </c>
      <c r="AS518">
        <v>0.94117647100000001</v>
      </c>
      <c r="AT518">
        <v>0</v>
      </c>
      <c r="AU518" t="s">
        <v>66</v>
      </c>
      <c r="AV518">
        <v>0</v>
      </c>
      <c r="AW518">
        <v>0</v>
      </c>
      <c r="AX518">
        <v>0</v>
      </c>
      <c r="AY518">
        <v>1</v>
      </c>
      <c r="AZ518">
        <v>1</v>
      </c>
      <c r="BA518">
        <v>1</v>
      </c>
      <c r="BB518" t="s">
        <v>66</v>
      </c>
      <c r="BC518" t="s">
        <v>66</v>
      </c>
      <c r="BD518" t="s">
        <v>66</v>
      </c>
      <c r="BE518" t="s">
        <v>66</v>
      </c>
      <c r="BF518">
        <v>0</v>
      </c>
      <c r="BG518" t="s">
        <v>66</v>
      </c>
      <c r="BH518" t="s">
        <v>66</v>
      </c>
      <c r="BI518">
        <v>45</v>
      </c>
      <c r="BJ518">
        <v>5.3</v>
      </c>
      <c r="BK518" t="s">
        <v>66</v>
      </c>
      <c r="BL518">
        <v>41</v>
      </c>
      <c r="BM518">
        <v>18</v>
      </c>
      <c r="BN518">
        <v>8</v>
      </c>
      <c r="BO518">
        <f t="shared" si="82"/>
        <v>13</v>
      </c>
      <c r="BP518">
        <v>4</v>
      </c>
      <c r="BQ518">
        <v>1</v>
      </c>
      <c r="BS518">
        <v>0</v>
      </c>
      <c r="BT518">
        <f t="shared" si="83"/>
        <v>44.444444444444443</v>
      </c>
      <c r="BU518">
        <f t="shared" si="84"/>
        <v>43.396226415094333</v>
      </c>
      <c r="BV518">
        <f t="shared" si="85"/>
        <v>51.219512195121951</v>
      </c>
      <c r="BW518">
        <f t="shared" si="86"/>
        <v>23.076923076923077</v>
      </c>
    </row>
    <row r="519" spans="1:75" x14ac:dyDescent="0.2">
      <c r="A519" t="s">
        <v>256</v>
      </c>
      <c r="B519" t="s">
        <v>257</v>
      </c>
      <c r="C519" t="s">
        <v>62</v>
      </c>
      <c r="D519" t="s">
        <v>603</v>
      </c>
      <c r="E519" t="s">
        <v>620</v>
      </c>
      <c r="F519" t="s">
        <v>792</v>
      </c>
      <c r="G519">
        <v>5.0999999999999996</v>
      </c>
      <c r="H519">
        <v>1.55</v>
      </c>
      <c r="I519">
        <v>1.85</v>
      </c>
      <c r="J519">
        <v>0.3</v>
      </c>
      <c r="K519">
        <v>8.8000000000000007</v>
      </c>
      <c r="L519">
        <v>0.66666666699999999</v>
      </c>
      <c r="M519">
        <v>18</v>
      </c>
      <c r="N519">
        <v>23</v>
      </c>
      <c r="O519">
        <v>5</v>
      </c>
      <c r="P519">
        <v>25</v>
      </c>
      <c r="Q519">
        <v>7</v>
      </c>
      <c r="R519">
        <v>3.5</v>
      </c>
      <c r="S519">
        <v>54.1</v>
      </c>
      <c r="T519">
        <v>38.888888889999997</v>
      </c>
      <c r="U519">
        <v>8.6956521739999992</v>
      </c>
      <c r="V519">
        <v>4</v>
      </c>
      <c r="W519">
        <v>4</v>
      </c>
      <c r="X519">
        <v>4</v>
      </c>
      <c r="Y519">
        <v>0</v>
      </c>
      <c r="Z519">
        <v>0</v>
      </c>
      <c r="AA519" t="s">
        <v>66</v>
      </c>
      <c r="AB519" t="s">
        <v>66</v>
      </c>
      <c r="AC519" t="s">
        <v>66</v>
      </c>
      <c r="AD519" t="s">
        <v>66</v>
      </c>
      <c r="AE519">
        <v>19</v>
      </c>
      <c r="AF519">
        <v>20</v>
      </c>
      <c r="AG519" t="s">
        <v>66</v>
      </c>
      <c r="AH519">
        <v>7</v>
      </c>
      <c r="AI519">
        <v>7</v>
      </c>
      <c r="AJ519" t="s">
        <v>66</v>
      </c>
      <c r="AK519">
        <v>4</v>
      </c>
      <c r="AL519">
        <v>5</v>
      </c>
      <c r="AM519">
        <v>5.5</v>
      </c>
      <c r="AN519">
        <v>6</v>
      </c>
      <c r="AO519">
        <v>9.0909090910000003</v>
      </c>
      <c r="AP519">
        <v>5.263157895</v>
      </c>
      <c r="AQ519">
        <v>3.4545454549999999</v>
      </c>
      <c r="AR519">
        <v>3.3333333330000001</v>
      </c>
      <c r="AS519">
        <v>-0.12121212200000001</v>
      </c>
      <c r="AT519">
        <v>0</v>
      </c>
      <c r="AU519" t="s">
        <v>66</v>
      </c>
      <c r="AV519">
        <v>0</v>
      </c>
      <c r="AW519">
        <v>0</v>
      </c>
      <c r="AX519">
        <v>0</v>
      </c>
      <c r="AY519">
        <v>1</v>
      </c>
      <c r="AZ519">
        <v>1</v>
      </c>
      <c r="BA519">
        <v>1</v>
      </c>
      <c r="BB519" t="s">
        <v>66</v>
      </c>
      <c r="BC519" t="s">
        <v>66</v>
      </c>
      <c r="BD519" t="s">
        <v>66</v>
      </c>
      <c r="BE519" t="s">
        <v>66</v>
      </c>
      <c r="BF519">
        <v>0</v>
      </c>
      <c r="BG519" t="s">
        <v>66</v>
      </c>
      <c r="BH519" t="s">
        <v>66</v>
      </c>
      <c r="BI519">
        <v>33</v>
      </c>
      <c r="BJ519">
        <v>5.4</v>
      </c>
      <c r="BK519" t="s">
        <v>66</v>
      </c>
      <c r="BL519">
        <v>26</v>
      </c>
      <c r="BM519">
        <v>14</v>
      </c>
      <c r="BN519">
        <v>12</v>
      </c>
      <c r="BO519">
        <f t="shared" si="82"/>
        <v>13</v>
      </c>
      <c r="BP519">
        <v>4</v>
      </c>
      <c r="BQ519">
        <v>1</v>
      </c>
      <c r="BS519">
        <v>0</v>
      </c>
      <c r="BT519">
        <f t="shared" si="83"/>
        <v>45.454545454545453</v>
      </c>
      <c r="BU519">
        <f t="shared" si="84"/>
        <v>25.925925925925931</v>
      </c>
      <c r="BV519">
        <f t="shared" si="85"/>
        <v>26.923076923076923</v>
      </c>
      <c r="BW519">
        <f t="shared" si="86"/>
        <v>57.692307692307686</v>
      </c>
    </row>
    <row r="520" spans="1:75" x14ac:dyDescent="0.2">
      <c r="A520" t="s">
        <v>256</v>
      </c>
      <c r="B520" t="s">
        <v>257</v>
      </c>
      <c r="C520" t="s">
        <v>62</v>
      </c>
      <c r="D520" t="s">
        <v>603</v>
      </c>
      <c r="E520" t="s">
        <v>622</v>
      </c>
      <c r="F520" t="s">
        <v>793</v>
      </c>
      <c r="G520">
        <v>5.0999999999999996</v>
      </c>
      <c r="H520">
        <v>1.55</v>
      </c>
      <c r="I520">
        <v>1.85</v>
      </c>
      <c r="J520">
        <v>0.3</v>
      </c>
      <c r="K520">
        <v>8.8000000000000007</v>
      </c>
      <c r="L520">
        <v>0.66666666699999999</v>
      </c>
      <c r="M520">
        <v>25</v>
      </c>
      <c r="N520">
        <v>32</v>
      </c>
      <c r="O520">
        <v>7</v>
      </c>
      <c r="P520">
        <v>37</v>
      </c>
      <c r="Q520">
        <v>12</v>
      </c>
      <c r="R520">
        <v>6</v>
      </c>
      <c r="S520">
        <v>59.1</v>
      </c>
      <c r="T520">
        <v>48</v>
      </c>
      <c r="U520">
        <v>15.625</v>
      </c>
      <c r="V520">
        <v>4</v>
      </c>
      <c r="W520">
        <v>5</v>
      </c>
      <c r="X520">
        <v>7</v>
      </c>
      <c r="Y520">
        <v>3</v>
      </c>
      <c r="Z520">
        <v>75</v>
      </c>
      <c r="AA520" t="s">
        <v>66</v>
      </c>
      <c r="AB520" t="s">
        <v>66</v>
      </c>
      <c r="AC520" t="s">
        <v>66</v>
      </c>
      <c r="AD520" t="s">
        <v>66</v>
      </c>
      <c r="AE520">
        <v>27</v>
      </c>
      <c r="AF520">
        <v>29</v>
      </c>
      <c r="AG520" t="s">
        <v>66</v>
      </c>
      <c r="AH520">
        <v>14</v>
      </c>
      <c r="AI520">
        <v>14</v>
      </c>
      <c r="AJ520" t="s">
        <v>66</v>
      </c>
      <c r="AK520">
        <v>9</v>
      </c>
      <c r="AL520">
        <v>4</v>
      </c>
      <c r="AM520">
        <v>11.5</v>
      </c>
      <c r="AN520">
        <v>9</v>
      </c>
      <c r="AO520">
        <v>-21.739130429999999</v>
      </c>
      <c r="AP520">
        <v>7.407407407</v>
      </c>
      <c r="AQ520">
        <v>2.3478260870000001</v>
      </c>
      <c r="AR520">
        <v>3.2222222220000001</v>
      </c>
      <c r="AS520">
        <v>0.87439613500000002</v>
      </c>
      <c r="AT520">
        <v>0</v>
      </c>
      <c r="AU520" t="s">
        <v>66</v>
      </c>
      <c r="AV520">
        <v>0</v>
      </c>
      <c r="AW520">
        <v>1</v>
      </c>
      <c r="AX520">
        <v>0</v>
      </c>
      <c r="AY520">
        <v>1</v>
      </c>
      <c r="AZ520">
        <v>1</v>
      </c>
      <c r="BA520">
        <v>1</v>
      </c>
      <c r="BB520" t="s">
        <v>66</v>
      </c>
      <c r="BC520" t="s">
        <v>66</v>
      </c>
      <c r="BD520" t="s">
        <v>66</v>
      </c>
      <c r="BE520" t="s">
        <v>66</v>
      </c>
      <c r="BF520">
        <v>0</v>
      </c>
      <c r="BG520" t="s">
        <v>66</v>
      </c>
      <c r="BH520" t="s">
        <v>66</v>
      </c>
      <c r="BI520">
        <v>42</v>
      </c>
      <c r="BJ520">
        <v>7</v>
      </c>
      <c r="BK520" t="s">
        <v>66</v>
      </c>
      <c r="BL520">
        <v>34</v>
      </c>
      <c r="BM520">
        <v>15</v>
      </c>
      <c r="BN520">
        <v>12</v>
      </c>
      <c r="BO520">
        <f t="shared" si="82"/>
        <v>13.5</v>
      </c>
      <c r="BP520">
        <v>3</v>
      </c>
      <c r="BQ520">
        <v>1</v>
      </c>
      <c r="BS520">
        <v>0</v>
      </c>
      <c r="BT520">
        <f t="shared" si="83"/>
        <v>40.476190476190474</v>
      </c>
      <c r="BU520">
        <f t="shared" si="84"/>
        <v>42.857142857142854</v>
      </c>
      <c r="BV520">
        <f t="shared" si="85"/>
        <v>20.588235294117645</v>
      </c>
      <c r="BW520">
        <f t="shared" si="86"/>
        <v>14.814814814814813</v>
      </c>
    </row>
    <row r="521" spans="1:75" x14ac:dyDescent="0.2">
      <c r="A521" t="s">
        <v>256</v>
      </c>
      <c r="B521" t="s">
        <v>257</v>
      </c>
      <c r="C521" t="s">
        <v>62</v>
      </c>
      <c r="D521" t="s">
        <v>603</v>
      </c>
      <c r="E521" t="s">
        <v>624</v>
      </c>
      <c r="F521" t="s">
        <v>794</v>
      </c>
      <c r="G521">
        <v>5.0999999999999996</v>
      </c>
      <c r="H521">
        <v>1.55</v>
      </c>
      <c r="I521">
        <v>1.85</v>
      </c>
      <c r="J521">
        <v>0.3</v>
      </c>
      <c r="K521">
        <v>8.8000000000000007</v>
      </c>
      <c r="L521">
        <v>0.66666666699999999</v>
      </c>
      <c r="M521">
        <v>16</v>
      </c>
      <c r="N521">
        <v>22</v>
      </c>
      <c r="O521">
        <v>6</v>
      </c>
      <c r="P521">
        <v>33</v>
      </c>
      <c r="Q521">
        <v>17</v>
      </c>
      <c r="R521">
        <v>8.5</v>
      </c>
      <c r="S521">
        <v>64.099999999999994</v>
      </c>
      <c r="T521">
        <v>106.25</v>
      </c>
      <c r="U521">
        <v>50</v>
      </c>
      <c r="V521">
        <v>3</v>
      </c>
      <c r="W521">
        <v>4</v>
      </c>
      <c r="X521">
        <v>4</v>
      </c>
      <c r="Y521">
        <v>1</v>
      </c>
      <c r="Z521">
        <v>33.333333330000002</v>
      </c>
      <c r="AA521" t="s">
        <v>66</v>
      </c>
      <c r="AB521" t="s">
        <v>66</v>
      </c>
      <c r="AC521" t="s">
        <v>66</v>
      </c>
      <c r="AD521" t="s">
        <v>66</v>
      </c>
      <c r="AE521">
        <v>19</v>
      </c>
      <c r="AF521">
        <v>23</v>
      </c>
      <c r="AG521" t="s">
        <v>66</v>
      </c>
      <c r="AH521">
        <v>10</v>
      </c>
      <c r="AI521">
        <v>13</v>
      </c>
      <c r="AJ521" t="s">
        <v>66</v>
      </c>
      <c r="AK521">
        <v>6</v>
      </c>
      <c r="AL521">
        <v>7</v>
      </c>
      <c r="AM521">
        <v>8</v>
      </c>
      <c r="AN521">
        <v>10</v>
      </c>
      <c r="AO521">
        <v>25</v>
      </c>
      <c r="AP521">
        <v>21.05263158</v>
      </c>
      <c r="AQ521">
        <v>2.375</v>
      </c>
      <c r="AR521">
        <v>2.2999999999999998</v>
      </c>
      <c r="AS521">
        <v>-7.4999999999999997E-2</v>
      </c>
      <c r="AT521">
        <v>0</v>
      </c>
      <c r="AU521" t="s">
        <v>66</v>
      </c>
      <c r="AV521">
        <v>0</v>
      </c>
      <c r="AW521">
        <v>0</v>
      </c>
      <c r="AX521">
        <v>0</v>
      </c>
      <c r="AY521">
        <v>1</v>
      </c>
      <c r="AZ521">
        <v>1</v>
      </c>
      <c r="BA521">
        <v>1</v>
      </c>
      <c r="BB521" t="s">
        <v>66</v>
      </c>
      <c r="BC521" t="s">
        <v>66</v>
      </c>
      <c r="BD521" t="s">
        <v>66</v>
      </c>
      <c r="BE521" t="s">
        <v>66</v>
      </c>
      <c r="BF521">
        <v>0</v>
      </c>
      <c r="BG521" t="s">
        <v>66</v>
      </c>
      <c r="BH521" t="s">
        <v>66</v>
      </c>
      <c r="BI521">
        <v>36</v>
      </c>
      <c r="BJ521">
        <v>6.7</v>
      </c>
      <c r="BK521" t="s">
        <v>66</v>
      </c>
      <c r="BL521">
        <v>25</v>
      </c>
      <c r="BM521">
        <v>19</v>
      </c>
      <c r="BN521">
        <v>11</v>
      </c>
      <c r="BO521">
        <f t="shared" si="82"/>
        <v>15</v>
      </c>
      <c r="BP521">
        <v>4</v>
      </c>
      <c r="BQ521">
        <v>1</v>
      </c>
      <c r="BS521">
        <v>0</v>
      </c>
      <c r="BT521">
        <f t="shared" si="83"/>
        <v>55.555555555555557</v>
      </c>
      <c r="BU521">
        <f t="shared" si="84"/>
        <v>55.223880597014926</v>
      </c>
      <c r="BV521">
        <f t="shared" si="85"/>
        <v>24</v>
      </c>
      <c r="BW521">
        <f t="shared" si="86"/>
        <v>46.666666666666664</v>
      </c>
    </row>
    <row r="522" spans="1:75" x14ac:dyDescent="0.2">
      <c r="A522" t="s">
        <v>256</v>
      </c>
      <c r="B522" t="s">
        <v>257</v>
      </c>
      <c r="C522" t="s">
        <v>62</v>
      </c>
      <c r="D522" t="s">
        <v>603</v>
      </c>
      <c r="E522" t="s">
        <v>626</v>
      </c>
      <c r="F522" t="s">
        <v>795</v>
      </c>
      <c r="G522">
        <v>5.0999999999999996</v>
      </c>
      <c r="H522">
        <v>1.55</v>
      </c>
      <c r="I522">
        <v>1.85</v>
      </c>
      <c r="J522">
        <v>0.3</v>
      </c>
      <c r="K522">
        <v>8.8000000000000007</v>
      </c>
      <c r="L522">
        <v>0.66666666699999999</v>
      </c>
      <c r="M522">
        <v>18</v>
      </c>
      <c r="N522">
        <v>26</v>
      </c>
      <c r="O522">
        <v>8</v>
      </c>
      <c r="P522">
        <v>33</v>
      </c>
      <c r="Q522">
        <v>15</v>
      </c>
      <c r="R522">
        <v>7.5</v>
      </c>
      <c r="S522">
        <v>62.1</v>
      </c>
      <c r="T522">
        <v>83.333333330000002</v>
      </c>
      <c r="U522">
        <v>26.92307692</v>
      </c>
      <c r="V522">
        <v>2</v>
      </c>
      <c r="W522">
        <v>4</v>
      </c>
      <c r="X522">
        <v>6</v>
      </c>
      <c r="Y522">
        <v>4</v>
      </c>
      <c r="Z522">
        <v>200</v>
      </c>
      <c r="AA522" t="s">
        <v>66</v>
      </c>
      <c r="AB522" t="s">
        <v>66</v>
      </c>
      <c r="AC522" t="s">
        <v>66</v>
      </c>
      <c r="AD522" t="s">
        <v>66</v>
      </c>
      <c r="AE522">
        <v>20</v>
      </c>
      <c r="AF522">
        <v>25</v>
      </c>
      <c r="AG522" t="s">
        <v>66</v>
      </c>
      <c r="AH522">
        <v>9</v>
      </c>
      <c r="AI522">
        <v>10</v>
      </c>
      <c r="AJ522" t="s">
        <v>66</v>
      </c>
      <c r="AK522">
        <v>6</v>
      </c>
      <c r="AL522">
        <v>9</v>
      </c>
      <c r="AM522">
        <v>7.5</v>
      </c>
      <c r="AN522">
        <v>9.5</v>
      </c>
      <c r="AO522">
        <v>26.666666670000001</v>
      </c>
      <c r="AP522">
        <v>25</v>
      </c>
      <c r="AQ522">
        <v>2.6666666669999999</v>
      </c>
      <c r="AR522">
        <v>2.6315789469999999</v>
      </c>
      <c r="AS522">
        <v>-3.5087720000000003E-2</v>
      </c>
      <c r="AT522">
        <v>0</v>
      </c>
      <c r="AU522" t="s">
        <v>66</v>
      </c>
      <c r="AV522">
        <v>0</v>
      </c>
      <c r="AW522">
        <v>0</v>
      </c>
      <c r="AX522">
        <v>0</v>
      </c>
      <c r="AY522">
        <v>1</v>
      </c>
      <c r="AZ522">
        <v>1</v>
      </c>
      <c r="BA522">
        <v>1</v>
      </c>
      <c r="BB522" t="s">
        <v>66</v>
      </c>
      <c r="BC522" t="s">
        <v>66</v>
      </c>
      <c r="BD522" t="s">
        <v>66</v>
      </c>
      <c r="BE522" t="s">
        <v>66</v>
      </c>
      <c r="BF522">
        <v>0</v>
      </c>
      <c r="BG522" t="s">
        <v>66</v>
      </c>
      <c r="BH522" t="s">
        <v>66</v>
      </c>
      <c r="BI522">
        <v>36</v>
      </c>
      <c r="BJ522">
        <v>6</v>
      </c>
      <c r="BK522" t="s">
        <v>66</v>
      </c>
      <c r="BL522">
        <v>29</v>
      </c>
      <c r="BM522">
        <v>13</v>
      </c>
      <c r="BN522">
        <v>10</v>
      </c>
      <c r="BO522">
        <f t="shared" si="82"/>
        <v>11.5</v>
      </c>
      <c r="BP522">
        <v>4</v>
      </c>
      <c r="BQ522">
        <v>1</v>
      </c>
      <c r="BS522">
        <v>0</v>
      </c>
      <c r="BT522">
        <f t="shared" si="83"/>
        <v>50</v>
      </c>
      <c r="BU522">
        <f t="shared" si="84"/>
        <v>66.666666666666657</v>
      </c>
      <c r="BV522">
        <f t="shared" si="85"/>
        <v>31.03448275862069</v>
      </c>
      <c r="BW522">
        <f t="shared" si="86"/>
        <v>34.782608695652172</v>
      </c>
    </row>
    <row r="523" spans="1:75" x14ac:dyDescent="0.2">
      <c r="A523" t="s">
        <v>256</v>
      </c>
      <c r="B523" t="s">
        <v>257</v>
      </c>
      <c r="C523" t="s">
        <v>62</v>
      </c>
      <c r="D523" t="s">
        <v>603</v>
      </c>
      <c r="E523" t="s">
        <v>628</v>
      </c>
      <c r="F523" t="s">
        <v>796</v>
      </c>
      <c r="G523">
        <v>5.0999999999999996</v>
      </c>
      <c r="H523">
        <v>1.55</v>
      </c>
      <c r="I523">
        <v>1.85</v>
      </c>
      <c r="J523">
        <v>0.3</v>
      </c>
      <c r="K523">
        <v>8.8000000000000007</v>
      </c>
      <c r="L523">
        <v>0.66666666699999999</v>
      </c>
      <c r="M523">
        <v>38</v>
      </c>
      <c r="N523">
        <v>40</v>
      </c>
      <c r="O523">
        <v>2</v>
      </c>
      <c r="P523">
        <v>42</v>
      </c>
      <c r="Q523">
        <v>4</v>
      </c>
      <c r="R523">
        <v>2</v>
      </c>
      <c r="S523">
        <v>51.1</v>
      </c>
      <c r="T523">
        <v>10.52631579</v>
      </c>
      <c r="U523">
        <v>5</v>
      </c>
      <c r="V523">
        <v>5</v>
      </c>
      <c r="W523">
        <v>6</v>
      </c>
      <c r="X523">
        <v>7</v>
      </c>
      <c r="Y523">
        <v>2</v>
      </c>
      <c r="Z523">
        <v>40</v>
      </c>
      <c r="AA523" t="s">
        <v>66</v>
      </c>
      <c r="AB523" t="s">
        <v>66</v>
      </c>
      <c r="AC523" t="s">
        <v>66</v>
      </c>
      <c r="AD523" t="s">
        <v>66</v>
      </c>
      <c r="AE523">
        <v>33</v>
      </c>
      <c r="AF523">
        <v>34</v>
      </c>
      <c r="AG523" t="s">
        <v>66</v>
      </c>
      <c r="AH523">
        <v>22</v>
      </c>
      <c r="AI523">
        <v>19</v>
      </c>
      <c r="AJ523" t="s">
        <v>66</v>
      </c>
      <c r="AK523">
        <v>14</v>
      </c>
      <c r="AL523">
        <v>15</v>
      </c>
      <c r="AM523">
        <v>18</v>
      </c>
      <c r="AN523">
        <v>17</v>
      </c>
      <c r="AO523">
        <v>-5.5555555559999998</v>
      </c>
      <c r="AP523">
        <v>3.0303030299999998</v>
      </c>
      <c r="AQ523">
        <v>1.8333333329999999</v>
      </c>
      <c r="AR523">
        <v>2</v>
      </c>
      <c r="AS523">
        <v>0.16666666699999999</v>
      </c>
      <c r="AT523">
        <v>0</v>
      </c>
      <c r="AU523" t="s">
        <v>66</v>
      </c>
      <c r="AV523">
        <v>0</v>
      </c>
      <c r="AW523">
        <v>0</v>
      </c>
      <c r="AX523">
        <v>0</v>
      </c>
      <c r="AY523">
        <v>1</v>
      </c>
      <c r="AZ523">
        <v>1</v>
      </c>
      <c r="BA523">
        <v>1</v>
      </c>
      <c r="BB523" t="s">
        <v>66</v>
      </c>
      <c r="BC523" t="s">
        <v>66</v>
      </c>
      <c r="BD523" t="s">
        <v>66</v>
      </c>
      <c r="BE523" t="s">
        <v>66</v>
      </c>
      <c r="BF523">
        <v>0</v>
      </c>
      <c r="BG523" t="s">
        <v>66</v>
      </c>
      <c r="BH523" t="s">
        <v>66</v>
      </c>
      <c r="BI523">
        <v>51</v>
      </c>
      <c r="BJ523">
        <v>10</v>
      </c>
      <c r="BK523" t="s">
        <v>66</v>
      </c>
      <c r="BL523">
        <f>51-16</f>
        <v>35</v>
      </c>
      <c r="BM523">
        <v>18</v>
      </c>
      <c r="BN523">
        <v>12</v>
      </c>
      <c r="BO523">
        <f t="shared" si="82"/>
        <v>15</v>
      </c>
      <c r="BP523">
        <v>4</v>
      </c>
      <c r="BQ523">
        <v>1</v>
      </c>
      <c r="BS523">
        <v>0</v>
      </c>
      <c r="BT523">
        <f t="shared" si="83"/>
        <v>25.490196078431371</v>
      </c>
      <c r="BU523">
        <f t="shared" si="84"/>
        <v>50</v>
      </c>
      <c r="BV523">
        <f t="shared" si="85"/>
        <v>5.7142857142857144</v>
      </c>
      <c r="BW523">
        <f t="shared" si="86"/>
        <v>-20</v>
      </c>
    </row>
    <row r="524" spans="1:75" x14ac:dyDescent="0.2">
      <c r="A524" t="s">
        <v>256</v>
      </c>
      <c r="B524" t="s">
        <v>257</v>
      </c>
      <c r="C524" t="s">
        <v>62</v>
      </c>
      <c r="D524" t="s">
        <v>603</v>
      </c>
      <c r="E524" t="s">
        <v>630</v>
      </c>
      <c r="F524" t="s">
        <v>797</v>
      </c>
      <c r="G524">
        <v>5.0999999999999996</v>
      </c>
      <c r="H524">
        <v>1.55</v>
      </c>
      <c r="I524">
        <v>1.85</v>
      </c>
      <c r="J524">
        <v>0.3</v>
      </c>
      <c r="K524">
        <v>8.8000000000000007</v>
      </c>
      <c r="L524">
        <v>0.66666666699999999</v>
      </c>
      <c r="M524">
        <v>32</v>
      </c>
      <c r="N524">
        <v>32</v>
      </c>
      <c r="O524">
        <v>0</v>
      </c>
      <c r="P524">
        <v>36</v>
      </c>
      <c r="Q524">
        <v>4</v>
      </c>
      <c r="R524">
        <v>2</v>
      </c>
      <c r="S524">
        <v>51.1</v>
      </c>
      <c r="T524">
        <v>12.5</v>
      </c>
      <c r="U524">
        <v>12.5</v>
      </c>
      <c r="V524">
        <v>4</v>
      </c>
      <c r="W524">
        <v>5</v>
      </c>
      <c r="X524">
        <v>6</v>
      </c>
      <c r="Y524">
        <v>2</v>
      </c>
      <c r="Z524">
        <v>50</v>
      </c>
      <c r="AA524" t="s">
        <v>66</v>
      </c>
      <c r="AB524" t="s">
        <v>66</v>
      </c>
      <c r="AC524" t="s">
        <v>66</v>
      </c>
      <c r="AD524" t="s">
        <v>66</v>
      </c>
      <c r="AE524">
        <v>25</v>
      </c>
      <c r="AF524">
        <v>29</v>
      </c>
      <c r="AG524" t="s">
        <v>66</v>
      </c>
      <c r="AH524">
        <v>15</v>
      </c>
      <c r="AI524">
        <v>15</v>
      </c>
      <c r="AJ524" t="s">
        <v>66</v>
      </c>
      <c r="AK524">
        <v>10</v>
      </c>
      <c r="AL524">
        <v>13</v>
      </c>
      <c r="AM524">
        <v>12.5</v>
      </c>
      <c r="AN524">
        <v>14</v>
      </c>
      <c r="AO524">
        <v>12</v>
      </c>
      <c r="AP524">
        <v>16</v>
      </c>
      <c r="AQ524">
        <v>2</v>
      </c>
      <c r="AR524">
        <v>2.0714285710000002</v>
      </c>
      <c r="AS524">
        <v>7.1428570999999996E-2</v>
      </c>
      <c r="AT524">
        <v>0</v>
      </c>
      <c r="AU524" t="s">
        <v>66</v>
      </c>
      <c r="AV524">
        <v>0</v>
      </c>
      <c r="AW524">
        <v>0</v>
      </c>
      <c r="AX524">
        <v>0</v>
      </c>
      <c r="AY524">
        <v>1</v>
      </c>
      <c r="AZ524">
        <v>1</v>
      </c>
      <c r="BA524">
        <v>1</v>
      </c>
      <c r="BB524" t="s">
        <v>66</v>
      </c>
      <c r="BC524" t="s">
        <v>66</v>
      </c>
      <c r="BD524" t="s">
        <v>66</v>
      </c>
      <c r="BE524" t="s">
        <v>66</v>
      </c>
      <c r="BF524">
        <v>0</v>
      </c>
      <c r="BG524" t="s">
        <v>66</v>
      </c>
      <c r="BH524" t="s">
        <v>66</v>
      </c>
      <c r="BI524">
        <v>40</v>
      </c>
      <c r="BJ524">
        <v>7</v>
      </c>
      <c r="BK524" t="s">
        <v>66</v>
      </c>
      <c r="BL524">
        <v>34</v>
      </c>
      <c r="BM524">
        <v>19</v>
      </c>
      <c r="BN524">
        <v>18</v>
      </c>
      <c r="BO524">
        <f t="shared" si="82"/>
        <v>18.5</v>
      </c>
      <c r="BP524">
        <v>4</v>
      </c>
      <c r="BQ524">
        <v>1</v>
      </c>
      <c r="BS524">
        <v>0</v>
      </c>
      <c r="BT524">
        <f t="shared" si="83"/>
        <v>20</v>
      </c>
      <c r="BU524">
        <f t="shared" si="84"/>
        <v>42.857142857142854</v>
      </c>
      <c r="BV524">
        <f t="shared" si="85"/>
        <v>26.47058823529412</v>
      </c>
      <c r="BW524">
        <f t="shared" si="86"/>
        <v>32.432432432432435</v>
      </c>
    </row>
    <row r="525" spans="1:75" x14ac:dyDescent="0.2">
      <c r="A525" t="s">
        <v>256</v>
      </c>
      <c r="B525" t="s">
        <v>257</v>
      </c>
      <c r="C525" t="s">
        <v>62</v>
      </c>
      <c r="D525" t="s">
        <v>603</v>
      </c>
      <c r="E525" t="s">
        <v>632</v>
      </c>
      <c r="F525" t="s">
        <v>798</v>
      </c>
      <c r="G525">
        <v>5.0999999999999996</v>
      </c>
      <c r="H525">
        <v>1.55</v>
      </c>
      <c r="I525">
        <v>1.85</v>
      </c>
      <c r="J525">
        <v>0.3</v>
      </c>
      <c r="K525">
        <v>8.8000000000000007</v>
      </c>
      <c r="L525">
        <v>0.66666666699999999</v>
      </c>
      <c r="M525">
        <v>8</v>
      </c>
      <c r="N525">
        <v>10</v>
      </c>
      <c r="O525">
        <v>2</v>
      </c>
      <c r="P525">
        <v>15</v>
      </c>
      <c r="Q525">
        <v>7</v>
      </c>
      <c r="R525">
        <v>3.5</v>
      </c>
      <c r="S525">
        <v>54.1</v>
      </c>
      <c r="T525">
        <v>87.5</v>
      </c>
      <c r="U525">
        <v>50</v>
      </c>
      <c r="V525">
        <v>1</v>
      </c>
      <c r="W525">
        <v>2</v>
      </c>
      <c r="X525">
        <v>2</v>
      </c>
      <c r="Y525">
        <v>1</v>
      </c>
      <c r="Z525">
        <v>100</v>
      </c>
      <c r="AA525" t="s">
        <v>66</v>
      </c>
      <c r="AB525" t="s">
        <v>66</v>
      </c>
      <c r="AC525" t="s">
        <v>66</v>
      </c>
      <c r="AD525" t="s">
        <v>66</v>
      </c>
      <c r="AE525">
        <v>7</v>
      </c>
      <c r="AF525">
        <v>12</v>
      </c>
      <c r="AG525" t="s">
        <v>66</v>
      </c>
      <c r="AH525">
        <v>3</v>
      </c>
      <c r="AI525">
        <v>3</v>
      </c>
      <c r="AJ525" t="s">
        <v>66</v>
      </c>
      <c r="AK525">
        <v>1</v>
      </c>
      <c r="AL525">
        <v>3</v>
      </c>
      <c r="AM525">
        <v>2</v>
      </c>
      <c r="AN525">
        <v>3</v>
      </c>
      <c r="AO525">
        <v>50</v>
      </c>
      <c r="AP525">
        <v>71.428571430000005</v>
      </c>
      <c r="AQ525">
        <v>3.5</v>
      </c>
      <c r="AR525">
        <v>4</v>
      </c>
      <c r="AS525">
        <v>0.5</v>
      </c>
      <c r="AT525">
        <v>0</v>
      </c>
      <c r="AU525" t="s">
        <v>66</v>
      </c>
      <c r="AV525">
        <v>0</v>
      </c>
      <c r="AW525">
        <v>0</v>
      </c>
      <c r="AX525">
        <v>0</v>
      </c>
      <c r="AY525">
        <v>1</v>
      </c>
      <c r="AZ525">
        <v>1</v>
      </c>
      <c r="BA525">
        <v>1</v>
      </c>
      <c r="BB525" t="s">
        <v>66</v>
      </c>
      <c r="BC525" t="s">
        <v>66</v>
      </c>
      <c r="BD525" t="s">
        <v>66</v>
      </c>
      <c r="BE525" t="s">
        <v>66</v>
      </c>
      <c r="BF525">
        <v>0</v>
      </c>
      <c r="BG525" t="s">
        <v>66</v>
      </c>
      <c r="BH525" t="s">
        <v>66</v>
      </c>
      <c r="BI525">
        <v>17</v>
      </c>
      <c r="BJ525">
        <v>2.7</v>
      </c>
      <c r="BK525" t="s">
        <v>66</v>
      </c>
      <c r="BL525">
        <v>12</v>
      </c>
      <c r="BM525">
        <v>5</v>
      </c>
      <c r="BN525">
        <v>2</v>
      </c>
      <c r="BO525">
        <f t="shared" si="82"/>
        <v>3.5</v>
      </c>
      <c r="BP525">
        <v>4</v>
      </c>
      <c r="BQ525">
        <v>1</v>
      </c>
      <c r="BS525">
        <v>0</v>
      </c>
      <c r="BT525">
        <f t="shared" si="83"/>
        <v>52.941176470588239</v>
      </c>
      <c r="BU525">
        <f t="shared" si="84"/>
        <v>62.962962962962962</v>
      </c>
      <c r="BV525">
        <f t="shared" si="85"/>
        <v>41.666666666666671</v>
      </c>
      <c r="BW525">
        <f t="shared" si="86"/>
        <v>42.857142857142854</v>
      </c>
    </row>
    <row r="526" spans="1:75" x14ac:dyDescent="0.2">
      <c r="A526" t="s">
        <v>256</v>
      </c>
      <c r="B526" t="s">
        <v>257</v>
      </c>
      <c r="C526" t="s">
        <v>62</v>
      </c>
      <c r="D526" t="s">
        <v>603</v>
      </c>
      <c r="E526" t="s">
        <v>634</v>
      </c>
      <c r="F526" t="s">
        <v>799</v>
      </c>
      <c r="G526">
        <v>5.0999999999999996</v>
      </c>
      <c r="H526">
        <v>1.55</v>
      </c>
      <c r="I526">
        <v>1.85</v>
      </c>
      <c r="J526">
        <v>0.3</v>
      </c>
      <c r="K526">
        <v>8.8000000000000007</v>
      </c>
      <c r="L526">
        <v>0.66666666699999999</v>
      </c>
      <c r="M526">
        <v>13</v>
      </c>
      <c r="N526">
        <v>14</v>
      </c>
      <c r="O526">
        <v>1</v>
      </c>
      <c r="P526">
        <v>20</v>
      </c>
      <c r="Q526">
        <v>7</v>
      </c>
      <c r="R526">
        <v>3.5</v>
      </c>
      <c r="S526">
        <v>54.1</v>
      </c>
      <c r="T526">
        <v>53.84615385</v>
      </c>
      <c r="U526">
        <v>42.857142860000003</v>
      </c>
      <c r="V526">
        <v>2</v>
      </c>
      <c r="W526">
        <v>2</v>
      </c>
      <c r="X526">
        <v>2</v>
      </c>
      <c r="Y526">
        <v>0</v>
      </c>
      <c r="Z526">
        <v>0</v>
      </c>
      <c r="AA526" t="s">
        <v>66</v>
      </c>
      <c r="AB526" t="s">
        <v>66</v>
      </c>
      <c r="AC526" t="s">
        <v>66</v>
      </c>
      <c r="AD526" t="s">
        <v>66</v>
      </c>
      <c r="AE526">
        <v>10</v>
      </c>
      <c r="AF526">
        <v>13</v>
      </c>
      <c r="AG526" t="s">
        <v>66</v>
      </c>
      <c r="AH526">
        <v>6</v>
      </c>
      <c r="AI526">
        <v>7</v>
      </c>
      <c r="AJ526" t="s">
        <v>66</v>
      </c>
      <c r="AK526">
        <v>3</v>
      </c>
      <c r="AL526">
        <v>4</v>
      </c>
      <c r="AM526">
        <v>4.5</v>
      </c>
      <c r="AN526">
        <v>5.5</v>
      </c>
      <c r="AO526">
        <v>22.222222219999999</v>
      </c>
      <c r="AP526">
        <v>30</v>
      </c>
      <c r="AQ526">
        <v>2.2222222220000001</v>
      </c>
      <c r="AR526">
        <v>2.363636364</v>
      </c>
      <c r="AS526">
        <v>0.14141414199999999</v>
      </c>
      <c r="AT526">
        <v>0</v>
      </c>
      <c r="AU526" t="s">
        <v>66</v>
      </c>
      <c r="AV526">
        <v>0</v>
      </c>
      <c r="AW526">
        <v>0</v>
      </c>
      <c r="AX526">
        <v>0</v>
      </c>
      <c r="AY526">
        <v>1</v>
      </c>
      <c r="AZ526">
        <v>1</v>
      </c>
      <c r="BA526">
        <v>1</v>
      </c>
      <c r="BB526" t="s">
        <v>66</v>
      </c>
      <c r="BC526" t="s">
        <v>66</v>
      </c>
      <c r="BD526" t="s">
        <v>66</v>
      </c>
      <c r="BE526" t="s">
        <v>66</v>
      </c>
      <c r="BF526">
        <v>0</v>
      </c>
      <c r="BG526" t="s">
        <v>66</v>
      </c>
      <c r="BH526" t="s">
        <v>66</v>
      </c>
      <c r="BI526">
        <v>18</v>
      </c>
      <c r="BJ526">
        <v>2.6</v>
      </c>
      <c r="BK526" t="s">
        <v>66</v>
      </c>
      <c r="BL526">
        <v>13</v>
      </c>
      <c r="BM526">
        <v>7</v>
      </c>
      <c r="BN526">
        <v>5</v>
      </c>
      <c r="BO526">
        <f t="shared" si="82"/>
        <v>6</v>
      </c>
      <c r="BP526">
        <v>3</v>
      </c>
      <c r="BQ526">
        <v>1</v>
      </c>
      <c r="BS526">
        <v>0</v>
      </c>
      <c r="BT526">
        <f t="shared" si="83"/>
        <v>27.777777777777779</v>
      </c>
      <c r="BU526">
        <f t="shared" si="84"/>
        <v>23.076923076923077</v>
      </c>
      <c r="BV526">
        <f t="shared" si="85"/>
        <v>23.076923076923077</v>
      </c>
      <c r="BW526">
        <f t="shared" si="86"/>
        <v>25</v>
      </c>
    </row>
    <row r="527" spans="1:75" x14ac:dyDescent="0.2">
      <c r="A527" t="s">
        <v>256</v>
      </c>
      <c r="B527" t="s">
        <v>257</v>
      </c>
      <c r="C527" t="s">
        <v>62</v>
      </c>
      <c r="D527" t="s">
        <v>603</v>
      </c>
      <c r="E527" t="s">
        <v>636</v>
      </c>
      <c r="F527" t="s">
        <v>800</v>
      </c>
      <c r="G527">
        <v>5.0999999999999996</v>
      </c>
      <c r="H527">
        <v>1.55</v>
      </c>
      <c r="I527">
        <v>1.85</v>
      </c>
      <c r="J527">
        <v>0.3</v>
      </c>
      <c r="K527">
        <v>8.8000000000000007</v>
      </c>
      <c r="L527">
        <v>0.66666666699999999</v>
      </c>
      <c r="M527">
        <v>20</v>
      </c>
      <c r="N527">
        <v>25</v>
      </c>
      <c r="O527">
        <v>5</v>
      </c>
      <c r="P527">
        <v>28</v>
      </c>
      <c r="Q527">
        <v>8</v>
      </c>
      <c r="R527">
        <v>4</v>
      </c>
      <c r="S527">
        <v>55.1</v>
      </c>
      <c r="T527">
        <v>40</v>
      </c>
      <c r="U527">
        <v>12</v>
      </c>
      <c r="V527">
        <v>3</v>
      </c>
      <c r="W527">
        <v>4</v>
      </c>
      <c r="X527">
        <v>5</v>
      </c>
      <c r="Y527">
        <v>2</v>
      </c>
      <c r="Z527">
        <v>66.666666669999998</v>
      </c>
      <c r="AA527" t="s">
        <v>66</v>
      </c>
      <c r="AB527" t="s">
        <v>66</v>
      </c>
      <c r="AC527" t="s">
        <v>66</v>
      </c>
      <c r="AD527" t="s">
        <v>66</v>
      </c>
      <c r="AE527">
        <v>15</v>
      </c>
      <c r="AF527">
        <v>22</v>
      </c>
      <c r="AG527" t="s">
        <v>66</v>
      </c>
      <c r="AH527">
        <v>13</v>
      </c>
      <c r="AI527">
        <v>17</v>
      </c>
      <c r="AJ527" t="s">
        <v>66</v>
      </c>
      <c r="AK527">
        <v>7</v>
      </c>
      <c r="AL527">
        <v>10</v>
      </c>
      <c r="AM527">
        <v>10</v>
      </c>
      <c r="AN527">
        <v>13.5</v>
      </c>
      <c r="AO527">
        <v>35</v>
      </c>
      <c r="AP527">
        <v>46.666666669999998</v>
      </c>
      <c r="AQ527">
        <v>1.5</v>
      </c>
      <c r="AR527">
        <v>1.6296296299999999</v>
      </c>
      <c r="AS527">
        <v>0.12962963</v>
      </c>
      <c r="AT527">
        <v>0</v>
      </c>
      <c r="AU527" t="s">
        <v>66</v>
      </c>
      <c r="AV527">
        <v>1</v>
      </c>
      <c r="AW527">
        <v>0</v>
      </c>
      <c r="AX527">
        <v>0</v>
      </c>
      <c r="AY527">
        <v>1</v>
      </c>
      <c r="AZ527">
        <v>1</v>
      </c>
      <c r="BA527">
        <v>1</v>
      </c>
      <c r="BB527" t="s">
        <v>66</v>
      </c>
      <c r="BC527" t="s">
        <v>66</v>
      </c>
      <c r="BD527" t="s">
        <v>66</v>
      </c>
      <c r="BE527" t="s">
        <v>66</v>
      </c>
      <c r="BF527">
        <v>0</v>
      </c>
      <c r="BG527" t="s">
        <v>66</v>
      </c>
      <c r="BH527" t="s">
        <v>66</v>
      </c>
      <c r="BI527">
        <v>36</v>
      </c>
      <c r="BJ527">
        <v>6</v>
      </c>
      <c r="BK527" t="s">
        <v>66</v>
      </c>
      <c r="BL527">
        <v>25</v>
      </c>
      <c r="BM527">
        <v>20</v>
      </c>
      <c r="BN527">
        <v>9</v>
      </c>
      <c r="BO527">
        <f t="shared" si="82"/>
        <v>14.5</v>
      </c>
      <c r="BP527">
        <v>4</v>
      </c>
      <c r="BQ527">
        <v>1</v>
      </c>
      <c r="BS527">
        <v>0</v>
      </c>
      <c r="BT527">
        <f t="shared" si="83"/>
        <v>44.444444444444443</v>
      </c>
      <c r="BU527">
        <f t="shared" si="84"/>
        <v>50</v>
      </c>
      <c r="BV527">
        <f t="shared" si="85"/>
        <v>40</v>
      </c>
      <c r="BW527">
        <f t="shared" si="86"/>
        <v>31.03448275862069</v>
      </c>
    </row>
    <row r="528" spans="1:75" x14ac:dyDescent="0.2">
      <c r="A528" t="s">
        <v>256</v>
      </c>
      <c r="B528" t="s">
        <v>257</v>
      </c>
      <c r="C528" t="s">
        <v>62</v>
      </c>
      <c r="D528" t="s">
        <v>603</v>
      </c>
      <c r="E528" t="s">
        <v>638</v>
      </c>
      <c r="F528" t="s">
        <v>801</v>
      </c>
      <c r="G528">
        <v>5.0999999999999996</v>
      </c>
      <c r="H528">
        <v>1.55</v>
      </c>
      <c r="I528">
        <v>1.85</v>
      </c>
      <c r="J528">
        <v>0.3</v>
      </c>
      <c r="K528">
        <v>8.8000000000000007</v>
      </c>
      <c r="L528">
        <v>0.66666666699999999</v>
      </c>
      <c r="M528">
        <v>15</v>
      </c>
      <c r="N528">
        <v>18</v>
      </c>
      <c r="O528">
        <v>3</v>
      </c>
      <c r="P528">
        <v>20</v>
      </c>
      <c r="Q528">
        <v>5</v>
      </c>
      <c r="R528">
        <v>2.5</v>
      </c>
      <c r="S528">
        <v>52.1</v>
      </c>
      <c r="T528">
        <v>33.333333330000002</v>
      </c>
      <c r="U528">
        <v>11.11111111</v>
      </c>
      <c r="V528">
        <v>5</v>
      </c>
      <c r="W528">
        <v>3</v>
      </c>
      <c r="X528">
        <v>5</v>
      </c>
      <c r="Y528">
        <v>0</v>
      </c>
      <c r="Z528">
        <v>0</v>
      </c>
      <c r="AA528" t="s">
        <v>66</v>
      </c>
      <c r="AB528" t="s">
        <v>66</v>
      </c>
      <c r="AC528" t="s">
        <v>66</v>
      </c>
      <c r="AD528" t="s">
        <v>66</v>
      </c>
      <c r="AE528">
        <v>12</v>
      </c>
      <c r="AF528">
        <v>15</v>
      </c>
      <c r="AG528" t="s">
        <v>66</v>
      </c>
      <c r="AH528">
        <v>7</v>
      </c>
      <c r="AI528">
        <v>9</v>
      </c>
      <c r="AJ528" t="s">
        <v>66</v>
      </c>
      <c r="AK528">
        <v>5</v>
      </c>
      <c r="AL528">
        <v>8</v>
      </c>
      <c r="AM528">
        <v>6</v>
      </c>
      <c r="AN528">
        <v>8.5</v>
      </c>
      <c r="AO528">
        <v>41.666666669999998</v>
      </c>
      <c r="AP528">
        <v>25</v>
      </c>
      <c r="AQ528">
        <v>2</v>
      </c>
      <c r="AR528">
        <v>1.7647058819999999</v>
      </c>
      <c r="AS528">
        <v>-0.235294118</v>
      </c>
      <c r="AT528">
        <v>0</v>
      </c>
      <c r="AU528" t="s">
        <v>66</v>
      </c>
      <c r="AV528">
        <v>0</v>
      </c>
      <c r="AW528">
        <v>0</v>
      </c>
      <c r="AX528">
        <v>0</v>
      </c>
      <c r="AY528">
        <v>1</v>
      </c>
      <c r="AZ528">
        <v>1</v>
      </c>
      <c r="BA528">
        <v>1</v>
      </c>
      <c r="BB528" t="s">
        <v>66</v>
      </c>
      <c r="BC528" t="s">
        <v>66</v>
      </c>
      <c r="BD528" t="s">
        <v>66</v>
      </c>
      <c r="BE528" t="s">
        <v>66</v>
      </c>
      <c r="BF528">
        <v>0</v>
      </c>
      <c r="BG528" t="s">
        <v>66</v>
      </c>
      <c r="BH528" t="s">
        <v>66</v>
      </c>
      <c r="BI528">
        <v>29</v>
      </c>
      <c r="BJ528">
        <v>5</v>
      </c>
      <c r="BK528" t="s">
        <v>66</v>
      </c>
      <c r="BL528">
        <v>23</v>
      </c>
      <c r="BM528">
        <v>9</v>
      </c>
      <c r="BN528">
        <v>6</v>
      </c>
      <c r="BO528">
        <f t="shared" si="82"/>
        <v>7.5</v>
      </c>
      <c r="BP528">
        <v>4</v>
      </c>
      <c r="BQ528">
        <v>1</v>
      </c>
      <c r="BS528">
        <v>0</v>
      </c>
      <c r="BT528">
        <f t="shared" si="83"/>
        <v>48.275862068965516</v>
      </c>
      <c r="BU528">
        <f t="shared" si="84"/>
        <v>0</v>
      </c>
      <c r="BV528">
        <f t="shared" si="85"/>
        <v>47.826086956521742</v>
      </c>
      <c r="BW528">
        <f t="shared" si="86"/>
        <v>20</v>
      </c>
    </row>
    <row r="529" spans="1:75" x14ac:dyDescent="0.2">
      <c r="A529" t="s">
        <v>256</v>
      </c>
      <c r="B529" t="s">
        <v>257</v>
      </c>
      <c r="C529" t="s">
        <v>62</v>
      </c>
      <c r="D529" t="s">
        <v>603</v>
      </c>
      <c r="E529" t="s">
        <v>640</v>
      </c>
      <c r="F529" t="s">
        <v>802</v>
      </c>
      <c r="G529">
        <v>5.0999999999999996</v>
      </c>
      <c r="H529">
        <v>1.55</v>
      </c>
      <c r="I529">
        <v>1.85</v>
      </c>
      <c r="J529">
        <v>0.3</v>
      </c>
      <c r="K529">
        <v>8.8000000000000007</v>
      </c>
      <c r="L529">
        <v>0.66666666699999999</v>
      </c>
      <c r="M529">
        <v>24</v>
      </c>
      <c r="N529">
        <v>29</v>
      </c>
      <c r="O529">
        <v>5</v>
      </c>
      <c r="P529">
        <v>32</v>
      </c>
      <c r="Q529">
        <v>8</v>
      </c>
      <c r="R529">
        <v>4</v>
      </c>
      <c r="S529">
        <v>55.1</v>
      </c>
      <c r="T529">
        <v>33.333333330000002</v>
      </c>
      <c r="U529">
        <v>10.34482759</v>
      </c>
      <c r="V529">
        <v>2</v>
      </c>
      <c r="W529">
        <v>3</v>
      </c>
      <c r="X529">
        <v>4</v>
      </c>
      <c r="Y529">
        <v>2</v>
      </c>
      <c r="Z529">
        <v>100</v>
      </c>
      <c r="AA529" t="s">
        <v>66</v>
      </c>
      <c r="AB529" t="s">
        <v>66</v>
      </c>
      <c r="AC529" t="s">
        <v>66</v>
      </c>
      <c r="AD529" t="s">
        <v>66</v>
      </c>
      <c r="AE529">
        <v>18</v>
      </c>
      <c r="AF529">
        <v>23</v>
      </c>
      <c r="AG529" t="s">
        <v>66</v>
      </c>
      <c r="AH529">
        <v>9</v>
      </c>
      <c r="AI529">
        <v>11</v>
      </c>
      <c r="AJ529" t="s">
        <v>66</v>
      </c>
      <c r="AK529">
        <v>5</v>
      </c>
      <c r="AL529">
        <v>8</v>
      </c>
      <c r="AM529">
        <v>7</v>
      </c>
      <c r="AN529">
        <v>9.5</v>
      </c>
      <c r="AO529">
        <v>35.714285709999999</v>
      </c>
      <c r="AP529">
        <v>27.777777780000001</v>
      </c>
      <c r="AQ529">
        <v>2.5714285710000002</v>
      </c>
      <c r="AR529">
        <v>2.4210526319999999</v>
      </c>
      <c r="AS529">
        <v>-0.15037593899999999</v>
      </c>
      <c r="AT529">
        <v>0</v>
      </c>
      <c r="AU529" t="s">
        <v>66</v>
      </c>
      <c r="AV529">
        <v>0</v>
      </c>
      <c r="AW529">
        <v>0</v>
      </c>
      <c r="AX529">
        <v>0</v>
      </c>
      <c r="AY529">
        <v>1</v>
      </c>
      <c r="AZ529">
        <v>1</v>
      </c>
      <c r="BA529">
        <v>1</v>
      </c>
      <c r="BB529" t="s">
        <v>66</v>
      </c>
      <c r="BC529" t="s">
        <v>66</v>
      </c>
      <c r="BD529" t="s">
        <v>66</v>
      </c>
      <c r="BE529" t="s">
        <v>66</v>
      </c>
      <c r="BF529">
        <v>0</v>
      </c>
      <c r="BG529" t="s">
        <v>66</v>
      </c>
      <c r="BH529" t="s">
        <v>66</v>
      </c>
      <c r="BI529">
        <v>33</v>
      </c>
      <c r="BJ529">
        <v>5.7</v>
      </c>
      <c r="BK529" t="s">
        <v>66</v>
      </c>
      <c r="BL529">
        <v>24</v>
      </c>
      <c r="BM529">
        <v>9</v>
      </c>
      <c r="BN529">
        <v>4</v>
      </c>
      <c r="BO529">
        <f t="shared" si="82"/>
        <v>6.5</v>
      </c>
      <c r="BP529">
        <v>4</v>
      </c>
      <c r="BQ529">
        <v>1</v>
      </c>
      <c r="BS529">
        <v>0</v>
      </c>
      <c r="BT529">
        <f t="shared" si="83"/>
        <v>27.27272727272727</v>
      </c>
      <c r="BU529">
        <f t="shared" si="84"/>
        <v>64.912280701754383</v>
      </c>
      <c r="BV529">
        <f t="shared" si="85"/>
        <v>25</v>
      </c>
      <c r="BW529">
        <f t="shared" si="86"/>
        <v>-7.6923076923076925</v>
      </c>
    </row>
    <row r="530" spans="1:75" x14ac:dyDescent="0.2">
      <c r="A530" t="s">
        <v>256</v>
      </c>
      <c r="B530" t="s">
        <v>257</v>
      </c>
      <c r="C530" t="s">
        <v>62</v>
      </c>
      <c r="D530" t="s">
        <v>603</v>
      </c>
      <c r="E530" t="s">
        <v>642</v>
      </c>
      <c r="F530" t="s">
        <v>803</v>
      </c>
      <c r="G530">
        <v>5.0999999999999996</v>
      </c>
      <c r="H530">
        <v>1.55</v>
      </c>
      <c r="I530">
        <v>1.85</v>
      </c>
      <c r="J530">
        <v>0.3</v>
      </c>
      <c r="K530">
        <v>8.8000000000000007</v>
      </c>
      <c r="L530">
        <v>0.66666666699999999</v>
      </c>
      <c r="M530">
        <v>40</v>
      </c>
      <c r="N530">
        <v>42</v>
      </c>
      <c r="O530">
        <v>2</v>
      </c>
      <c r="P530">
        <v>46</v>
      </c>
      <c r="Q530">
        <v>6</v>
      </c>
      <c r="R530">
        <v>3</v>
      </c>
      <c r="S530">
        <v>53.1</v>
      </c>
      <c r="T530">
        <v>15</v>
      </c>
      <c r="U530">
        <v>9.5238095240000007</v>
      </c>
      <c r="V530">
        <v>7</v>
      </c>
      <c r="W530">
        <v>8</v>
      </c>
      <c r="X530">
        <v>10</v>
      </c>
      <c r="Y530">
        <v>3</v>
      </c>
      <c r="Z530">
        <v>42.857142860000003</v>
      </c>
      <c r="AA530" t="s">
        <v>66</v>
      </c>
      <c r="AB530" t="s">
        <v>66</v>
      </c>
      <c r="AC530" t="s">
        <v>66</v>
      </c>
      <c r="AD530" t="s">
        <v>66</v>
      </c>
      <c r="AE530">
        <v>35</v>
      </c>
      <c r="AF530">
        <v>40</v>
      </c>
      <c r="AG530" t="s">
        <v>66</v>
      </c>
      <c r="AH530">
        <v>27</v>
      </c>
      <c r="AI530">
        <v>26</v>
      </c>
      <c r="AJ530" t="s">
        <v>66</v>
      </c>
      <c r="AK530">
        <v>20</v>
      </c>
      <c r="AL530">
        <v>25</v>
      </c>
      <c r="AM530">
        <v>23.5</v>
      </c>
      <c r="AN530">
        <v>25.5</v>
      </c>
      <c r="AO530">
        <v>8.5106382979999999</v>
      </c>
      <c r="AP530">
        <v>14.28571429</v>
      </c>
      <c r="AQ530">
        <v>1.4893617020000001</v>
      </c>
      <c r="AR530">
        <v>1.568627451</v>
      </c>
      <c r="AS530">
        <v>7.9265748999999996E-2</v>
      </c>
      <c r="AT530">
        <v>0</v>
      </c>
      <c r="AU530" t="s">
        <v>66</v>
      </c>
      <c r="AV530">
        <v>0</v>
      </c>
      <c r="AW530">
        <v>0</v>
      </c>
      <c r="AX530">
        <v>0</v>
      </c>
      <c r="AY530">
        <v>1</v>
      </c>
      <c r="AZ530">
        <v>1</v>
      </c>
      <c r="BA530">
        <v>1</v>
      </c>
      <c r="BB530" t="s">
        <v>66</v>
      </c>
      <c r="BC530" t="s">
        <v>66</v>
      </c>
      <c r="BD530" t="s">
        <v>66</v>
      </c>
      <c r="BE530" t="s">
        <v>66</v>
      </c>
      <c r="BF530">
        <v>0</v>
      </c>
      <c r="BG530" t="s">
        <v>66</v>
      </c>
      <c r="BH530" t="s">
        <v>66</v>
      </c>
      <c r="BI530">
        <v>41</v>
      </c>
      <c r="BJ530">
        <v>12.1</v>
      </c>
      <c r="BK530" t="s">
        <v>66</v>
      </c>
      <c r="BL530">
        <v>33</v>
      </c>
      <c r="BM530">
        <v>35</v>
      </c>
      <c r="BN530">
        <v>24</v>
      </c>
      <c r="BO530">
        <f t="shared" si="82"/>
        <v>29.5</v>
      </c>
      <c r="BP530">
        <v>4</v>
      </c>
      <c r="BQ530">
        <v>1</v>
      </c>
      <c r="BS530">
        <v>0</v>
      </c>
      <c r="BT530">
        <f t="shared" si="83"/>
        <v>2.4390243902439024</v>
      </c>
      <c r="BU530">
        <f t="shared" si="84"/>
        <v>42.148760330578511</v>
      </c>
      <c r="BV530">
        <f t="shared" si="85"/>
        <v>-6.0606060606060606</v>
      </c>
      <c r="BW530">
        <f t="shared" si="86"/>
        <v>20.33898305084746</v>
      </c>
    </row>
    <row r="531" spans="1:75" x14ac:dyDescent="0.2">
      <c r="A531" t="s">
        <v>299</v>
      </c>
      <c r="B531" t="s">
        <v>300</v>
      </c>
      <c r="C531" t="s">
        <v>62</v>
      </c>
      <c r="D531" t="s">
        <v>603</v>
      </c>
      <c r="E531" t="s">
        <v>604</v>
      </c>
      <c r="F531" t="s">
        <v>824</v>
      </c>
      <c r="G531">
        <v>8.0500000000000007</v>
      </c>
      <c r="H531">
        <v>11.7</v>
      </c>
      <c r="I531">
        <v>17.45</v>
      </c>
      <c r="J531">
        <v>6.05</v>
      </c>
      <c r="K531">
        <v>43.25</v>
      </c>
      <c r="L531">
        <v>3.6211180120000002</v>
      </c>
      <c r="M531">
        <v>13</v>
      </c>
      <c r="N531">
        <v>17</v>
      </c>
      <c r="O531">
        <v>4</v>
      </c>
      <c r="P531">
        <v>17</v>
      </c>
      <c r="Q531">
        <v>4</v>
      </c>
      <c r="R531">
        <v>2</v>
      </c>
      <c r="S531">
        <v>51.1</v>
      </c>
      <c r="T531">
        <v>30.76923077</v>
      </c>
      <c r="U531">
        <v>0</v>
      </c>
      <c r="V531">
        <v>1</v>
      </c>
      <c r="W531">
        <v>3</v>
      </c>
      <c r="X531">
        <v>3</v>
      </c>
      <c r="Y531">
        <v>2</v>
      </c>
      <c r="Z531">
        <v>200</v>
      </c>
      <c r="AA531" t="s">
        <v>66</v>
      </c>
      <c r="AB531" t="s">
        <v>66</v>
      </c>
      <c r="AC531" t="s">
        <v>66</v>
      </c>
      <c r="AD531" t="s">
        <v>66</v>
      </c>
      <c r="AE531">
        <v>12</v>
      </c>
      <c r="AF531">
        <v>13</v>
      </c>
      <c r="AG531" t="s">
        <v>66</v>
      </c>
      <c r="AH531">
        <v>4</v>
      </c>
      <c r="AI531">
        <v>7</v>
      </c>
      <c r="AJ531" t="s">
        <v>66</v>
      </c>
      <c r="AK531">
        <v>3</v>
      </c>
      <c r="AL531">
        <v>4</v>
      </c>
      <c r="AM531">
        <v>3.5</v>
      </c>
      <c r="AN531">
        <v>5.5</v>
      </c>
      <c r="AO531">
        <v>57.142857139999997</v>
      </c>
      <c r="AP531">
        <v>8.3333333330000006</v>
      </c>
      <c r="AQ531">
        <v>3.4285714289999998</v>
      </c>
      <c r="AR531">
        <v>2.363636364</v>
      </c>
      <c r="AS531">
        <v>-1.064935065</v>
      </c>
      <c r="AT531">
        <v>0</v>
      </c>
      <c r="AU531" t="s">
        <v>66</v>
      </c>
      <c r="AV531">
        <v>0</v>
      </c>
      <c r="AW531">
        <v>0</v>
      </c>
      <c r="AX531">
        <v>0</v>
      </c>
      <c r="AY531">
        <v>1</v>
      </c>
      <c r="AZ531">
        <v>1</v>
      </c>
      <c r="BA531">
        <v>1</v>
      </c>
      <c r="BB531" t="s">
        <v>66</v>
      </c>
      <c r="BC531" t="s">
        <v>66</v>
      </c>
      <c r="BD531" t="s">
        <v>66</v>
      </c>
      <c r="BE531" t="s">
        <v>66</v>
      </c>
      <c r="BF531">
        <v>0</v>
      </c>
      <c r="BG531" t="s">
        <v>66</v>
      </c>
      <c r="BH531" t="s">
        <v>66</v>
      </c>
      <c r="BI531">
        <v>19</v>
      </c>
      <c r="BJ531">
        <v>3</v>
      </c>
      <c r="BK531" t="s">
        <v>66</v>
      </c>
      <c r="BL531">
        <v>16</v>
      </c>
      <c r="BM531">
        <v>9</v>
      </c>
      <c r="BN531">
        <v>5</v>
      </c>
      <c r="BO531">
        <f t="shared" si="82"/>
        <v>7</v>
      </c>
      <c r="BP531">
        <v>3</v>
      </c>
      <c r="BQ531">
        <v>1</v>
      </c>
      <c r="BS531">
        <v>0</v>
      </c>
      <c r="BT531">
        <f t="shared" si="83"/>
        <v>31.578947368421051</v>
      </c>
      <c r="BU531">
        <f t="shared" si="84"/>
        <v>66.666666666666657</v>
      </c>
      <c r="BV531">
        <f t="shared" si="85"/>
        <v>25</v>
      </c>
      <c r="BW531">
        <f t="shared" si="86"/>
        <v>50</v>
      </c>
    </row>
    <row r="532" spans="1:75" x14ac:dyDescent="0.2">
      <c r="A532" t="s">
        <v>299</v>
      </c>
      <c r="B532" t="s">
        <v>300</v>
      </c>
      <c r="C532" t="s">
        <v>62</v>
      </c>
      <c r="D532" t="s">
        <v>603</v>
      </c>
      <c r="E532" t="s">
        <v>606</v>
      </c>
      <c r="F532" t="s">
        <v>825</v>
      </c>
      <c r="G532">
        <v>8.0500000000000007</v>
      </c>
      <c r="H532">
        <v>11.7</v>
      </c>
      <c r="I532">
        <v>17.45</v>
      </c>
      <c r="J532">
        <v>6.05</v>
      </c>
      <c r="K532">
        <v>43.25</v>
      </c>
      <c r="L532">
        <v>3.6211180120000002</v>
      </c>
      <c r="M532">
        <v>74</v>
      </c>
      <c r="N532">
        <v>98</v>
      </c>
      <c r="O532">
        <v>24</v>
      </c>
      <c r="P532">
        <v>120</v>
      </c>
      <c r="Q532">
        <v>46</v>
      </c>
      <c r="R532">
        <v>23</v>
      </c>
      <c r="S532">
        <v>93.1</v>
      </c>
      <c r="T532">
        <v>62.162162160000001</v>
      </c>
      <c r="U532">
        <v>22.44897959</v>
      </c>
      <c r="V532">
        <v>9</v>
      </c>
      <c r="W532">
        <v>12</v>
      </c>
      <c r="X532">
        <v>16</v>
      </c>
      <c r="Y532">
        <v>7</v>
      </c>
      <c r="Z532">
        <v>77.777777779999994</v>
      </c>
      <c r="AA532" t="s">
        <v>66</v>
      </c>
      <c r="AB532" t="s">
        <v>66</v>
      </c>
      <c r="AC532" t="s">
        <v>66</v>
      </c>
      <c r="AD532" t="s">
        <v>66</v>
      </c>
      <c r="AE532">
        <v>90</v>
      </c>
      <c r="AF532">
        <v>113</v>
      </c>
      <c r="AG532" t="s">
        <v>66</v>
      </c>
      <c r="AH532">
        <v>49</v>
      </c>
      <c r="AI532">
        <v>58</v>
      </c>
      <c r="AJ532" t="s">
        <v>66</v>
      </c>
      <c r="AK532">
        <v>39</v>
      </c>
      <c r="AL532">
        <v>47</v>
      </c>
      <c r="AM532">
        <v>44</v>
      </c>
      <c r="AN532">
        <v>52.5</v>
      </c>
      <c r="AO532">
        <v>19.31818182</v>
      </c>
      <c r="AP532">
        <v>25.555555559999998</v>
      </c>
      <c r="AQ532">
        <v>2.0454545450000001</v>
      </c>
      <c r="AR532">
        <v>2.1523809520000001</v>
      </c>
      <c r="AS532">
        <v>0.106926407</v>
      </c>
      <c r="AT532">
        <v>0</v>
      </c>
      <c r="AU532" t="s">
        <v>66</v>
      </c>
      <c r="AV532">
        <v>0</v>
      </c>
      <c r="AW532">
        <v>0</v>
      </c>
      <c r="AX532">
        <v>0</v>
      </c>
      <c r="AY532">
        <v>1</v>
      </c>
      <c r="AZ532">
        <v>1</v>
      </c>
      <c r="BA532">
        <v>1</v>
      </c>
      <c r="BB532" t="s">
        <v>66</v>
      </c>
      <c r="BC532" t="s">
        <v>66</v>
      </c>
      <c r="BD532" t="s">
        <v>66</v>
      </c>
      <c r="BE532" t="s">
        <v>66</v>
      </c>
      <c r="BF532">
        <v>0</v>
      </c>
      <c r="BG532" t="s">
        <v>66</v>
      </c>
      <c r="BH532" t="s">
        <v>66</v>
      </c>
      <c r="BI532">
        <v>164</v>
      </c>
      <c r="BJ532">
        <v>17.7</v>
      </c>
      <c r="BK532">
        <v>5.8</v>
      </c>
      <c r="BL532">
        <v>155</v>
      </c>
      <c r="BM532">
        <v>67</v>
      </c>
      <c r="BN532">
        <v>20</v>
      </c>
      <c r="BO532">
        <f t="shared" si="82"/>
        <v>43.5</v>
      </c>
      <c r="BP532">
        <v>4</v>
      </c>
      <c r="BQ532">
        <v>1</v>
      </c>
      <c r="BS532">
        <v>0</v>
      </c>
      <c r="BT532">
        <f t="shared" si="83"/>
        <v>54.878048780487809</v>
      </c>
      <c r="BU532">
        <f t="shared" si="84"/>
        <v>49.152542372881349</v>
      </c>
      <c r="BV532">
        <f t="shared" si="85"/>
        <v>41.935483870967744</v>
      </c>
      <c r="BW532">
        <f t="shared" si="86"/>
        <v>-1.1494252873563218</v>
      </c>
    </row>
    <row r="533" spans="1:75" x14ac:dyDescent="0.2">
      <c r="A533" t="s">
        <v>299</v>
      </c>
      <c r="B533" t="s">
        <v>300</v>
      </c>
      <c r="C533" t="s">
        <v>62</v>
      </c>
      <c r="D533" t="s">
        <v>603</v>
      </c>
      <c r="E533" t="s">
        <v>608</v>
      </c>
      <c r="F533" t="s">
        <v>826</v>
      </c>
      <c r="G533">
        <v>8.0500000000000007</v>
      </c>
      <c r="H533">
        <v>11.7</v>
      </c>
      <c r="I533">
        <v>17.45</v>
      </c>
      <c r="J533">
        <v>6.05</v>
      </c>
      <c r="K533">
        <v>43.25</v>
      </c>
      <c r="L533">
        <v>3.6211180120000002</v>
      </c>
      <c r="M533">
        <v>44</v>
      </c>
      <c r="N533">
        <v>57</v>
      </c>
      <c r="O533">
        <v>13</v>
      </c>
      <c r="P533">
        <v>66</v>
      </c>
      <c r="Q533">
        <v>22</v>
      </c>
      <c r="R533">
        <v>11</v>
      </c>
      <c r="S533">
        <v>69.099999999999994</v>
      </c>
      <c r="T533">
        <v>50</v>
      </c>
      <c r="U533">
        <v>15.78947368</v>
      </c>
      <c r="V533">
        <v>6</v>
      </c>
      <c r="W533">
        <v>6</v>
      </c>
      <c r="X533">
        <v>8</v>
      </c>
      <c r="Y533">
        <v>2</v>
      </c>
      <c r="Z533">
        <v>33.333333330000002</v>
      </c>
      <c r="AA533" t="s">
        <v>66</v>
      </c>
      <c r="AB533" t="s">
        <v>66</v>
      </c>
      <c r="AC533" t="s">
        <v>66</v>
      </c>
      <c r="AD533" t="s">
        <v>66</v>
      </c>
      <c r="AE533">
        <v>51</v>
      </c>
      <c r="AF533">
        <v>60</v>
      </c>
      <c r="AG533" t="s">
        <v>66</v>
      </c>
      <c r="AH533">
        <v>26</v>
      </c>
      <c r="AI533">
        <v>34</v>
      </c>
      <c r="AJ533" t="s">
        <v>66</v>
      </c>
      <c r="AK533">
        <v>16</v>
      </c>
      <c r="AL533">
        <v>20</v>
      </c>
      <c r="AM533">
        <v>21</v>
      </c>
      <c r="AN533">
        <v>27</v>
      </c>
      <c r="AO533">
        <v>28.571428569999998</v>
      </c>
      <c r="AP533">
        <v>17.647058820000002</v>
      </c>
      <c r="AQ533">
        <v>2.4285714289999998</v>
      </c>
      <c r="AR533">
        <v>2.2222222220000001</v>
      </c>
      <c r="AS533">
        <v>-0.20634920700000001</v>
      </c>
      <c r="AT533">
        <v>0</v>
      </c>
      <c r="AU533" t="s">
        <v>66</v>
      </c>
      <c r="AV533">
        <v>0</v>
      </c>
      <c r="AW533">
        <v>0</v>
      </c>
      <c r="AX533">
        <v>0</v>
      </c>
      <c r="AY533">
        <v>1</v>
      </c>
      <c r="AZ533">
        <v>1</v>
      </c>
      <c r="BA533">
        <v>1</v>
      </c>
      <c r="BB533" t="s">
        <v>66</v>
      </c>
      <c r="BC533" t="s">
        <v>66</v>
      </c>
      <c r="BD533" t="s">
        <v>66</v>
      </c>
      <c r="BE533" t="s">
        <v>66</v>
      </c>
      <c r="BF533">
        <v>0</v>
      </c>
      <c r="BG533" t="s">
        <v>66</v>
      </c>
      <c r="BH533" t="s">
        <v>66</v>
      </c>
      <c r="BI533">
        <v>98</v>
      </c>
      <c r="BJ533">
        <v>10.5</v>
      </c>
      <c r="BK533" t="s">
        <v>66</v>
      </c>
      <c r="BL533">
        <v>96</v>
      </c>
      <c r="BM533">
        <v>26</v>
      </c>
      <c r="BN533">
        <v>43</v>
      </c>
      <c r="BO533">
        <f t="shared" si="82"/>
        <v>34.5</v>
      </c>
      <c r="BP533">
        <v>4</v>
      </c>
      <c r="BQ533">
        <v>1</v>
      </c>
      <c r="BS533">
        <v>0</v>
      </c>
      <c r="BT533">
        <f t="shared" si="83"/>
        <v>55.102040816326522</v>
      </c>
      <c r="BU533">
        <f t="shared" si="84"/>
        <v>42.857142857142854</v>
      </c>
      <c r="BV533">
        <f t="shared" si="85"/>
        <v>46.875</v>
      </c>
      <c r="BW533">
        <f t="shared" si="86"/>
        <v>39.130434782608695</v>
      </c>
    </row>
    <row r="534" spans="1:75" x14ac:dyDescent="0.2">
      <c r="A534" t="s">
        <v>299</v>
      </c>
      <c r="B534" t="s">
        <v>300</v>
      </c>
      <c r="C534" t="s">
        <v>62</v>
      </c>
      <c r="D534" t="s">
        <v>603</v>
      </c>
      <c r="E534" t="s">
        <v>610</v>
      </c>
      <c r="F534" t="s">
        <v>827</v>
      </c>
      <c r="G534">
        <v>8.0500000000000007</v>
      </c>
      <c r="H534">
        <v>11.7</v>
      </c>
      <c r="I534">
        <v>17.45</v>
      </c>
      <c r="J534">
        <v>6.05</v>
      </c>
      <c r="K534">
        <v>43.25</v>
      </c>
      <c r="L534">
        <v>3.6211180120000002</v>
      </c>
      <c r="M534">
        <v>40</v>
      </c>
      <c r="N534">
        <v>46</v>
      </c>
      <c r="O534">
        <v>6</v>
      </c>
      <c r="P534">
        <v>57</v>
      </c>
      <c r="Q534">
        <v>17</v>
      </c>
      <c r="R534">
        <v>8.5</v>
      </c>
      <c r="S534">
        <v>64.099999999999994</v>
      </c>
      <c r="T534">
        <v>42.5</v>
      </c>
      <c r="U534">
        <v>23.913043479999999</v>
      </c>
      <c r="V534">
        <v>5</v>
      </c>
      <c r="W534">
        <v>6</v>
      </c>
      <c r="X534">
        <v>8</v>
      </c>
      <c r="Y534">
        <v>3</v>
      </c>
      <c r="Z534">
        <v>60</v>
      </c>
      <c r="AA534" t="s">
        <v>66</v>
      </c>
      <c r="AB534" t="s">
        <v>66</v>
      </c>
      <c r="AC534" t="s">
        <v>66</v>
      </c>
      <c r="AD534" t="s">
        <v>66</v>
      </c>
      <c r="AE534">
        <v>38</v>
      </c>
      <c r="AF534">
        <v>46</v>
      </c>
      <c r="AG534" t="s">
        <v>66</v>
      </c>
      <c r="AH534">
        <v>29</v>
      </c>
      <c r="AI534">
        <v>35</v>
      </c>
      <c r="AJ534" t="s">
        <v>66</v>
      </c>
      <c r="AK534">
        <v>17</v>
      </c>
      <c r="AL534">
        <v>25</v>
      </c>
      <c r="AM534">
        <v>23</v>
      </c>
      <c r="AN534">
        <v>30</v>
      </c>
      <c r="AO534">
        <v>30.434782609999999</v>
      </c>
      <c r="AP534">
        <v>21.05263158</v>
      </c>
      <c r="AQ534">
        <v>1.6521739129999999</v>
      </c>
      <c r="AR534">
        <v>1.5333333330000001</v>
      </c>
      <c r="AS534">
        <v>-0.11884058</v>
      </c>
      <c r="AT534">
        <v>0</v>
      </c>
      <c r="AU534" t="s">
        <v>66</v>
      </c>
      <c r="AV534">
        <v>0</v>
      </c>
      <c r="AW534">
        <v>0</v>
      </c>
      <c r="AX534">
        <v>0</v>
      </c>
      <c r="AY534">
        <v>1</v>
      </c>
      <c r="AZ534">
        <v>1</v>
      </c>
      <c r="BA534">
        <v>1</v>
      </c>
      <c r="BB534" t="s">
        <v>66</v>
      </c>
      <c r="BC534" t="s">
        <v>66</v>
      </c>
      <c r="BD534" t="s">
        <v>66</v>
      </c>
      <c r="BE534" t="s">
        <v>66</v>
      </c>
      <c r="BF534">
        <v>0</v>
      </c>
      <c r="BG534" t="s">
        <v>66</v>
      </c>
      <c r="BH534" t="s">
        <v>66</v>
      </c>
      <c r="BI534">
        <v>76</v>
      </c>
      <c r="BJ534">
        <v>10.4</v>
      </c>
      <c r="BK534" t="s">
        <v>66</v>
      </c>
      <c r="BL534">
        <v>66</v>
      </c>
      <c r="BM534">
        <v>48</v>
      </c>
      <c r="BN534">
        <v>32</v>
      </c>
      <c r="BO534">
        <f t="shared" si="82"/>
        <v>40</v>
      </c>
      <c r="BP534">
        <v>4</v>
      </c>
      <c r="BQ534">
        <v>1</v>
      </c>
      <c r="BS534">
        <v>0</v>
      </c>
      <c r="BT534">
        <f t="shared" si="83"/>
        <v>47.368421052631575</v>
      </c>
      <c r="BU534">
        <f t="shared" si="84"/>
        <v>51.923076923076927</v>
      </c>
      <c r="BV534">
        <f t="shared" si="85"/>
        <v>42.424242424242422</v>
      </c>
      <c r="BW534">
        <f t="shared" si="86"/>
        <v>42.5</v>
      </c>
    </row>
    <row r="535" spans="1:75" x14ac:dyDescent="0.2">
      <c r="A535" t="s">
        <v>299</v>
      </c>
      <c r="B535" t="s">
        <v>300</v>
      </c>
      <c r="C535" t="s">
        <v>62</v>
      </c>
      <c r="D535" t="s">
        <v>603</v>
      </c>
      <c r="E535" t="s">
        <v>612</v>
      </c>
      <c r="F535" t="s">
        <v>828</v>
      </c>
      <c r="G535">
        <v>8.0500000000000007</v>
      </c>
      <c r="H535">
        <v>11.7</v>
      </c>
      <c r="I535">
        <v>17.45</v>
      </c>
      <c r="J535">
        <v>6.05</v>
      </c>
      <c r="K535">
        <v>43.25</v>
      </c>
      <c r="L535">
        <v>3.6211180120000002</v>
      </c>
      <c r="M535">
        <v>26</v>
      </c>
      <c r="N535">
        <v>39</v>
      </c>
      <c r="O535">
        <v>13</v>
      </c>
      <c r="P535">
        <v>41</v>
      </c>
      <c r="Q535">
        <v>15</v>
      </c>
      <c r="R535">
        <v>7.5</v>
      </c>
      <c r="S535">
        <v>62.1</v>
      </c>
      <c r="T535">
        <v>57.69230769</v>
      </c>
      <c r="U535">
        <v>5.1282051280000003</v>
      </c>
      <c r="V535">
        <v>3</v>
      </c>
      <c r="W535">
        <v>4</v>
      </c>
      <c r="X535">
        <v>5</v>
      </c>
      <c r="Y535">
        <v>2</v>
      </c>
      <c r="Z535">
        <v>66.666666669999998</v>
      </c>
      <c r="AA535" t="s">
        <v>66</v>
      </c>
      <c r="AB535" t="s">
        <v>66</v>
      </c>
      <c r="AC535" t="s">
        <v>66</v>
      </c>
      <c r="AD535" t="s">
        <v>66</v>
      </c>
      <c r="AE535">
        <v>27</v>
      </c>
      <c r="AF535">
        <v>30</v>
      </c>
      <c r="AG535" t="s">
        <v>66</v>
      </c>
      <c r="AH535">
        <v>18</v>
      </c>
      <c r="AI535">
        <v>20</v>
      </c>
      <c r="AJ535" t="s">
        <v>66</v>
      </c>
      <c r="AK535">
        <v>14</v>
      </c>
      <c r="AL535">
        <v>18</v>
      </c>
      <c r="AM535">
        <v>16</v>
      </c>
      <c r="AN535">
        <v>19</v>
      </c>
      <c r="AO535">
        <v>18.75</v>
      </c>
      <c r="AP535">
        <v>11.11111111</v>
      </c>
      <c r="AQ535">
        <v>1.6875</v>
      </c>
      <c r="AR535">
        <v>1.5789473679999999</v>
      </c>
      <c r="AS535">
        <v>-0.108552632</v>
      </c>
      <c r="AT535">
        <v>0</v>
      </c>
      <c r="AU535" t="s">
        <v>66</v>
      </c>
      <c r="AV535">
        <v>0</v>
      </c>
      <c r="AW535">
        <v>0</v>
      </c>
      <c r="AX535">
        <v>0</v>
      </c>
      <c r="AY535">
        <v>1</v>
      </c>
      <c r="AZ535">
        <v>1</v>
      </c>
      <c r="BA535">
        <v>1</v>
      </c>
      <c r="BB535" t="s">
        <v>66</v>
      </c>
      <c r="BC535" t="s">
        <v>66</v>
      </c>
      <c r="BD535" t="s">
        <v>66</v>
      </c>
      <c r="BE535" t="s">
        <v>66</v>
      </c>
      <c r="BF535">
        <v>0</v>
      </c>
      <c r="BG535" t="s">
        <v>66</v>
      </c>
      <c r="BH535" t="s">
        <v>66</v>
      </c>
      <c r="BI535">
        <v>52</v>
      </c>
      <c r="BJ535">
        <v>5.8</v>
      </c>
      <c r="BK535" t="s">
        <v>66</v>
      </c>
      <c r="BL535">
        <v>43</v>
      </c>
      <c r="BM535">
        <v>30</v>
      </c>
      <c r="BN535">
        <v>15</v>
      </c>
      <c r="BO535">
        <f t="shared" si="82"/>
        <v>22.5</v>
      </c>
      <c r="BP535">
        <v>4</v>
      </c>
      <c r="BQ535">
        <v>1</v>
      </c>
      <c r="BS535">
        <v>0</v>
      </c>
      <c r="BT535">
        <f t="shared" si="83"/>
        <v>50</v>
      </c>
      <c r="BU535">
        <f t="shared" si="84"/>
        <v>48.275862068965516</v>
      </c>
      <c r="BV535">
        <f t="shared" si="85"/>
        <v>37.209302325581397</v>
      </c>
      <c r="BW535">
        <f t="shared" si="86"/>
        <v>28.888888888888886</v>
      </c>
    </row>
    <row r="536" spans="1:75" x14ac:dyDescent="0.2">
      <c r="A536" t="s">
        <v>299</v>
      </c>
      <c r="B536" t="s">
        <v>300</v>
      </c>
      <c r="C536" t="s">
        <v>62</v>
      </c>
      <c r="D536" t="s">
        <v>603</v>
      </c>
      <c r="E536" t="s">
        <v>614</v>
      </c>
      <c r="F536" t="s">
        <v>829</v>
      </c>
      <c r="G536">
        <v>8.0500000000000007</v>
      </c>
      <c r="H536">
        <v>11.7</v>
      </c>
      <c r="I536">
        <v>17.45</v>
      </c>
      <c r="J536">
        <v>6.05</v>
      </c>
      <c r="K536">
        <v>43.25</v>
      </c>
      <c r="L536">
        <v>3.6211180120000002</v>
      </c>
      <c r="M536">
        <v>36</v>
      </c>
      <c r="N536">
        <v>41</v>
      </c>
      <c r="O536">
        <v>5</v>
      </c>
      <c r="P536">
        <v>49</v>
      </c>
      <c r="Q536">
        <v>13</v>
      </c>
      <c r="R536">
        <v>6.5</v>
      </c>
      <c r="S536">
        <v>60.1</v>
      </c>
      <c r="T536">
        <v>36.111111110000003</v>
      </c>
      <c r="U536">
        <v>19.512195120000001</v>
      </c>
      <c r="V536">
        <v>5</v>
      </c>
      <c r="W536">
        <v>7</v>
      </c>
      <c r="X536">
        <v>9</v>
      </c>
      <c r="Y536">
        <v>4</v>
      </c>
      <c r="Z536">
        <v>80</v>
      </c>
      <c r="AA536" t="s">
        <v>66</v>
      </c>
      <c r="AB536" t="s">
        <v>66</v>
      </c>
      <c r="AC536" t="s">
        <v>66</v>
      </c>
      <c r="AD536" t="s">
        <v>66</v>
      </c>
      <c r="AE536">
        <v>32</v>
      </c>
      <c r="AF536">
        <v>41</v>
      </c>
      <c r="AG536" t="s">
        <v>66</v>
      </c>
      <c r="AH536">
        <v>17</v>
      </c>
      <c r="AI536">
        <v>22</v>
      </c>
      <c r="AJ536" t="s">
        <v>66</v>
      </c>
      <c r="AK536">
        <v>12</v>
      </c>
      <c r="AL536">
        <v>15</v>
      </c>
      <c r="AM536">
        <v>14.5</v>
      </c>
      <c r="AN536">
        <v>18.5</v>
      </c>
      <c r="AO536">
        <v>27.586206900000001</v>
      </c>
      <c r="AP536">
        <v>28.125</v>
      </c>
      <c r="AQ536">
        <v>2.2068965519999999</v>
      </c>
      <c r="AR536">
        <v>2.2162162159999999</v>
      </c>
      <c r="AS536">
        <v>9.3196640000000001E-3</v>
      </c>
      <c r="AT536">
        <v>0</v>
      </c>
      <c r="AU536" t="s">
        <v>66</v>
      </c>
      <c r="AV536">
        <v>0</v>
      </c>
      <c r="AW536">
        <v>0</v>
      </c>
      <c r="AX536">
        <v>0</v>
      </c>
      <c r="AY536">
        <v>1</v>
      </c>
      <c r="AZ536">
        <v>1</v>
      </c>
      <c r="BA536">
        <v>1</v>
      </c>
      <c r="BB536" t="s">
        <v>66</v>
      </c>
      <c r="BC536" t="s">
        <v>66</v>
      </c>
      <c r="BD536" t="s">
        <v>66</v>
      </c>
      <c r="BE536" t="s">
        <v>66</v>
      </c>
      <c r="BF536">
        <v>0</v>
      </c>
      <c r="BG536" t="s">
        <v>66</v>
      </c>
      <c r="BH536" t="s">
        <v>66</v>
      </c>
      <c r="BI536">
        <v>78</v>
      </c>
      <c r="BJ536">
        <v>9.4</v>
      </c>
      <c r="BK536" t="s">
        <v>66</v>
      </c>
      <c r="BL536">
        <v>68</v>
      </c>
      <c r="BM536">
        <v>27</v>
      </c>
      <c r="BN536">
        <v>17</v>
      </c>
      <c r="BO536">
        <f t="shared" si="82"/>
        <v>22</v>
      </c>
      <c r="BP536">
        <v>4</v>
      </c>
      <c r="BQ536">
        <v>1</v>
      </c>
      <c r="BS536">
        <v>0</v>
      </c>
      <c r="BT536">
        <f t="shared" si="83"/>
        <v>53.846153846153847</v>
      </c>
      <c r="BU536">
        <f t="shared" si="84"/>
        <v>46.808510638297875</v>
      </c>
      <c r="BV536">
        <f t="shared" si="85"/>
        <v>52.941176470588239</v>
      </c>
      <c r="BW536">
        <f t="shared" si="86"/>
        <v>34.090909090909086</v>
      </c>
    </row>
    <row r="537" spans="1:75" x14ac:dyDescent="0.2">
      <c r="A537" t="s">
        <v>299</v>
      </c>
      <c r="B537" t="s">
        <v>300</v>
      </c>
      <c r="C537" t="s">
        <v>62</v>
      </c>
      <c r="D537" t="s">
        <v>603</v>
      </c>
      <c r="E537" t="s">
        <v>616</v>
      </c>
      <c r="F537" t="s">
        <v>830</v>
      </c>
      <c r="G537">
        <v>8.0500000000000007</v>
      </c>
      <c r="H537">
        <v>11.7</v>
      </c>
      <c r="I537">
        <v>17.45</v>
      </c>
      <c r="J537">
        <v>6.05</v>
      </c>
      <c r="K537">
        <v>43.25</v>
      </c>
      <c r="L537">
        <v>3.6211180120000002</v>
      </c>
      <c r="M537">
        <v>33</v>
      </c>
      <c r="N537">
        <v>46</v>
      </c>
      <c r="O537">
        <v>13</v>
      </c>
      <c r="P537">
        <v>54</v>
      </c>
      <c r="Q537">
        <v>21</v>
      </c>
      <c r="R537">
        <v>10.5</v>
      </c>
      <c r="S537">
        <v>68.099999999999994</v>
      </c>
      <c r="T537">
        <v>63.636363639999999</v>
      </c>
      <c r="U537">
        <v>17.391304349999999</v>
      </c>
      <c r="V537">
        <v>6</v>
      </c>
      <c r="W537">
        <v>8</v>
      </c>
      <c r="X537">
        <v>9</v>
      </c>
      <c r="Y537">
        <v>3</v>
      </c>
      <c r="Z537">
        <v>50</v>
      </c>
      <c r="AA537" t="s">
        <v>66</v>
      </c>
      <c r="AB537" t="s">
        <v>66</v>
      </c>
      <c r="AC537" t="s">
        <v>66</v>
      </c>
      <c r="AD537" t="s">
        <v>66</v>
      </c>
      <c r="AE537">
        <v>39</v>
      </c>
      <c r="AF537">
        <v>46</v>
      </c>
      <c r="AG537" t="s">
        <v>66</v>
      </c>
      <c r="AH537">
        <v>22</v>
      </c>
      <c r="AI537">
        <v>28</v>
      </c>
      <c r="AJ537" t="s">
        <v>66</v>
      </c>
      <c r="AK537">
        <v>14</v>
      </c>
      <c r="AL537">
        <v>20</v>
      </c>
      <c r="AM537">
        <v>18</v>
      </c>
      <c r="AN537">
        <v>24</v>
      </c>
      <c r="AO537">
        <v>33.333333330000002</v>
      </c>
      <c r="AP537">
        <v>17.948717949999999</v>
      </c>
      <c r="AQ537">
        <v>2.1666666669999999</v>
      </c>
      <c r="AR537">
        <v>1.9166666670000001</v>
      </c>
      <c r="AS537">
        <v>-0.25</v>
      </c>
      <c r="AT537">
        <v>0</v>
      </c>
      <c r="AU537" t="s">
        <v>66</v>
      </c>
      <c r="AV537">
        <v>0</v>
      </c>
      <c r="AW537">
        <v>0</v>
      </c>
      <c r="AX537">
        <v>0</v>
      </c>
      <c r="AY537">
        <v>1</v>
      </c>
      <c r="AZ537">
        <v>1</v>
      </c>
      <c r="BA537">
        <v>1</v>
      </c>
      <c r="BB537" t="s">
        <v>66</v>
      </c>
      <c r="BC537" t="s">
        <v>66</v>
      </c>
      <c r="BD537" t="s">
        <v>66</v>
      </c>
      <c r="BE537" t="s">
        <v>66</v>
      </c>
      <c r="BF537">
        <v>0</v>
      </c>
      <c r="BG537" t="s">
        <v>66</v>
      </c>
      <c r="BH537" t="s">
        <v>66</v>
      </c>
      <c r="BI537">
        <v>78</v>
      </c>
      <c r="BJ537">
        <v>11.2</v>
      </c>
      <c r="BK537" t="s">
        <v>66</v>
      </c>
      <c r="BL537">
        <v>66</v>
      </c>
      <c r="BM537">
        <v>37</v>
      </c>
      <c r="BN537">
        <v>33</v>
      </c>
      <c r="BO537">
        <f t="shared" si="82"/>
        <v>35</v>
      </c>
      <c r="BP537">
        <v>4</v>
      </c>
      <c r="BQ537">
        <v>1</v>
      </c>
      <c r="BS537">
        <v>0</v>
      </c>
      <c r="BT537">
        <f t="shared" si="83"/>
        <v>57.692307692307686</v>
      </c>
      <c r="BU537">
        <f t="shared" si="84"/>
        <v>46.428571428571423</v>
      </c>
      <c r="BV537">
        <f t="shared" si="85"/>
        <v>40.909090909090914</v>
      </c>
      <c r="BW537">
        <f t="shared" si="86"/>
        <v>48.571428571428569</v>
      </c>
    </row>
    <row r="538" spans="1:75" x14ac:dyDescent="0.2">
      <c r="A538" t="s">
        <v>299</v>
      </c>
      <c r="B538" t="s">
        <v>300</v>
      </c>
      <c r="C538" t="s">
        <v>62</v>
      </c>
      <c r="D538" t="s">
        <v>603</v>
      </c>
      <c r="E538" t="s">
        <v>618</v>
      </c>
      <c r="F538" t="s">
        <v>831</v>
      </c>
      <c r="G538">
        <v>8.0500000000000007</v>
      </c>
      <c r="H538">
        <v>11.7</v>
      </c>
      <c r="I538">
        <v>17.45</v>
      </c>
      <c r="J538">
        <v>6.05</v>
      </c>
      <c r="K538">
        <v>43.25</v>
      </c>
      <c r="L538">
        <v>3.6211180120000002</v>
      </c>
      <c r="M538">
        <v>21</v>
      </c>
      <c r="N538">
        <v>31</v>
      </c>
      <c r="O538">
        <v>10</v>
      </c>
      <c r="P538">
        <v>36</v>
      </c>
      <c r="Q538">
        <v>15</v>
      </c>
      <c r="R538">
        <v>7.5</v>
      </c>
      <c r="S538">
        <v>62.1</v>
      </c>
      <c r="T538">
        <v>71.428571430000005</v>
      </c>
      <c r="U538">
        <v>16.129032259999999</v>
      </c>
      <c r="V538">
        <v>3</v>
      </c>
      <c r="W538">
        <v>4</v>
      </c>
      <c r="X538">
        <v>5</v>
      </c>
      <c r="Y538">
        <v>2</v>
      </c>
      <c r="Z538">
        <v>66.666666669999998</v>
      </c>
      <c r="AA538" t="s">
        <v>66</v>
      </c>
      <c r="AB538" t="s">
        <v>66</v>
      </c>
      <c r="AC538" t="s">
        <v>66</v>
      </c>
      <c r="AD538" t="s">
        <v>66</v>
      </c>
      <c r="AE538">
        <v>23</v>
      </c>
      <c r="AF538">
        <v>26</v>
      </c>
      <c r="AG538" t="s">
        <v>66</v>
      </c>
      <c r="AH538">
        <v>12</v>
      </c>
      <c r="AI538">
        <v>16</v>
      </c>
      <c r="AJ538" t="s">
        <v>66</v>
      </c>
      <c r="AK538">
        <v>9</v>
      </c>
      <c r="AL538">
        <v>11</v>
      </c>
      <c r="AM538">
        <v>10.5</v>
      </c>
      <c r="AN538">
        <v>13.5</v>
      </c>
      <c r="AO538">
        <v>28.571428569999998</v>
      </c>
      <c r="AP538">
        <v>13.043478260000001</v>
      </c>
      <c r="AQ538">
        <v>2.19047619</v>
      </c>
      <c r="AR538">
        <v>1.9259259259999999</v>
      </c>
      <c r="AS538">
        <v>-0.26455026399999998</v>
      </c>
      <c r="AT538">
        <v>0</v>
      </c>
      <c r="AU538" t="s">
        <v>66</v>
      </c>
      <c r="AV538">
        <v>0</v>
      </c>
      <c r="AW538">
        <v>0</v>
      </c>
      <c r="AX538">
        <v>0</v>
      </c>
      <c r="AY538">
        <v>1</v>
      </c>
      <c r="AZ538">
        <v>1</v>
      </c>
      <c r="BA538">
        <v>1</v>
      </c>
      <c r="BB538" t="s">
        <v>66</v>
      </c>
      <c r="BC538" t="s">
        <v>66</v>
      </c>
      <c r="BD538" t="s">
        <v>66</v>
      </c>
      <c r="BE538" t="s">
        <v>66</v>
      </c>
      <c r="BF538">
        <v>0</v>
      </c>
      <c r="BG538" t="s">
        <v>66</v>
      </c>
      <c r="BH538" t="s">
        <v>66</v>
      </c>
      <c r="BI538">
        <v>85</v>
      </c>
      <c r="BJ538">
        <v>10.1</v>
      </c>
      <c r="BK538" t="s">
        <v>66</v>
      </c>
      <c r="BL538">
        <v>71</v>
      </c>
      <c r="BM538">
        <v>38</v>
      </c>
      <c r="BN538">
        <v>19</v>
      </c>
      <c r="BO538">
        <f t="shared" si="82"/>
        <v>28.5</v>
      </c>
      <c r="BP538">
        <v>4</v>
      </c>
      <c r="BQ538">
        <v>1</v>
      </c>
      <c r="BS538">
        <v>0</v>
      </c>
      <c r="BT538">
        <f t="shared" si="83"/>
        <v>75.294117647058826</v>
      </c>
      <c r="BU538">
        <f t="shared" si="84"/>
        <v>70.297029702970292</v>
      </c>
      <c r="BV538">
        <f t="shared" si="85"/>
        <v>67.605633802816897</v>
      </c>
      <c r="BW538">
        <f t="shared" si="86"/>
        <v>63.157894736842103</v>
      </c>
    </row>
    <row r="539" spans="1:75" x14ac:dyDescent="0.2">
      <c r="A539" t="s">
        <v>299</v>
      </c>
      <c r="B539" t="s">
        <v>300</v>
      </c>
      <c r="C539" t="s">
        <v>62</v>
      </c>
      <c r="D539" t="s">
        <v>603</v>
      </c>
      <c r="E539" t="s">
        <v>620</v>
      </c>
      <c r="F539" t="s">
        <v>832</v>
      </c>
      <c r="G539">
        <v>8.0500000000000007</v>
      </c>
      <c r="H539">
        <v>11.7</v>
      </c>
      <c r="I539">
        <v>17.45</v>
      </c>
      <c r="J539">
        <v>6.05</v>
      </c>
      <c r="K539">
        <v>43.25</v>
      </c>
      <c r="L539">
        <v>3.6211180120000002</v>
      </c>
      <c r="M539">
        <v>46</v>
      </c>
      <c r="N539">
        <v>58</v>
      </c>
      <c r="O539">
        <v>12</v>
      </c>
      <c r="P539">
        <v>64</v>
      </c>
      <c r="Q539">
        <v>18</v>
      </c>
      <c r="R539">
        <v>9</v>
      </c>
      <c r="S539">
        <v>65.099999999999994</v>
      </c>
      <c r="T539">
        <v>39.130434780000002</v>
      </c>
      <c r="U539">
        <v>10.34482759</v>
      </c>
      <c r="V539">
        <v>8</v>
      </c>
      <c r="W539">
        <v>11</v>
      </c>
      <c r="X539">
        <v>12</v>
      </c>
      <c r="Y539">
        <v>4</v>
      </c>
      <c r="Z539">
        <v>50</v>
      </c>
      <c r="AA539" t="s">
        <v>66</v>
      </c>
      <c r="AB539" t="s">
        <v>66</v>
      </c>
      <c r="AC539" t="s">
        <v>66</v>
      </c>
      <c r="AD539" t="s">
        <v>66</v>
      </c>
      <c r="AE539">
        <v>46</v>
      </c>
      <c r="AF539">
        <v>55</v>
      </c>
      <c r="AG539" t="s">
        <v>66</v>
      </c>
      <c r="AH539">
        <v>36</v>
      </c>
      <c r="AI539">
        <v>29</v>
      </c>
      <c r="AJ539" t="s">
        <v>66</v>
      </c>
      <c r="AK539">
        <v>18</v>
      </c>
      <c r="AL539">
        <v>21</v>
      </c>
      <c r="AM539">
        <v>27</v>
      </c>
      <c r="AN539">
        <v>25</v>
      </c>
      <c r="AO539">
        <v>-7.407407407</v>
      </c>
      <c r="AP539">
        <v>19.565217390000001</v>
      </c>
      <c r="AQ539">
        <v>1.703703704</v>
      </c>
      <c r="AR539">
        <v>2.2000000000000002</v>
      </c>
      <c r="AS539">
        <v>0.49629629600000003</v>
      </c>
      <c r="AT539">
        <v>0</v>
      </c>
      <c r="AU539" t="s">
        <v>66</v>
      </c>
      <c r="AV539">
        <v>0</v>
      </c>
      <c r="AW539">
        <v>0</v>
      </c>
      <c r="AX539">
        <v>0</v>
      </c>
      <c r="AY539">
        <v>1</v>
      </c>
      <c r="AZ539">
        <v>1</v>
      </c>
      <c r="BA539">
        <v>1</v>
      </c>
      <c r="BB539" t="s">
        <v>66</v>
      </c>
      <c r="BC539" t="s">
        <v>66</v>
      </c>
      <c r="BD539" t="s">
        <v>66</v>
      </c>
      <c r="BE539" t="s">
        <v>66</v>
      </c>
      <c r="BF539">
        <v>0</v>
      </c>
      <c r="BG539" t="s">
        <v>66</v>
      </c>
      <c r="BH539" t="s">
        <v>66</v>
      </c>
      <c r="BI539">
        <v>84</v>
      </c>
      <c r="BJ539">
        <v>15</v>
      </c>
      <c r="BK539" t="s">
        <v>66</v>
      </c>
      <c r="BL539">
        <v>76</v>
      </c>
      <c r="BM539">
        <v>44</v>
      </c>
      <c r="BN539">
        <v>15</v>
      </c>
      <c r="BO539">
        <f t="shared" si="82"/>
        <v>29.5</v>
      </c>
      <c r="BP539">
        <v>4</v>
      </c>
      <c r="BQ539">
        <v>1</v>
      </c>
      <c r="BS539">
        <v>0</v>
      </c>
      <c r="BT539">
        <f t="shared" si="83"/>
        <v>45.238095238095241</v>
      </c>
      <c r="BU539">
        <f t="shared" si="84"/>
        <v>46.666666666666664</v>
      </c>
      <c r="BV539">
        <f t="shared" si="85"/>
        <v>39.473684210526315</v>
      </c>
      <c r="BW539">
        <f t="shared" si="86"/>
        <v>8.4745762711864394</v>
      </c>
    </row>
    <row r="540" spans="1:75" x14ac:dyDescent="0.2">
      <c r="A540" t="s">
        <v>299</v>
      </c>
      <c r="B540" t="s">
        <v>300</v>
      </c>
      <c r="C540" t="s">
        <v>62</v>
      </c>
      <c r="D540" t="s">
        <v>603</v>
      </c>
      <c r="E540" t="s">
        <v>622</v>
      </c>
      <c r="F540" t="s">
        <v>833</v>
      </c>
      <c r="G540">
        <v>8.0500000000000007</v>
      </c>
      <c r="H540">
        <v>11.7</v>
      </c>
      <c r="I540">
        <v>17.45</v>
      </c>
      <c r="J540">
        <v>6.05</v>
      </c>
      <c r="K540">
        <v>43.25</v>
      </c>
      <c r="L540">
        <v>3.6211180120000002</v>
      </c>
      <c r="M540">
        <v>42</v>
      </c>
      <c r="N540">
        <v>51</v>
      </c>
      <c r="O540">
        <v>9</v>
      </c>
      <c r="P540">
        <v>57</v>
      </c>
      <c r="Q540">
        <v>15</v>
      </c>
      <c r="R540">
        <v>7.5</v>
      </c>
      <c r="S540">
        <v>62.1</v>
      </c>
      <c r="T540">
        <v>35.714285709999999</v>
      </c>
      <c r="U540">
        <v>11.764705879999999</v>
      </c>
      <c r="V540">
        <v>5</v>
      </c>
      <c r="W540">
        <v>5</v>
      </c>
      <c r="X540">
        <v>7</v>
      </c>
      <c r="Y540">
        <v>2</v>
      </c>
      <c r="Z540">
        <v>40</v>
      </c>
      <c r="AA540" t="s">
        <v>66</v>
      </c>
      <c r="AB540" t="s">
        <v>66</v>
      </c>
      <c r="AC540" t="s">
        <v>66</v>
      </c>
      <c r="AD540" t="s">
        <v>66</v>
      </c>
      <c r="AE540">
        <v>42</v>
      </c>
      <c r="AF540">
        <v>46</v>
      </c>
      <c r="AG540" t="s">
        <v>66</v>
      </c>
      <c r="AH540">
        <v>29</v>
      </c>
      <c r="AI540">
        <v>32</v>
      </c>
      <c r="AJ540" t="s">
        <v>66</v>
      </c>
      <c r="AK540">
        <v>15</v>
      </c>
      <c r="AL540">
        <v>21</v>
      </c>
      <c r="AM540">
        <v>22</v>
      </c>
      <c r="AN540">
        <v>26.5</v>
      </c>
      <c r="AO540">
        <v>20.454545450000001</v>
      </c>
      <c r="AP540">
        <v>9.5238095240000007</v>
      </c>
      <c r="AQ540">
        <v>1.9090909089999999</v>
      </c>
      <c r="AR540">
        <v>1.735849057</v>
      </c>
      <c r="AS540">
        <v>-0.173241852</v>
      </c>
      <c r="AT540">
        <v>0</v>
      </c>
      <c r="AU540" t="s">
        <v>66</v>
      </c>
      <c r="AV540">
        <v>0</v>
      </c>
      <c r="AW540">
        <v>0</v>
      </c>
      <c r="AX540">
        <v>0</v>
      </c>
      <c r="AY540">
        <v>1</v>
      </c>
      <c r="AZ540">
        <v>1</v>
      </c>
      <c r="BA540">
        <v>1</v>
      </c>
      <c r="BB540" t="s">
        <v>66</v>
      </c>
      <c r="BC540" t="s">
        <v>66</v>
      </c>
      <c r="BD540" t="s">
        <v>66</v>
      </c>
      <c r="BE540" t="s">
        <v>66</v>
      </c>
      <c r="BF540">
        <v>0</v>
      </c>
      <c r="BG540" t="s">
        <v>66</v>
      </c>
      <c r="BH540" t="s">
        <v>66</v>
      </c>
      <c r="BI540">
        <v>70</v>
      </c>
      <c r="BJ540">
        <v>8.9</v>
      </c>
      <c r="BK540" t="s">
        <v>66</v>
      </c>
      <c r="BL540">
        <v>59</v>
      </c>
      <c r="BM540">
        <v>35</v>
      </c>
      <c r="BN540">
        <v>16</v>
      </c>
      <c r="BO540">
        <f t="shared" si="82"/>
        <v>25.5</v>
      </c>
      <c r="BP540">
        <v>4</v>
      </c>
      <c r="BQ540">
        <v>1</v>
      </c>
      <c r="BS540">
        <v>0</v>
      </c>
      <c r="BT540">
        <f t="shared" si="83"/>
        <v>40</v>
      </c>
      <c r="BU540">
        <f t="shared" si="84"/>
        <v>43.820224719101127</v>
      </c>
      <c r="BV540">
        <f t="shared" si="85"/>
        <v>28.8135593220339</v>
      </c>
      <c r="BW540">
        <f t="shared" si="86"/>
        <v>13.725490196078432</v>
      </c>
    </row>
    <row r="541" spans="1:75" x14ac:dyDescent="0.2">
      <c r="A541" t="s">
        <v>299</v>
      </c>
      <c r="B541" t="s">
        <v>300</v>
      </c>
      <c r="C541" t="s">
        <v>62</v>
      </c>
      <c r="D541" t="s">
        <v>603</v>
      </c>
      <c r="E541" t="s">
        <v>624</v>
      </c>
      <c r="F541" t="s">
        <v>834</v>
      </c>
      <c r="G541">
        <v>8.0500000000000007</v>
      </c>
      <c r="H541">
        <v>11.7</v>
      </c>
      <c r="I541">
        <v>17.45</v>
      </c>
      <c r="J541">
        <v>6.05</v>
      </c>
      <c r="K541">
        <v>43.25</v>
      </c>
      <c r="L541">
        <v>3.6211180120000002</v>
      </c>
      <c r="M541">
        <v>23</v>
      </c>
      <c r="N541">
        <v>30</v>
      </c>
      <c r="O541">
        <v>7</v>
      </c>
      <c r="P541">
        <v>36</v>
      </c>
      <c r="Q541">
        <v>13</v>
      </c>
      <c r="R541">
        <v>6.5</v>
      </c>
      <c r="S541">
        <v>60.1</v>
      </c>
      <c r="T541">
        <v>56.52173913</v>
      </c>
      <c r="U541">
        <v>20</v>
      </c>
      <c r="V541">
        <v>3</v>
      </c>
      <c r="W541">
        <v>5</v>
      </c>
      <c r="X541">
        <v>6</v>
      </c>
      <c r="Y541">
        <v>3</v>
      </c>
      <c r="Z541">
        <v>100</v>
      </c>
      <c r="AA541" t="s">
        <v>66</v>
      </c>
      <c r="AB541" t="s">
        <v>66</v>
      </c>
      <c r="AC541" t="s">
        <v>66</v>
      </c>
      <c r="AD541" t="s">
        <v>66</v>
      </c>
      <c r="AE541">
        <v>27</v>
      </c>
      <c r="AF541">
        <v>29</v>
      </c>
      <c r="AG541" t="s">
        <v>66</v>
      </c>
      <c r="AH541">
        <v>17</v>
      </c>
      <c r="AI541">
        <v>17</v>
      </c>
      <c r="AJ541" t="s">
        <v>66</v>
      </c>
      <c r="AK541">
        <v>11</v>
      </c>
      <c r="AL541">
        <v>13</v>
      </c>
      <c r="AM541">
        <v>14</v>
      </c>
      <c r="AN541">
        <v>15</v>
      </c>
      <c r="AO541">
        <v>7.1428571429999996</v>
      </c>
      <c r="AP541">
        <v>7.407407407</v>
      </c>
      <c r="AQ541">
        <v>1.928571429</v>
      </c>
      <c r="AR541">
        <v>1.933333333</v>
      </c>
      <c r="AS541">
        <v>4.761904E-3</v>
      </c>
      <c r="AT541">
        <v>0</v>
      </c>
      <c r="AU541" t="s">
        <v>66</v>
      </c>
      <c r="AV541">
        <v>0</v>
      </c>
      <c r="AW541">
        <v>0</v>
      </c>
      <c r="AX541">
        <v>0</v>
      </c>
      <c r="AY541">
        <v>1</v>
      </c>
      <c r="AZ541">
        <v>1</v>
      </c>
      <c r="BA541">
        <v>1</v>
      </c>
      <c r="BB541" t="s">
        <v>66</v>
      </c>
      <c r="BC541" t="s">
        <v>66</v>
      </c>
      <c r="BD541" t="s">
        <v>66</v>
      </c>
      <c r="BE541" t="s">
        <v>66</v>
      </c>
      <c r="BF541">
        <v>0</v>
      </c>
      <c r="BG541" t="s">
        <v>66</v>
      </c>
      <c r="BH541" t="s">
        <v>66</v>
      </c>
      <c r="BI541">
        <v>47</v>
      </c>
      <c r="BJ541">
        <v>6.7</v>
      </c>
      <c r="BK541" t="s">
        <v>66</v>
      </c>
      <c r="BL541">
        <v>41</v>
      </c>
      <c r="BM541">
        <v>21</v>
      </c>
      <c r="BN541">
        <v>6</v>
      </c>
      <c r="BO541">
        <f t="shared" si="82"/>
        <v>13.5</v>
      </c>
      <c r="BP541">
        <v>4</v>
      </c>
      <c r="BQ541">
        <v>1</v>
      </c>
      <c r="BS541">
        <v>0</v>
      </c>
      <c r="BT541">
        <f t="shared" si="83"/>
        <v>51.063829787234042</v>
      </c>
      <c r="BU541">
        <f t="shared" si="84"/>
        <v>55.223880597014926</v>
      </c>
      <c r="BV541">
        <f t="shared" si="85"/>
        <v>34.146341463414636</v>
      </c>
      <c r="BW541">
        <f t="shared" si="86"/>
        <v>-3.7037037037037033</v>
      </c>
    </row>
    <row r="542" spans="1:75" x14ac:dyDescent="0.2">
      <c r="A542" t="s">
        <v>299</v>
      </c>
      <c r="B542" t="s">
        <v>300</v>
      </c>
      <c r="C542" t="s">
        <v>62</v>
      </c>
      <c r="D542" t="s">
        <v>603</v>
      </c>
      <c r="E542" t="s">
        <v>626</v>
      </c>
      <c r="F542" t="s">
        <v>835</v>
      </c>
      <c r="G542">
        <v>8.0500000000000007</v>
      </c>
      <c r="H542">
        <v>11.7</v>
      </c>
      <c r="I542">
        <v>17.45</v>
      </c>
      <c r="J542">
        <v>6.05</v>
      </c>
      <c r="K542">
        <v>43.25</v>
      </c>
      <c r="L542">
        <v>3.6211180120000002</v>
      </c>
      <c r="M542">
        <v>30</v>
      </c>
      <c r="N542">
        <v>40</v>
      </c>
      <c r="O542">
        <v>10</v>
      </c>
      <c r="P542">
        <v>46</v>
      </c>
      <c r="Q542">
        <v>16</v>
      </c>
      <c r="R542">
        <v>8</v>
      </c>
      <c r="S542">
        <v>63.1</v>
      </c>
      <c r="T542">
        <v>53.333333330000002</v>
      </c>
      <c r="U542">
        <v>15</v>
      </c>
      <c r="V542">
        <v>3</v>
      </c>
      <c r="W542">
        <v>5</v>
      </c>
      <c r="X542">
        <v>6</v>
      </c>
      <c r="Y542">
        <v>3</v>
      </c>
      <c r="Z542">
        <v>100</v>
      </c>
      <c r="AA542" t="s">
        <v>66</v>
      </c>
      <c r="AB542" t="s">
        <v>66</v>
      </c>
      <c r="AC542" t="s">
        <v>66</v>
      </c>
      <c r="AD542" t="s">
        <v>66</v>
      </c>
      <c r="AE542">
        <v>38</v>
      </c>
      <c r="AF542">
        <v>42</v>
      </c>
      <c r="AG542" t="s">
        <v>66</v>
      </c>
      <c r="AH542">
        <v>22</v>
      </c>
      <c r="AI542">
        <v>29</v>
      </c>
      <c r="AJ542" t="s">
        <v>66</v>
      </c>
      <c r="AK542">
        <v>17</v>
      </c>
      <c r="AL542">
        <v>21</v>
      </c>
      <c r="AM542">
        <v>19.5</v>
      </c>
      <c r="AN542">
        <v>25</v>
      </c>
      <c r="AO542">
        <v>28.205128210000002</v>
      </c>
      <c r="AP542">
        <v>10.52631579</v>
      </c>
      <c r="AQ542">
        <v>1.9487179489999999</v>
      </c>
      <c r="AR542">
        <v>1.68</v>
      </c>
      <c r="AS542">
        <v>-0.26871794900000001</v>
      </c>
      <c r="AT542">
        <v>0</v>
      </c>
      <c r="AU542" t="s">
        <v>66</v>
      </c>
      <c r="AV542">
        <v>0</v>
      </c>
      <c r="AW542">
        <v>0</v>
      </c>
      <c r="AX542">
        <v>0</v>
      </c>
      <c r="AY542">
        <v>1</v>
      </c>
      <c r="AZ542">
        <v>1</v>
      </c>
      <c r="BA542">
        <v>1</v>
      </c>
      <c r="BB542" t="s">
        <v>66</v>
      </c>
      <c r="BC542" t="s">
        <v>66</v>
      </c>
      <c r="BD542" t="s">
        <v>66</v>
      </c>
      <c r="BE542" t="s">
        <v>66</v>
      </c>
      <c r="BF542">
        <v>0</v>
      </c>
      <c r="BG542" t="s">
        <v>66</v>
      </c>
      <c r="BH542" t="s">
        <v>66</v>
      </c>
      <c r="BI542">
        <v>62</v>
      </c>
      <c r="BJ542">
        <v>8.5</v>
      </c>
      <c r="BK542" t="s">
        <v>66</v>
      </c>
      <c r="BL542">
        <v>55</v>
      </c>
      <c r="BM542">
        <v>33</v>
      </c>
      <c r="BN542">
        <v>22</v>
      </c>
      <c r="BO542">
        <f t="shared" si="82"/>
        <v>27.5</v>
      </c>
      <c r="BP542">
        <v>4</v>
      </c>
      <c r="BQ542">
        <v>1</v>
      </c>
      <c r="BS542">
        <v>0</v>
      </c>
      <c r="BT542">
        <f t="shared" si="83"/>
        <v>51.612903225806448</v>
      </c>
      <c r="BU542">
        <f t="shared" si="84"/>
        <v>64.705882352941174</v>
      </c>
      <c r="BV542">
        <f t="shared" si="85"/>
        <v>30.909090909090907</v>
      </c>
      <c r="BW542">
        <f t="shared" si="86"/>
        <v>29.09090909090909</v>
      </c>
    </row>
    <row r="543" spans="1:75" x14ac:dyDescent="0.2">
      <c r="A543" t="s">
        <v>299</v>
      </c>
      <c r="B543" t="s">
        <v>300</v>
      </c>
      <c r="C543" t="s">
        <v>62</v>
      </c>
      <c r="D543" t="s">
        <v>603</v>
      </c>
      <c r="E543" t="s">
        <v>628</v>
      </c>
      <c r="F543" t="s">
        <v>836</v>
      </c>
      <c r="G543">
        <v>8.0500000000000007</v>
      </c>
      <c r="H543">
        <v>11.7</v>
      </c>
      <c r="I543">
        <v>17.45</v>
      </c>
      <c r="J543">
        <v>6.05</v>
      </c>
      <c r="K543">
        <v>43.25</v>
      </c>
      <c r="L543">
        <v>3.6211180120000002</v>
      </c>
      <c r="M543">
        <v>45</v>
      </c>
      <c r="N543">
        <v>60</v>
      </c>
      <c r="O543">
        <v>15</v>
      </c>
      <c r="P543">
        <v>68</v>
      </c>
      <c r="Q543">
        <v>23</v>
      </c>
      <c r="R543">
        <v>11.5</v>
      </c>
      <c r="S543">
        <v>70.099999999999994</v>
      </c>
      <c r="T543">
        <v>51.111111110000003</v>
      </c>
      <c r="U543">
        <v>13.33333333</v>
      </c>
      <c r="V543">
        <v>6</v>
      </c>
      <c r="W543">
        <v>7</v>
      </c>
      <c r="X543">
        <v>9</v>
      </c>
      <c r="Y543">
        <v>3</v>
      </c>
      <c r="Z543">
        <v>50</v>
      </c>
      <c r="AA543" t="s">
        <v>66</v>
      </c>
      <c r="AB543" t="s">
        <v>66</v>
      </c>
      <c r="AC543" t="s">
        <v>66</v>
      </c>
      <c r="AD543" t="s">
        <v>66</v>
      </c>
      <c r="AE543">
        <v>50</v>
      </c>
      <c r="AF543">
        <v>58</v>
      </c>
      <c r="AG543" t="s">
        <v>66</v>
      </c>
      <c r="AH543">
        <v>35</v>
      </c>
      <c r="AI543">
        <v>36</v>
      </c>
      <c r="AJ543" t="s">
        <v>66</v>
      </c>
      <c r="AK543">
        <v>24</v>
      </c>
      <c r="AL543">
        <v>28</v>
      </c>
      <c r="AM543">
        <v>29.5</v>
      </c>
      <c r="AN543">
        <v>32</v>
      </c>
      <c r="AO543">
        <v>8.4745762710000001</v>
      </c>
      <c r="AP543">
        <v>16</v>
      </c>
      <c r="AQ543">
        <v>1.6949152540000001</v>
      </c>
      <c r="AR543">
        <v>1.8125</v>
      </c>
      <c r="AS543">
        <v>0.117584746</v>
      </c>
      <c r="AT543">
        <v>0</v>
      </c>
      <c r="AU543" t="s">
        <v>66</v>
      </c>
      <c r="AV543">
        <v>0</v>
      </c>
      <c r="AW543">
        <v>0</v>
      </c>
      <c r="AX543">
        <v>0</v>
      </c>
      <c r="AY543">
        <v>1</v>
      </c>
      <c r="AZ543">
        <v>1</v>
      </c>
      <c r="BA543">
        <v>1</v>
      </c>
      <c r="BB543" t="s">
        <v>66</v>
      </c>
      <c r="BC543" t="s">
        <v>66</v>
      </c>
      <c r="BD543" t="s">
        <v>66</v>
      </c>
      <c r="BE543" t="s">
        <v>66</v>
      </c>
      <c r="BF543">
        <v>0</v>
      </c>
      <c r="BG543" t="s">
        <v>66</v>
      </c>
      <c r="BH543" t="s">
        <v>66</v>
      </c>
      <c r="BI543">
        <v>91</v>
      </c>
      <c r="BJ543">
        <v>12.3</v>
      </c>
      <c r="BK543" t="s">
        <v>66</v>
      </c>
      <c r="BL543">
        <v>80</v>
      </c>
      <c r="BM543">
        <v>40</v>
      </c>
      <c r="BN543">
        <v>13</v>
      </c>
      <c r="BO543">
        <f t="shared" si="82"/>
        <v>26.5</v>
      </c>
      <c r="BP543">
        <v>4</v>
      </c>
      <c r="BQ543">
        <v>1</v>
      </c>
      <c r="BS543">
        <v>0</v>
      </c>
      <c r="BT543">
        <f t="shared" si="83"/>
        <v>50.549450549450547</v>
      </c>
      <c r="BU543">
        <f t="shared" si="84"/>
        <v>51.219512195121951</v>
      </c>
      <c r="BV543">
        <f t="shared" si="85"/>
        <v>37.5</v>
      </c>
      <c r="BW543">
        <f t="shared" si="86"/>
        <v>-11.320754716981133</v>
      </c>
    </row>
    <row r="544" spans="1:75" x14ac:dyDescent="0.2">
      <c r="A544" t="s">
        <v>299</v>
      </c>
      <c r="B544" t="s">
        <v>300</v>
      </c>
      <c r="C544" t="s">
        <v>62</v>
      </c>
      <c r="D544" t="s">
        <v>603</v>
      </c>
      <c r="E544" t="s">
        <v>630</v>
      </c>
      <c r="F544" t="s">
        <v>837</v>
      </c>
      <c r="G544">
        <v>8.0500000000000007</v>
      </c>
      <c r="H544">
        <v>11.7</v>
      </c>
      <c r="I544">
        <v>17.45</v>
      </c>
      <c r="J544">
        <v>6.05</v>
      </c>
      <c r="K544">
        <v>43.25</v>
      </c>
      <c r="L544">
        <v>3.6211180120000002</v>
      </c>
      <c r="M544">
        <v>32</v>
      </c>
      <c r="N544">
        <v>42</v>
      </c>
      <c r="O544">
        <v>10</v>
      </c>
      <c r="P544">
        <v>49</v>
      </c>
      <c r="Q544">
        <v>17</v>
      </c>
      <c r="R544">
        <v>8.5</v>
      </c>
      <c r="S544">
        <v>64.099999999999994</v>
      </c>
      <c r="T544">
        <v>53.125</v>
      </c>
      <c r="U544">
        <v>16.666666670000001</v>
      </c>
      <c r="V544">
        <v>5</v>
      </c>
      <c r="W544">
        <v>6</v>
      </c>
      <c r="X544">
        <v>4</v>
      </c>
      <c r="Y544">
        <v>-1</v>
      </c>
      <c r="Z544">
        <v>-20</v>
      </c>
      <c r="AA544" t="s">
        <v>66</v>
      </c>
      <c r="AB544" t="s">
        <v>66</v>
      </c>
      <c r="AC544" t="s">
        <v>66</v>
      </c>
      <c r="AD544" t="s">
        <v>66</v>
      </c>
      <c r="AE544">
        <v>35</v>
      </c>
      <c r="AF544">
        <v>46</v>
      </c>
      <c r="AG544" t="s">
        <v>66</v>
      </c>
      <c r="AH544">
        <v>23</v>
      </c>
      <c r="AI544">
        <v>30</v>
      </c>
      <c r="AJ544" t="s">
        <v>66</v>
      </c>
      <c r="AK544">
        <v>18</v>
      </c>
      <c r="AL544">
        <v>25</v>
      </c>
      <c r="AM544">
        <v>20.5</v>
      </c>
      <c r="AN544">
        <v>27.5</v>
      </c>
      <c r="AO544">
        <v>34.146341460000002</v>
      </c>
      <c r="AP544">
        <v>31.428571430000002</v>
      </c>
      <c r="AQ544">
        <v>1.707317073</v>
      </c>
      <c r="AR544">
        <v>1.672727273</v>
      </c>
      <c r="AS544">
        <v>-3.4589799999999997E-2</v>
      </c>
      <c r="AT544">
        <v>0</v>
      </c>
      <c r="AU544" t="s">
        <v>66</v>
      </c>
      <c r="AV544">
        <v>0</v>
      </c>
      <c r="AW544">
        <v>0</v>
      </c>
      <c r="AX544">
        <v>0</v>
      </c>
      <c r="AY544">
        <v>1</v>
      </c>
      <c r="AZ544">
        <v>1</v>
      </c>
      <c r="BA544">
        <v>1</v>
      </c>
      <c r="BB544" t="s">
        <v>66</v>
      </c>
      <c r="BC544" t="s">
        <v>66</v>
      </c>
      <c r="BD544" t="s">
        <v>66</v>
      </c>
      <c r="BE544" t="s">
        <v>66</v>
      </c>
      <c r="BF544">
        <v>0</v>
      </c>
      <c r="BG544" t="s">
        <v>66</v>
      </c>
      <c r="BH544" t="s">
        <v>66</v>
      </c>
      <c r="BI544">
        <v>64</v>
      </c>
      <c r="BJ544">
        <v>7.7</v>
      </c>
      <c r="BK544" t="s">
        <v>66</v>
      </c>
      <c r="BL544">
        <v>56</v>
      </c>
      <c r="BM544">
        <v>35</v>
      </c>
      <c r="BN544">
        <v>28</v>
      </c>
      <c r="BO544">
        <f t="shared" ref="BO544:BO575" si="87">AVERAGE(BM544,BN544)</f>
        <v>31.5</v>
      </c>
      <c r="BP544">
        <v>4</v>
      </c>
      <c r="BQ544">
        <v>1</v>
      </c>
      <c r="BS544">
        <v>0</v>
      </c>
      <c r="BT544">
        <f t="shared" ref="BT544:BT575" si="88">(BI544-M544)/BI544*100</f>
        <v>50</v>
      </c>
      <c r="BU544">
        <f t="shared" ref="BU544:BU575" si="89">(BJ544-V544)/BJ544*100</f>
        <v>35.064935064935064</v>
      </c>
      <c r="BV544">
        <f t="shared" ref="BV544:BV575" si="90">(BL544-AE544)/BL544*100</f>
        <v>37.5</v>
      </c>
      <c r="BW544">
        <f t="shared" ref="BW544:BW575" si="91">(BO544-AM544)/BO544*100</f>
        <v>34.920634920634917</v>
      </c>
    </row>
    <row r="545" spans="1:75" x14ac:dyDescent="0.2">
      <c r="A545" t="s">
        <v>299</v>
      </c>
      <c r="B545" t="s">
        <v>300</v>
      </c>
      <c r="C545" t="s">
        <v>62</v>
      </c>
      <c r="D545" t="s">
        <v>603</v>
      </c>
      <c r="E545" t="s">
        <v>632</v>
      </c>
      <c r="F545" t="s">
        <v>838</v>
      </c>
      <c r="G545">
        <v>8.0500000000000007</v>
      </c>
      <c r="H545">
        <v>11.7</v>
      </c>
      <c r="I545">
        <v>17.45</v>
      </c>
      <c r="J545">
        <v>6.05</v>
      </c>
      <c r="K545">
        <v>43.25</v>
      </c>
      <c r="L545">
        <v>3.6211180120000002</v>
      </c>
      <c r="M545">
        <v>34</v>
      </c>
      <c r="N545">
        <v>39</v>
      </c>
      <c r="O545">
        <v>5</v>
      </c>
      <c r="P545">
        <v>46</v>
      </c>
      <c r="Q545">
        <v>12</v>
      </c>
      <c r="R545">
        <v>6</v>
      </c>
      <c r="S545">
        <v>59.1</v>
      </c>
      <c r="T545">
        <v>35.294117649999997</v>
      </c>
      <c r="U545">
        <v>17.948717949999999</v>
      </c>
      <c r="V545">
        <v>4</v>
      </c>
      <c r="W545">
        <v>5</v>
      </c>
      <c r="X545">
        <v>6</v>
      </c>
      <c r="Y545">
        <v>2</v>
      </c>
      <c r="Z545">
        <v>50</v>
      </c>
      <c r="AA545" t="s">
        <v>66</v>
      </c>
      <c r="AB545" t="s">
        <v>66</v>
      </c>
      <c r="AC545" t="s">
        <v>66</v>
      </c>
      <c r="AD545" t="s">
        <v>66</v>
      </c>
      <c r="AE545">
        <v>34</v>
      </c>
      <c r="AF545">
        <v>43</v>
      </c>
      <c r="AG545" t="s">
        <v>66</v>
      </c>
      <c r="AH545">
        <v>21</v>
      </c>
      <c r="AI545">
        <v>24</v>
      </c>
      <c r="AJ545" t="s">
        <v>66</v>
      </c>
      <c r="AK545">
        <v>18</v>
      </c>
      <c r="AL545">
        <v>19</v>
      </c>
      <c r="AM545">
        <v>19.5</v>
      </c>
      <c r="AN545">
        <v>21.5</v>
      </c>
      <c r="AO545">
        <v>10.256410259999999</v>
      </c>
      <c r="AP545">
        <v>26.470588240000001</v>
      </c>
      <c r="AQ545">
        <v>1.7435897440000001</v>
      </c>
      <c r="AR545">
        <v>2</v>
      </c>
      <c r="AS545">
        <v>0.256410256</v>
      </c>
      <c r="AT545">
        <v>0</v>
      </c>
      <c r="AU545" t="s">
        <v>66</v>
      </c>
      <c r="AV545">
        <v>0</v>
      </c>
      <c r="AW545">
        <v>0</v>
      </c>
      <c r="AX545">
        <v>0</v>
      </c>
      <c r="AY545">
        <v>1</v>
      </c>
      <c r="AZ545">
        <v>1</v>
      </c>
      <c r="BA545">
        <v>1</v>
      </c>
      <c r="BB545" t="s">
        <v>66</v>
      </c>
      <c r="BC545" t="s">
        <v>66</v>
      </c>
      <c r="BD545" t="s">
        <v>66</v>
      </c>
      <c r="BE545" t="s">
        <v>66</v>
      </c>
      <c r="BF545">
        <v>0</v>
      </c>
      <c r="BG545" t="s">
        <v>66</v>
      </c>
      <c r="BH545" t="s">
        <v>66</v>
      </c>
      <c r="BI545">
        <v>64</v>
      </c>
      <c r="BJ545">
        <v>7.9</v>
      </c>
      <c r="BK545" t="s">
        <v>66</v>
      </c>
      <c r="BL545">
        <v>56</v>
      </c>
      <c r="BM545">
        <v>38</v>
      </c>
      <c r="BN545">
        <v>12</v>
      </c>
      <c r="BO545">
        <f t="shared" si="87"/>
        <v>25</v>
      </c>
      <c r="BP545">
        <v>4</v>
      </c>
      <c r="BQ545">
        <v>1</v>
      </c>
      <c r="BS545">
        <v>0</v>
      </c>
      <c r="BT545">
        <f t="shared" si="88"/>
        <v>46.875</v>
      </c>
      <c r="BU545">
        <f t="shared" si="89"/>
        <v>49.367088607594937</v>
      </c>
      <c r="BV545">
        <f t="shared" si="90"/>
        <v>39.285714285714285</v>
      </c>
      <c r="BW545">
        <f t="shared" si="91"/>
        <v>22</v>
      </c>
    </row>
    <row r="546" spans="1:75" x14ac:dyDescent="0.2">
      <c r="A546" t="s">
        <v>299</v>
      </c>
      <c r="B546" t="s">
        <v>300</v>
      </c>
      <c r="C546" t="s">
        <v>62</v>
      </c>
      <c r="D546" t="s">
        <v>603</v>
      </c>
      <c r="E546" t="s">
        <v>634</v>
      </c>
      <c r="F546" t="s">
        <v>839</v>
      </c>
      <c r="G546">
        <v>8.0500000000000007</v>
      </c>
      <c r="H546">
        <v>11.7</v>
      </c>
      <c r="I546">
        <v>17.45</v>
      </c>
      <c r="J546">
        <v>6.05</v>
      </c>
      <c r="K546">
        <v>43.25</v>
      </c>
      <c r="L546">
        <v>3.6211180120000002</v>
      </c>
      <c r="M546">
        <v>45</v>
      </c>
      <c r="N546">
        <v>54</v>
      </c>
      <c r="O546">
        <v>9</v>
      </c>
      <c r="P546">
        <v>61</v>
      </c>
      <c r="Q546">
        <v>16</v>
      </c>
      <c r="R546">
        <v>8</v>
      </c>
      <c r="S546">
        <v>63.1</v>
      </c>
      <c r="T546">
        <v>35.555555560000002</v>
      </c>
      <c r="U546">
        <v>12.96296296</v>
      </c>
      <c r="V546">
        <v>7</v>
      </c>
      <c r="W546">
        <v>7</v>
      </c>
      <c r="X546">
        <v>14</v>
      </c>
      <c r="Y546">
        <v>7</v>
      </c>
      <c r="Z546">
        <v>100</v>
      </c>
      <c r="AA546" t="s">
        <v>66</v>
      </c>
      <c r="AB546" t="s">
        <v>66</v>
      </c>
      <c r="AC546" t="s">
        <v>66</v>
      </c>
      <c r="AD546" t="s">
        <v>66</v>
      </c>
      <c r="AE546">
        <v>50</v>
      </c>
      <c r="AF546">
        <v>55</v>
      </c>
      <c r="AG546" t="s">
        <v>66</v>
      </c>
      <c r="AH546">
        <v>32</v>
      </c>
      <c r="AI546">
        <v>32</v>
      </c>
      <c r="AJ546" t="s">
        <v>66</v>
      </c>
      <c r="AK546">
        <v>21</v>
      </c>
      <c r="AL546">
        <v>30</v>
      </c>
      <c r="AM546">
        <v>26.5</v>
      </c>
      <c r="AN546">
        <v>31</v>
      </c>
      <c r="AO546">
        <v>16.981132079999998</v>
      </c>
      <c r="AP546">
        <v>10</v>
      </c>
      <c r="AQ546">
        <v>1.886792453</v>
      </c>
      <c r="AR546">
        <v>1.774193548</v>
      </c>
      <c r="AS546">
        <v>-0.112598905</v>
      </c>
      <c r="AT546">
        <v>0</v>
      </c>
      <c r="AU546" t="s">
        <v>66</v>
      </c>
      <c r="AV546">
        <v>0</v>
      </c>
      <c r="AW546">
        <v>0</v>
      </c>
      <c r="AX546">
        <v>0</v>
      </c>
      <c r="AY546">
        <v>1</v>
      </c>
      <c r="AZ546">
        <v>1</v>
      </c>
      <c r="BA546">
        <v>1</v>
      </c>
      <c r="BB546" t="s">
        <v>66</v>
      </c>
      <c r="BC546" t="s">
        <v>66</v>
      </c>
      <c r="BD546" t="s">
        <v>66</v>
      </c>
      <c r="BE546" t="s">
        <v>66</v>
      </c>
      <c r="BF546">
        <v>0</v>
      </c>
      <c r="BG546" t="s">
        <v>66</v>
      </c>
      <c r="BH546" t="s">
        <v>66</v>
      </c>
      <c r="BI546">
        <v>75</v>
      </c>
      <c r="BJ546">
        <v>9.6</v>
      </c>
      <c r="BK546" t="s">
        <v>66</v>
      </c>
      <c r="BL546">
        <v>66</v>
      </c>
      <c r="BM546">
        <v>36</v>
      </c>
      <c r="BN546">
        <v>26</v>
      </c>
      <c r="BO546">
        <f t="shared" si="87"/>
        <v>31</v>
      </c>
      <c r="BP546">
        <v>4</v>
      </c>
      <c r="BQ546">
        <v>1</v>
      </c>
      <c r="BS546">
        <v>0</v>
      </c>
      <c r="BT546">
        <f t="shared" si="88"/>
        <v>40</v>
      </c>
      <c r="BU546">
        <f t="shared" si="89"/>
        <v>27.083333333333332</v>
      </c>
      <c r="BV546">
        <f t="shared" si="90"/>
        <v>24.242424242424242</v>
      </c>
      <c r="BW546">
        <f t="shared" si="91"/>
        <v>14.516129032258066</v>
      </c>
    </row>
    <row r="547" spans="1:75" x14ac:dyDescent="0.2">
      <c r="A547" t="s">
        <v>299</v>
      </c>
      <c r="B547" t="s">
        <v>300</v>
      </c>
      <c r="C547" t="s">
        <v>62</v>
      </c>
      <c r="D547" t="s">
        <v>603</v>
      </c>
      <c r="E547" t="s">
        <v>636</v>
      </c>
      <c r="F547" t="s">
        <v>840</v>
      </c>
      <c r="G547">
        <v>8.0500000000000007</v>
      </c>
      <c r="H547">
        <v>11.7</v>
      </c>
      <c r="I547">
        <v>17.45</v>
      </c>
      <c r="J547">
        <v>6.05</v>
      </c>
      <c r="K547">
        <v>43.25</v>
      </c>
      <c r="L547">
        <v>3.6211180120000002</v>
      </c>
      <c r="M547">
        <v>11</v>
      </c>
      <c r="N547">
        <v>18</v>
      </c>
      <c r="O547">
        <v>7</v>
      </c>
      <c r="P547">
        <v>21</v>
      </c>
      <c r="Q547">
        <v>10</v>
      </c>
      <c r="R547">
        <v>5</v>
      </c>
      <c r="S547">
        <v>57.1</v>
      </c>
      <c r="T547">
        <v>90.909090910000003</v>
      </c>
      <c r="U547">
        <v>16.666666670000001</v>
      </c>
      <c r="V547">
        <v>2</v>
      </c>
      <c r="W547">
        <v>4</v>
      </c>
      <c r="X547">
        <v>4</v>
      </c>
      <c r="Y547">
        <v>2</v>
      </c>
      <c r="Z547">
        <v>100</v>
      </c>
      <c r="AA547" t="s">
        <v>66</v>
      </c>
      <c r="AB547" t="s">
        <v>66</v>
      </c>
      <c r="AC547" t="s">
        <v>66</v>
      </c>
      <c r="AD547" t="s">
        <v>66</v>
      </c>
      <c r="AE547">
        <v>14</v>
      </c>
      <c r="AF547">
        <v>19</v>
      </c>
      <c r="AG547" t="s">
        <v>66</v>
      </c>
      <c r="AH547">
        <v>12</v>
      </c>
      <c r="AI547">
        <v>12</v>
      </c>
      <c r="AJ547" t="s">
        <v>66</v>
      </c>
      <c r="AK547">
        <v>8</v>
      </c>
      <c r="AL547">
        <v>8</v>
      </c>
      <c r="AM547">
        <v>10</v>
      </c>
      <c r="AN547">
        <v>10</v>
      </c>
      <c r="AO547">
        <v>0</v>
      </c>
      <c r="AP547">
        <v>35.714285709999999</v>
      </c>
      <c r="AQ547">
        <v>1.4</v>
      </c>
      <c r="AR547">
        <v>1.9</v>
      </c>
      <c r="AS547">
        <v>0.5</v>
      </c>
      <c r="AT547">
        <v>0</v>
      </c>
      <c r="AU547" t="s">
        <v>66</v>
      </c>
      <c r="AV547">
        <v>0</v>
      </c>
      <c r="AW547">
        <v>0</v>
      </c>
      <c r="AX547">
        <v>0</v>
      </c>
      <c r="AY547">
        <v>1</v>
      </c>
      <c r="AZ547">
        <v>1</v>
      </c>
      <c r="BA547">
        <v>1</v>
      </c>
      <c r="BB547" t="s">
        <v>66</v>
      </c>
      <c r="BC547" t="s">
        <v>66</v>
      </c>
      <c r="BD547" t="s">
        <v>66</v>
      </c>
      <c r="BE547" t="s">
        <v>66</v>
      </c>
      <c r="BF547">
        <v>0</v>
      </c>
      <c r="BG547" t="s">
        <v>66</v>
      </c>
      <c r="BH547" t="s">
        <v>66</v>
      </c>
      <c r="BI547">
        <v>28</v>
      </c>
      <c r="BJ547">
        <v>4</v>
      </c>
      <c r="BK547" t="s">
        <v>66</v>
      </c>
      <c r="BL547">
        <v>20</v>
      </c>
      <c r="BM547">
        <v>15</v>
      </c>
      <c r="BN547">
        <v>7</v>
      </c>
      <c r="BO547">
        <f t="shared" si="87"/>
        <v>11</v>
      </c>
      <c r="BP547">
        <v>4</v>
      </c>
      <c r="BQ547">
        <v>1</v>
      </c>
      <c r="BS547">
        <v>0</v>
      </c>
      <c r="BT547">
        <f t="shared" si="88"/>
        <v>60.714285714285708</v>
      </c>
      <c r="BU547">
        <f t="shared" si="89"/>
        <v>50</v>
      </c>
      <c r="BV547">
        <f t="shared" si="90"/>
        <v>30</v>
      </c>
      <c r="BW547">
        <f t="shared" si="91"/>
        <v>9.0909090909090917</v>
      </c>
    </row>
    <row r="548" spans="1:75" x14ac:dyDescent="0.2">
      <c r="A548" t="s">
        <v>299</v>
      </c>
      <c r="B548" t="s">
        <v>300</v>
      </c>
      <c r="C548" t="s">
        <v>62</v>
      </c>
      <c r="D548" t="s">
        <v>603</v>
      </c>
      <c r="E548" t="s">
        <v>638</v>
      </c>
      <c r="F548" t="s">
        <v>841</v>
      </c>
      <c r="G548">
        <v>8.0500000000000007</v>
      </c>
      <c r="H548">
        <v>11.7</v>
      </c>
      <c r="I548">
        <v>17.45</v>
      </c>
      <c r="J548">
        <v>6.05</v>
      </c>
      <c r="K548">
        <v>43.25</v>
      </c>
      <c r="L548">
        <v>3.6211180120000002</v>
      </c>
      <c r="M548">
        <v>24</v>
      </c>
      <c r="N548">
        <v>35</v>
      </c>
      <c r="O548">
        <v>11</v>
      </c>
      <c r="P548">
        <v>39</v>
      </c>
      <c r="Q548">
        <v>15</v>
      </c>
      <c r="R548">
        <v>7.5</v>
      </c>
      <c r="S548">
        <v>62.1</v>
      </c>
      <c r="T548">
        <v>62.5</v>
      </c>
      <c r="U548">
        <v>11.42857143</v>
      </c>
      <c r="V548">
        <v>4</v>
      </c>
      <c r="W548">
        <v>5</v>
      </c>
      <c r="X548">
        <v>7</v>
      </c>
      <c r="Y548">
        <v>3</v>
      </c>
      <c r="Z548">
        <v>75</v>
      </c>
      <c r="AA548" t="s">
        <v>66</v>
      </c>
      <c r="AB548" t="s">
        <v>66</v>
      </c>
      <c r="AC548" t="s">
        <v>66</v>
      </c>
      <c r="AD548" t="s">
        <v>66</v>
      </c>
      <c r="AE548">
        <v>32</v>
      </c>
      <c r="AF548">
        <v>35</v>
      </c>
      <c r="AG548" t="s">
        <v>66</v>
      </c>
      <c r="AH548">
        <v>24</v>
      </c>
      <c r="AI548">
        <v>28</v>
      </c>
      <c r="AJ548" t="s">
        <v>66</v>
      </c>
      <c r="AK548">
        <v>20</v>
      </c>
      <c r="AL548">
        <v>27</v>
      </c>
      <c r="AM548">
        <v>22</v>
      </c>
      <c r="AN548">
        <v>27.5</v>
      </c>
      <c r="AO548">
        <v>25</v>
      </c>
      <c r="AP548">
        <v>9.375</v>
      </c>
      <c r="AQ548">
        <v>1.4545454550000001</v>
      </c>
      <c r="AR548">
        <v>1.2727272730000001</v>
      </c>
      <c r="AS548">
        <v>-0.18181818199999999</v>
      </c>
      <c r="AT548">
        <v>0</v>
      </c>
      <c r="AU548" t="s">
        <v>66</v>
      </c>
      <c r="AV548">
        <v>0</v>
      </c>
      <c r="AW548">
        <v>0</v>
      </c>
      <c r="AX548">
        <v>0</v>
      </c>
      <c r="AY548">
        <v>1</v>
      </c>
      <c r="AZ548">
        <v>1</v>
      </c>
      <c r="BA548">
        <v>1</v>
      </c>
      <c r="BB548" t="s">
        <v>66</v>
      </c>
      <c r="BC548" t="s">
        <v>66</v>
      </c>
      <c r="BD548" t="s">
        <v>66</v>
      </c>
      <c r="BE548" t="s">
        <v>66</v>
      </c>
      <c r="BF548">
        <v>0</v>
      </c>
      <c r="BG548" t="s">
        <v>66</v>
      </c>
      <c r="BH548" t="s">
        <v>66</v>
      </c>
      <c r="BI548">
        <v>52</v>
      </c>
      <c r="BJ548">
        <v>6</v>
      </c>
      <c r="BK548" t="s">
        <v>66</v>
      </c>
      <c r="BL548">
        <v>44</v>
      </c>
      <c r="BM548">
        <v>22</v>
      </c>
      <c r="BN548">
        <v>10</v>
      </c>
      <c r="BO548">
        <f t="shared" si="87"/>
        <v>16</v>
      </c>
      <c r="BP548">
        <v>4</v>
      </c>
      <c r="BQ548">
        <v>1</v>
      </c>
      <c r="BS548">
        <v>0</v>
      </c>
      <c r="BT548">
        <f t="shared" si="88"/>
        <v>53.846153846153847</v>
      </c>
      <c r="BU548">
        <f t="shared" si="89"/>
        <v>33.333333333333329</v>
      </c>
      <c r="BV548">
        <f t="shared" si="90"/>
        <v>27.27272727272727</v>
      </c>
      <c r="BW548">
        <f t="shared" si="91"/>
        <v>-37.5</v>
      </c>
    </row>
    <row r="549" spans="1:75" x14ac:dyDescent="0.2">
      <c r="A549" t="s">
        <v>299</v>
      </c>
      <c r="B549" t="s">
        <v>300</v>
      </c>
      <c r="C549" t="s">
        <v>62</v>
      </c>
      <c r="D549" t="s">
        <v>603</v>
      </c>
      <c r="E549" t="s">
        <v>640</v>
      </c>
      <c r="F549" t="s">
        <v>842</v>
      </c>
      <c r="G549">
        <v>8.0500000000000007</v>
      </c>
      <c r="H549">
        <v>11.7</v>
      </c>
      <c r="I549">
        <v>17.45</v>
      </c>
      <c r="J549">
        <v>6.05</v>
      </c>
      <c r="K549">
        <v>43.25</v>
      </c>
      <c r="L549">
        <v>3.6211180120000002</v>
      </c>
      <c r="M549">
        <v>17</v>
      </c>
      <c r="N549">
        <v>40</v>
      </c>
      <c r="O549">
        <v>23</v>
      </c>
      <c r="P549">
        <v>44</v>
      </c>
      <c r="Q549">
        <v>27</v>
      </c>
      <c r="R549">
        <v>13.5</v>
      </c>
      <c r="S549">
        <v>74.099999999999994</v>
      </c>
      <c r="T549">
        <v>158.82352940000001</v>
      </c>
      <c r="U549">
        <v>10</v>
      </c>
      <c r="V549">
        <v>5</v>
      </c>
      <c r="W549">
        <v>6</v>
      </c>
      <c r="X549">
        <v>8</v>
      </c>
      <c r="Y549">
        <v>3</v>
      </c>
      <c r="Z549">
        <v>60</v>
      </c>
      <c r="AA549" t="s">
        <v>66</v>
      </c>
      <c r="AB549" t="s">
        <v>66</v>
      </c>
      <c r="AC549" t="s">
        <v>66</v>
      </c>
      <c r="AD549" t="s">
        <v>66</v>
      </c>
      <c r="AE549">
        <v>37</v>
      </c>
      <c r="AF549">
        <v>39</v>
      </c>
      <c r="AG549" t="s">
        <v>66</v>
      </c>
      <c r="AH549">
        <v>20</v>
      </c>
      <c r="AI549">
        <v>24</v>
      </c>
      <c r="AJ549" t="s">
        <v>66</v>
      </c>
      <c r="AK549">
        <v>14</v>
      </c>
      <c r="AL549">
        <v>20</v>
      </c>
      <c r="AM549">
        <v>17</v>
      </c>
      <c r="AN549">
        <v>22</v>
      </c>
      <c r="AO549">
        <v>29.41176471</v>
      </c>
      <c r="AP549">
        <v>5.4054054049999998</v>
      </c>
      <c r="AQ549">
        <v>2.1764705879999999</v>
      </c>
      <c r="AR549">
        <v>1.7727272730000001</v>
      </c>
      <c r="AS549">
        <v>-0.40374331499999999</v>
      </c>
      <c r="AT549">
        <v>0</v>
      </c>
      <c r="AU549" t="s">
        <v>66</v>
      </c>
      <c r="AV549">
        <v>0</v>
      </c>
      <c r="AW549">
        <v>0</v>
      </c>
      <c r="AX549">
        <v>0</v>
      </c>
      <c r="AY549">
        <v>1</v>
      </c>
      <c r="AZ549">
        <v>1</v>
      </c>
      <c r="BA549">
        <v>1</v>
      </c>
      <c r="BB549" t="s">
        <v>66</v>
      </c>
      <c r="BC549" t="s">
        <v>66</v>
      </c>
      <c r="BD549" t="s">
        <v>66</v>
      </c>
      <c r="BE549" t="s">
        <v>66</v>
      </c>
      <c r="BF549">
        <v>0</v>
      </c>
      <c r="BG549" t="s">
        <v>66</v>
      </c>
      <c r="BH549" t="s">
        <v>66</v>
      </c>
      <c r="BI549">
        <v>64</v>
      </c>
      <c r="BJ549">
        <v>7.7</v>
      </c>
      <c r="BK549" t="s">
        <v>66</v>
      </c>
      <c r="BL549">
        <v>55</v>
      </c>
      <c r="BM549">
        <v>54</v>
      </c>
      <c r="BN549">
        <v>36</v>
      </c>
      <c r="BO549">
        <f t="shared" si="87"/>
        <v>45</v>
      </c>
      <c r="BP549">
        <v>4</v>
      </c>
      <c r="BQ549">
        <v>1</v>
      </c>
      <c r="BS549">
        <v>0</v>
      </c>
      <c r="BT549">
        <f t="shared" si="88"/>
        <v>73.4375</v>
      </c>
      <c r="BU549">
        <f t="shared" si="89"/>
        <v>35.064935064935064</v>
      </c>
      <c r="BV549">
        <f t="shared" si="90"/>
        <v>32.727272727272727</v>
      </c>
      <c r="BW549">
        <f t="shared" si="91"/>
        <v>62.222222222222221</v>
      </c>
    </row>
    <row r="550" spans="1:75" x14ac:dyDescent="0.2">
      <c r="A550" t="s">
        <v>299</v>
      </c>
      <c r="B550" t="s">
        <v>300</v>
      </c>
      <c r="C550" t="s">
        <v>62</v>
      </c>
      <c r="D550" t="s">
        <v>603</v>
      </c>
      <c r="E550" t="s">
        <v>642</v>
      </c>
      <c r="F550" t="s">
        <v>843</v>
      </c>
      <c r="G550">
        <v>8.0500000000000007</v>
      </c>
      <c r="H550">
        <v>11.7</v>
      </c>
      <c r="I550">
        <v>17.45</v>
      </c>
      <c r="J550">
        <v>6.05</v>
      </c>
      <c r="K550">
        <v>43.25</v>
      </c>
      <c r="L550">
        <v>3.6211180120000002</v>
      </c>
      <c r="M550">
        <v>23</v>
      </c>
      <c r="N550">
        <v>71</v>
      </c>
      <c r="O550">
        <v>48</v>
      </c>
      <c r="P550">
        <v>88</v>
      </c>
      <c r="Q550">
        <v>65</v>
      </c>
      <c r="R550">
        <v>32.5</v>
      </c>
      <c r="S550">
        <v>112.1</v>
      </c>
      <c r="T550">
        <v>282.6086957</v>
      </c>
      <c r="U550">
        <v>23.943661970000001</v>
      </c>
      <c r="V550">
        <v>5</v>
      </c>
      <c r="W550">
        <v>10</v>
      </c>
      <c r="X550">
        <v>12</v>
      </c>
      <c r="Y550">
        <v>7</v>
      </c>
      <c r="Z550">
        <v>140</v>
      </c>
      <c r="AA550" t="s">
        <v>66</v>
      </c>
      <c r="AB550" t="s">
        <v>66</v>
      </c>
      <c r="AC550" t="s">
        <v>66</v>
      </c>
      <c r="AD550" t="s">
        <v>66</v>
      </c>
      <c r="AE550">
        <v>65</v>
      </c>
      <c r="AF550">
        <v>76</v>
      </c>
      <c r="AG550" t="s">
        <v>66</v>
      </c>
      <c r="AH550">
        <v>35</v>
      </c>
      <c r="AI550">
        <v>41</v>
      </c>
      <c r="AJ550" t="s">
        <v>66</v>
      </c>
      <c r="AK550">
        <v>26</v>
      </c>
      <c r="AL550">
        <v>32</v>
      </c>
      <c r="AM550">
        <v>30.5</v>
      </c>
      <c r="AN550">
        <v>36.5</v>
      </c>
      <c r="AO550">
        <v>19.672131149999998</v>
      </c>
      <c r="AP550">
        <v>16.92307692</v>
      </c>
      <c r="AQ550">
        <v>2.1311475409999998</v>
      </c>
      <c r="AR550">
        <v>2.0821917810000001</v>
      </c>
      <c r="AS550">
        <v>-4.8955760000000001E-2</v>
      </c>
      <c r="AT550">
        <v>0</v>
      </c>
      <c r="AU550" t="s">
        <v>66</v>
      </c>
      <c r="AV550">
        <v>0</v>
      </c>
      <c r="AW550">
        <v>0</v>
      </c>
      <c r="AX550">
        <v>0</v>
      </c>
      <c r="AY550">
        <v>1</v>
      </c>
      <c r="AZ550">
        <v>1</v>
      </c>
      <c r="BA550">
        <v>1</v>
      </c>
      <c r="BB550" t="s">
        <v>66</v>
      </c>
      <c r="BC550" t="s">
        <v>66</v>
      </c>
      <c r="BD550" t="s">
        <v>66</v>
      </c>
      <c r="BE550" t="s">
        <v>66</v>
      </c>
      <c r="BF550">
        <v>0</v>
      </c>
      <c r="BG550" t="s">
        <v>66</v>
      </c>
      <c r="BH550" t="s">
        <v>66</v>
      </c>
      <c r="BI550">
        <v>135</v>
      </c>
      <c r="BJ550">
        <v>6</v>
      </c>
      <c r="BK550" t="s">
        <v>66</v>
      </c>
      <c r="BL550">
        <v>129</v>
      </c>
      <c r="BM550">
        <v>54</v>
      </c>
      <c r="BN550">
        <v>36</v>
      </c>
      <c r="BO550">
        <f t="shared" si="87"/>
        <v>45</v>
      </c>
      <c r="BP550">
        <v>4</v>
      </c>
      <c r="BQ550">
        <v>1</v>
      </c>
      <c r="BS550">
        <v>0</v>
      </c>
      <c r="BT550">
        <f t="shared" si="88"/>
        <v>82.962962962962962</v>
      </c>
      <c r="BU550">
        <f t="shared" si="89"/>
        <v>16.666666666666664</v>
      </c>
      <c r="BV550">
        <f t="shared" si="90"/>
        <v>49.612403100775197</v>
      </c>
      <c r="BW550">
        <f t="shared" si="91"/>
        <v>32.222222222222221</v>
      </c>
    </row>
    <row r="551" spans="1:75" x14ac:dyDescent="0.2">
      <c r="A551" t="s">
        <v>60</v>
      </c>
      <c r="B551" t="s">
        <v>105</v>
      </c>
      <c r="C551" t="s">
        <v>106</v>
      </c>
      <c r="D551" t="s">
        <v>603</v>
      </c>
      <c r="E551" t="s">
        <v>604</v>
      </c>
      <c r="F551" t="s">
        <v>644</v>
      </c>
      <c r="G551">
        <v>1.25</v>
      </c>
      <c r="H551">
        <v>2.85</v>
      </c>
      <c r="I551">
        <v>3.35</v>
      </c>
      <c r="J551">
        <v>2.4500000000000002</v>
      </c>
      <c r="K551">
        <v>9.9</v>
      </c>
      <c r="L551">
        <v>4.96</v>
      </c>
      <c r="M551">
        <v>6</v>
      </c>
      <c r="N551">
        <v>7</v>
      </c>
      <c r="O551">
        <v>1</v>
      </c>
      <c r="P551">
        <v>12</v>
      </c>
      <c r="Q551">
        <v>6</v>
      </c>
      <c r="R551">
        <v>3</v>
      </c>
      <c r="S551">
        <v>53.1</v>
      </c>
      <c r="T551">
        <v>100</v>
      </c>
      <c r="U551">
        <v>71.428571430000005</v>
      </c>
      <c r="V551">
        <v>1</v>
      </c>
      <c r="W551">
        <v>1</v>
      </c>
      <c r="X551">
        <v>2</v>
      </c>
      <c r="Y551">
        <v>1</v>
      </c>
      <c r="Z551">
        <v>100</v>
      </c>
      <c r="AA551" t="s">
        <v>66</v>
      </c>
      <c r="AB551" t="s">
        <v>66</v>
      </c>
      <c r="AC551" t="s">
        <v>66</v>
      </c>
      <c r="AD551" t="s">
        <v>66</v>
      </c>
      <c r="AE551">
        <v>3</v>
      </c>
      <c r="AF551">
        <v>5</v>
      </c>
      <c r="AG551" t="s">
        <v>66</v>
      </c>
      <c r="AH551">
        <v>3</v>
      </c>
      <c r="AI551">
        <v>3</v>
      </c>
      <c r="AJ551" t="s">
        <v>66</v>
      </c>
      <c r="AK551">
        <v>1.5</v>
      </c>
      <c r="AL551">
        <v>2</v>
      </c>
      <c r="AM551">
        <v>2.25</v>
      </c>
      <c r="AN551">
        <v>2.5</v>
      </c>
      <c r="AO551">
        <v>11.11111111</v>
      </c>
      <c r="AP551">
        <v>66.666666669999998</v>
      </c>
      <c r="AQ551">
        <v>1.3333333329999999</v>
      </c>
      <c r="AR551">
        <v>2</v>
      </c>
      <c r="AS551">
        <v>0.66666666699999999</v>
      </c>
      <c r="AT551">
        <v>0</v>
      </c>
      <c r="AU551" t="s">
        <v>66</v>
      </c>
      <c r="AV551">
        <v>0</v>
      </c>
      <c r="AW551">
        <v>0</v>
      </c>
      <c r="AX551">
        <v>0</v>
      </c>
      <c r="AY551">
        <v>1</v>
      </c>
      <c r="AZ551">
        <v>1</v>
      </c>
      <c r="BA551">
        <v>1</v>
      </c>
      <c r="BB551" t="s">
        <v>66</v>
      </c>
      <c r="BC551" t="s">
        <v>66</v>
      </c>
      <c r="BD551" t="s">
        <v>66</v>
      </c>
      <c r="BE551" t="s">
        <v>66</v>
      </c>
      <c r="BF551">
        <v>0</v>
      </c>
      <c r="BG551" t="s">
        <v>66</v>
      </c>
      <c r="BH551" t="s">
        <v>66</v>
      </c>
      <c r="BI551">
        <v>13</v>
      </c>
      <c r="BJ551">
        <v>2.2000000000000002</v>
      </c>
      <c r="BK551" t="s">
        <v>66</v>
      </c>
      <c r="BL551">
        <v>9</v>
      </c>
      <c r="BM551">
        <v>7</v>
      </c>
      <c r="BN551">
        <v>4</v>
      </c>
      <c r="BO551">
        <f t="shared" si="87"/>
        <v>5.5</v>
      </c>
      <c r="BP551">
        <v>4</v>
      </c>
      <c r="BQ551">
        <v>1</v>
      </c>
      <c r="BS551">
        <v>0</v>
      </c>
      <c r="BT551">
        <f t="shared" si="88"/>
        <v>53.846153846153847</v>
      </c>
      <c r="BU551">
        <f t="shared" si="89"/>
        <v>54.545454545454554</v>
      </c>
      <c r="BV551">
        <f t="shared" si="90"/>
        <v>66.666666666666657</v>
      </c>
      <c r="BW551">
        <f t="shared" si="91"/>
        <v>59.090909090909093</v>
      </c>
    </row>
    <row r="552" spans="1:75" x14ac:dyDescent="0.2">
      <c r="A552" t="s">
        <v>60</v>
      </c>
      <c r="B552" t="s">
        <v>105</v>
      </c>
      <c r="C552" t="s">
        <v>106</v>
      </c>
      <c r="D552" t="s">
        <v>603</v>
      </c>
      <c r="E552" t="s">
        <v>606</v>
      </c>
      <c r="F552" t="s">
        <v>645</v>
      </c>
      <c r="G552">
        <v>1.25</v>
      </c>
      <c r="H552">
        <v>2.85</v>
      </c>
      <c r="I552">
        <v>3.35</v>
      </c>
      <c r="J552">
        <v>2.4500000000000002</v>
      </c>
      <c r="K552">
        <v>9.9</v>
      </c>
      <c r="L552">
        <v>4.96</v>
      </c>
      <c r="M552">
        <v>15</v>
      </c>
      <c r="N552">
        <v>18</v>
      </c>
      <c r="O552">
        <v>3</v>
      </c>
      <c r="P552">
        <v>22</v>
      </c>
      <c r="Q552">
        <v>7</v>
      </c>
      <c r="R552">
        <v>3.5</v>
      </c>
      <c r="S552">
        <v>54.1</v>
      </c>
      <c r="T552">
        <v>46.666666669999998</v>
      </c>
      <c r="U552">
        <v>22.222222219999999</v>
      </c>
      <c r="V552">
        <v>3</v>
      </c>
      <c r="W552">
        <v>3</v>
      </c>
      <c r="X552">
        <v>3</v>
      </c>
      <c r="Y552">
        <v>0</v>
      </c>
      <c r="Z552">
        <v>0</v>
      </c>
      <c r="AA552" t="s">
        <v>66</v>
      </c>
      <c r="AB552" t="s">
        <v>66</v>
      </c>
      <c r="AC552" t="s">
        <v>66</v>
      </c>
      <c r="AD552" t="s">
        <v>66</v>
      </c>
      <c r="AE552">
        <v>13</v>
      </c>
      <c r="AF552">
        <v>16</v>
      </c>
      <c r="AG552" t="s">
        <v>66</v>
      </c>
      <c r="AH552">
        <v>10</v>
      </c>
      <c r="AI552">
        <v>12</v>
      </c>
      <c r="AJ552" t="s">
        <v>66</v>
      </c>
      <c r="AK552">
        <v>8</v>
      </c>
      <c r="AL552">
        <v>10</v>
      </c>
      <c r="AM552">
        <v>9</v>
      </c>
      <c r="AN552">
        <v>11</v>
      </c>
      <c r="AO552">
        <v>22.222222219999999</v>
      </c>
      <c r="AP552">
        <v>23.07692308</v>
      </c>
      <c r="AQ552">
        <v>1.4444444439999999</v>
      </c>
      <c r="AR552">
        <v>1.4545454550000001</v>
      </c>
      <c r="AS552">
        <v>1.0101011E-2</v>
      </c>
      <c r="AT552">
        <v>0</v>
      </c>
      <c r="AU552" t="s">
        <v>66</v>
      </c>
      <c r="AV552">
        <v>0</v>
      </c>
      <c r="AW552">
        <v>0</v>
      </c>
      <c r="AX552">
        <v>0</v>
      </c>
      <c r="AY552">
        <v>1</v>
      </c>
      <c r="AZ552">
        <v>1</v>
      </c>
      <c r="BA552">
        <v>1</v>
      </c>
      <c r="BB552" t="s">
        <v>66</v>
      </c>
      <c r="BC552" t="s">
        <v>66</v>
      </c>
      <c r="BD552" t="s">
        <v>66</v>
      </c>
      <c r="BE552" t="s">
        <v>66</v>
      </c>
      <c r="BF552">
        <v>0</v>
      </c>
      <c r="BG552" t="s">
        <v>66</v>
      </c>
      <c r="BH552" t="s">
        <v>66</v>
      </c>
      <c r="BI552">
        <v>27</v>
      </c>
      <c r="BJ552">
        <v>3.4</v>
      </c>
      <c r="BK552" t="s">
        <v>66</v>
      </c>
      <c r="BL552">
        <v>20</v>
      </c>
      <c r="BM552">
        <v>14</v>
      </c>
      <c r="BN552">
        <v>8</v>
      </c>
      <c r="BO552">
        <f t="shared" si="87"/>
        <v>11</v>
      </c>
      <c r="BP552">
        <v>4</v>
      </c>
      <c r="BQ552">
        <v>1</v>
      </c>
      <c r="BS552">
        <v>0</v>
      </c>
      <c r="BT552">
        <f t="shared" si="88"/>
        <v>44.444444444444443</v>
      </c>
      <c r="BU552">
        <f t="shared" si="89"/>
        <v>11.764705882352938</v>
      </c>
      <c r="BV552">
        <f t="shared" si="90"/>
        <v>35</v>
      </c>
      <c r="BW552">
        <f t="shared" si="91"/>
        <v>18.181818181818183</v>
      </c>
    </row>
    <row r="553" spans="1:75" x14ac:dyDescent="0.2">
      <c r="A553" t="s">
        <v>60</v>
      </c>
      <c r="B553" t="s">
        <v>105</v>
      </c>
      <c r="C553" t="s">
        <v>106</v>
      </c>
      <c r="D553" t="s">
        <v>603</v>
      </c>
      <c r="E553" t="s">
        <v>608</v>
      </c>
      <c r="F553" t="s">
        <v>646</v>
      </c>
      <c r="G553">
        <v>1.25</v>
      </c>
      <c r="H553">
        <v>2.85</v>
      </c>
      <c r="I553">
        <v>3.35</v>
      </c>
      <c r="J553">
        <v>2.4500000000000002</v>
      </c>
      <c r="K553">
        <v>9.9</v>
      </c>
      <c r="L553">
        <v>4.96</v>
      </c>
      <c r="M553">
        <v>11</v>
      </c>
      <c r="N553">
        <v>20</v>
      </c>
      <c r="O553">
        <v>9</v>
      </c>
      <c r="P553">
        <v>20</v>
      </c>
      <c r="Q553">
        <v>9</v>
      </c>
      <c r="R553">
        <v>4.5</v>
      </c>
      <c r="S553">
        <v>56.1</v>
      </c>
      <c r="T553">
        <v>81.818181820000007</v>
      </c>
      <c r="U553">
        <v>0</v>
      </c>
      <c r="V553">
        <v>2</v>
      </c>
      <c r="W553">
        <v>4</v>
      </c>
      <c r="X553">
        <v>4</v>
      </c>
      <c r="Y553">
        <v>2</v>
      </c>
      <c r="Z553">
        <v>100</v>
      </c>
      <c r="AA553" t="s">
        <v>66</v>
      </c>
      <c r="AB553" t="s">
        <v>66</v>
      </c>
      <c r="AC553" t="s">
        <v>66</v>
      </c>
      <c r="AD553" t="s">
        <v>66</v>
      </c>
      <c r="AE553">
        <v>15</v>
      </c>
      <c r="AF553">
        <v>15</v>
      </c>
      <c r="AG553" t="s">
        <v>66</v>
      </c>
      <c r="AH553">
        <v>8</v>
      </c>
      <c r="AI553">
        <v>11</v>
      </c>
      <c r="AJ553" t="s">
        <v>66</v>
      </c>
      <c r="AK553">
        <v>7</v>
      </c>
      <c r="AL553">
        <v>8</v>
      </c>
      <c r="AM553">
        <v>7.5</v>
      </c>
      <c r="AN553">
        <v>9.5</v>
      </c>
      <c r="AO553">
        <v>26.666666670000001</v>
      </c>
      <c r="AP553">
        <v>0</v>
      </c>
      <c r="AQ553">
        <v>2</v>
      </c>
      <c r="AR553">
        <v>1.5789473679999999</v>
      </c>
      <c r="AS553">
        <v>-0.42105263199999998</v>
      </c>
      <c r="AT553">
        <v>0</v>
      </c>
      <c r="AU553" t="s">
        <v>66</v>
      </c>
      <c r="AV553">
        <v>0</v>
      </c>
      <c r="AW553">
        <v>0</v>
      </c>
      <c r="AX553">
        <v>0</v>
      </c>
      <c r="AY553">
        <v>1</v>
      </c>
      <c r="AZ553">
        <v>1</v>
      </c>
      <c r="BA553">
        <v>1</v>
      </c>
      <c r="BB553" t="s">
        <v>66</v>
      </c>
      <c r="BC553" t="s">
        <v>66</v>
      </c>
      <c r="BD553" t="s">
        <v>66</v>
      </c>
      <c r="BE553" t="s">
        <v>66</v>
      </c>
      <c r="BF553">
        <v>0</v>
      </c>
      <c r="BG553" t="s">
        <v>66</v>
      </c>
      <c r="BH553" t="s">
        <v>66</v>
      </c>
      <c r="BI553">
        <v>30</v>
      </c>
      <c r="BJ553">
        <v>3.5</v>
      </c>
      <c r="BK553" t="s">
        <v>66</v>
      </c>
      <c r="BL553">
        <v>22</v>
      </c>
      <c r="BM553">
        <v>19</v>
      </c>
      <c r="BN553">
        <v>16</v>
      </c>
      <c r="BO553">
        <f t="shared" si="87"/>
        <v>17.5</v>
      </c>
      <c r="BP553">
        <v>4</v>
      </c>
      <c r="BQ553">
        <v>1</v>
      </c>
      <c r="BS553">
        <v>0</v>
      </c>
      <c r="BT553">
        <f t="shared" si="88"/>
        <v>63.333333333333329</v>
      </c>
      <c r="BU553">
        <f t="shared" si="89"/>
        <v>42.857142857142854</v>
      </c>
      <c r="BV553">
        <f t="shared" si="90"/>
        <v>31.818181818181817</v>
      </c>
      <c r="BW553">
        <f t="shared" si="91"/>
        <v>57.142857142857139</v>
      </c>
    </row>
    <row r="554" spans="1:75" x14ac:dyDescent="0.2">
      <c r="A554" t="s">
        <v>60</v>
      </c>
      <c r="B554" t="s">
        <v>105</v>
      </c>
      <c r="C554" t="s">
        <v>106</v>
      </c>
      <c r="D554" t="s">
        <v>603</v>
      </c>
      <c r="E554" t="s">
        <v>610</v>
      </c>
      <c r="F554" t="s">
        <v>647</v>
      </c>
      <c r="G554">
        <v>1.25</v>
      </c>
      <c r="H554">
        <v>2.85</v>
      </c>
      <c r="I554">
        <v>3.35</v>
      </c>
      <c r="J554">
        <v>2.4500000000000002</v>
      </c>
      <c r="K554">
        <v>9.9</v>
      </c>
      <c r="L554">
        <v>4.96</v>
      </c>
      <c r="M554">
        <v>27</v>
      </c>
      <c r="N554">
        <v>30</v>
      </c>
      <c r="O554">
        <v>3</v>
      </c>
      <c r="P554">
        <v>34</v>
      </c>
      <c r="Q554">
        <v>7</v>
      </c>
      <c r="R554">
        <v>3.5</v>
      </c>
      <c r="S554">
        <v>54.1</v>
      </c>
      <c r="T554">
        <v>25.925925929999998</v>
      </c>
      <c r="U554">
        <v>13.33333333</v>
      </c>
      <c r="V554">
        <v>5</v>
      </c>
      <c r="W554">
        <v>10</v>
      </c>
      <c r="X554">
        <v>6</v>
      </c>
      <c r="Y554">
        <v>1</v>
      </c>
      <c r="Z554">
        <v>20</v>
      </c>
      <c r="AA554" t="s">
        <v>66</v>
      </c>
      <c r="AB554" t="s">
        <v>66</v>
      </c>
      <c r="AC554" t="s">
        <v>66</v>
      </c>
      <c r="AD554" t="s">
        <v>66</v>
      </c>
      <c r="AE554">
        <v>28</v>
      </c>
      <c r="AF554">
        <v>28</v>
      </c>
      <c r="AG554" t="s">
        <v>66</v>
      </c>
      <c r="AH554">
        <v>20</v>
      </c>
      <c r="AI554">
        <v>23</v>
      </c>
      <c r="AJ554" t="s">
        <v>66</v>
      </c>
      <c r="AK554">
        <v>17</v>
      </c>
      <c r="AL554">
        <v>17</v>
      </c>
      <c r="AM554">
        <v>18.5</v>
      </c>
      <c r="AN554">
        <v>20</v>
      </c>
      <c r="AO554">
        <v>8.1081081079999997</v>
      </c>
      <c r="AP554">
        <v>0</v>
      </c>
      <c r="AQ554">
        <v>1.513513514</v>
      </c>
      <c r="AR554">
        <v>1.4</v>
      </c>
      <c r="AS554">
        <v>-0.113513514</v>
      </c>
      <c r="AT554">
        <v>0</v>
      </c>
      <c r="AU554" t="s">
        <v>66</v>
      </c>
      <c r="AV554">
        <v>0</v>
      </c>
      <c r="AW554">
        <v>0</v>
      </c>
      <c r="AX554">
        <v>0</v>
      </c>
      <c r="AY554">
        <v>1</v>
      </c>
      <c r="AZ554">
        <v>1</v>
      </c>
      <c r="BA554">
        <v>1</v>
      </c>
      <c r="BB554" t="s">
        <v>66</v>
      </c>
      <c r="BC554" t="s">
        <v>66</v>
      </c>
      <c r="BD554" t="s">
        <v>66</v>
      </c>
      <c r="BE554" t="s">
        <v>66</v>
      </c>
      <c r="BF554">
        <v>0</v>
      </c>
      <c r="BG554" t="s">
        <v>66</v>
      </c>
      <c r="BH554" t="s">
        <v>66</v>
      </c>
      <c r="BI554">
        <v>59</v>
      </c>
      <c r="BJ554">
        <v>7.2</v>
      </c>
      <c r="BK554" t="s">
        <v>66</v>
      </c>
      <c r="BL554">
        <v>152</v>
      </c>
      <c r="BM554">
        <v>34</v>
      </c>
      <c r="BN554">
        <v>23</v>
      </c>
      <c r="BO554">
        <f t="shared" si="87"/>
        <v>28.5</v>
      </c>
      <c r="BP554">
        <v>4</v>
      </c>
      <c r="BQ554">
        <v>1</v>
      </c>
      <c r="BS554">
        <v>0</v>
      </c>
      <c r="BT554">
        <f t="shared" si="88"/>
        <v>54.237288135593218</v>
      </c>
      <c r="BU554">
        <f t="shared" si="89"/>
        <v>30.555555555555557</v>
      </c>
      <c r="BV554">
        <f t="shared" si="90"/>
        <v>81.578947368421055</v>
      </c>
      <c r="BW554">
        <f t="shared" si="91"/>
        <v>35.087719298245609</v>
      </c>
    </row>
    <row r="555" spans="1:75" x14ac:dyDescent="0.2">
      <c r="A555" t="s">
        <v>60</v>
      </c>
      <c r="B555" t="s">
        <v>105</v>
      </c>
      <c r="C555" t="s">
        <v>106</v>
      </c>
      <c r="D555" t="s">
        <v>603</v>
      </c>
      <c r="E555" t="s">
        <v>612</v>
      </c>
      <c r="F555" t="s">
        <v>648</v>
      </c>
      <c r="G555">
        <v>1.25</v>
      </c>
      <c r="H555">
        <v>2.85</v>
      </c>
      <c r="I555">
        <v>3.35</v>
      </c>
      <c r="J555">
        <v>2.4500000000000002</v>
      </c>
      <c r="K555">
        <v>9.9</v>
      </c>
      <c r="L555">
        <v>4.96</v>
      </c>
      <c r="M555">
        <v>12</v>
      </c>
      <c r="N555">
        <v>15</v>
      </c>
      <c r="O555">
        <v>3</v>
      </c>
      <c r="P555">
        <v>16</v>
      </c>
      <c r="Q555">
        <v>4</v>
      </c>
      <c r="R555">
        <v>2</v>
      </c>
      <c r="S555">
        <v>51.1</v>
      </c>
      <c r="T555">
        <v>33.333333330000002</v>
      </c>
      <c r="U555">
        <v>6.6666666670000003</v>
      </c>
      <c r="V555">
        <v>2</v>
      </c>
      <c r="W555">
        <v>3</v>
      </c>
      <c r="X555">
        <v>3</v>
      </c>
      <c r="Y555">
        <v>1</v>
      </c>
      <c r="Z555">
        <v>50</v>
      </c>
      <c r="AA555" t="s">
        <v>66</v>
      </c>
      <c r="AB555" t="s">
        <v>66</v>
      </c>
      <c r="AC555" t="s">
        <v>66</v>
      </c>
      <c r="AD555" t="s">
        <v>66</v>
      </c>
      <c r="AE555">
        <v>12</v>
      </c>
      <c r="AF555">
        <v>11</v>
      </c>
      <c r="AG555" t="s">
        <v>66</v>
      </c>
      <c r="AH555">
        <v>6</v>
      </c>
      <c r="AI555">
        <v>6</v>
      </c>
      <c r="AJ555" t="s">
        <v>66</v>
      </c>
      <c r="AK555">
        <v>6</v>
      </c>
      <c r="AL555">
        <v>4</v>
      </c>
      <c r="AM555">
        <v>6</v>
      </c>
      <c r="AN555">
        <v>5</v>
      </c>
      <c r="AO555">
        <v>-16.666666670000001</v>
      </c>
      <c r="AP555">
        <v>-8.3333333330000006</v>
      </c>
      <c r="AQ555">
        <v>2</v>
      </c>
      <c r="AR555">
        <v>2.2000000000000002</v>
      </c>
      <c r="AS555">
        <v>0.2</v>
      </c>
      <c r="AT555">
        <v>0</v>
      </c>
      <c r="AU555" t="s">
        <v>66</v>
      </c>
      <c r="AV555">
        <v>0</v>
      </c>
      <c r="AW555">
        <v>0</v>
      </c>
      <c r="AX555">
        <v>0</v>
      </c>
      <c r="AY555">
        <v>1</v>
      </c>
      <c r="AZ555">
        <v>1</v>
      </c>
      <c r="BA555">
        <v>1</v>
      </c>
      <c r="BB555" t="s">
        <v>66</v>
      </c>
      <c r="BC555" t="s">
        <v>66</v>
      </c>
      <c r="BD555" t="s">
        <v>66</v>
      </c>
      <c r="BE555" t="s">
        <v>66</v>
      </c>
      <c r="BF555">
        <v>0</v>
      </c>
      <c r="BG555" t="s">
        <v>66</v>
      </c>
      <c r="BH555" t="s">
        <v>66</v>
      </c>
      <c r="BI555">
        <v>20</v>
      </c>
      <c r="BJ555">
        <v>2.4</v>
      </c>
      <c r="BK555" t="s">
        <v>66</v>
      </c>
      <c r="BL555">
        <v>14</v>
      </c>
      <c r="BM555">
        <v>11</v>
      </c>
      <c r="BN555">
        <v>8</v>
      </c>
      <c r="BO555">
        <f t="shared" si="87"/>
        <v>9.5</v>
      </c>
      <c r="BP555">
        <v>4</v>
      </c>
      <c r="BQ555">
        <v>1</v>
      </c>
      <c r="BS555">
        <v>0</v>
      </c>
      <c r="BT555">
        <f t="shared" si="88"/>
        <v>40</v>
      </c>
      <c r="BU555">
        <f t="shared" si="89"/>
        <v>16.666666666666664</v>
      </c>
      <c r="BV555">
        <f t="shared" si="90"/>
        <v>14.285714285714285</v>
      </c>
      <c r="BW555">
        <f t="shared" si="91"/>
        <v>36.84210526315789</v>
      </c>
    </row>
    <row r="556" spans="1:75" x14ac:dyDescent="0.2">
      <c r="A556" t="s">
        <v>60</v>
      </c>
      <c r="B556" t="s">
        <v>105</v>
      </c>
      <c r="C556" t="s">
        <v>106</v>
      </c>
      <c r="D556" t="s">
        <v>603</v>
      </c>
      <c r="E556" t="s">
        <v>614</v>
      </c>
      <c r="F556" t="s">
        <v>649</v>
      </c>
      <c r="G556">
        <v>1.25</v>
      </c>
      <c r="H556">
        <v>2.85</v>
      </c>
      <c r="I556">
        <v>3.35</v>
      </c>
      <c r="J556">
        <v>2.4500000000000002</v>
      </c>
      <c r="K556">
        <v>9.9</v>
      </c>
      <c r="L556">
        <v>4.96</v>
      </c>
      <c r="M556">
        <v>34</v>
      </c>
      <c r="N556">
        <v>39</v>
      </c>
      <c r="O556">
        <v>5</v>
      </c>
      <c r="P556">
        <v>49</v>
      </c>
      <c r="Q556">
        <v>15</v>
      </c>
      <c r="R556">
        <v>7.5</v>
      </c>
      <c r="S556">
        <v>62.1</v>
      </c>
      <c r="T556">
        <v>44.117647060000003</v>
      </c>
      <c r="U556">
        <v>25.641025639999999</v>
      </c>
      <c r="V556">
        <v>7</v>
      </c>
      <c r="W556">
        <v>6</v>
      </c>
      <c r="X556">
        <v>7</v>
      </c>
      <c r="Y556">
        <v>0</v>
      </c>
      <c r="Z556">
        <v>0</v>
      </c>
      <c r="AA556" t="s">
        <v>66</v>
      </c>
      <c r="AB556" t="s">
        <v>66</v>
      </c>
      <c r="AC556" t="s">
        <v>66</v>
      </c>
      <c r="AD556" t="s">
        <v>66</v>
      </c>
      <c r="AE556">
        <v>36</v>
      </c>
      <c r="AF556">
        <v>40</v>
      </c>
      <c r="AG556" t="s">
        <v>66</v>
      </c>
      <c r="AH556">
        <v>17</v>
      </c>
      <c r="AI556">
        <v>29</v>
      </c>
      <c r="AJ556" t="s">
        <v>66</v>
      </c>
      <c r="AK556">
        <v>12</v>
      </c>
      <c r="AL556">
        <v>22</v>
      </c>
      <c r="AM556">
        <v>14.5</v>
      </c>
      <c r="AN556">
        <v>25.5</v>
      </c>
      <c r="AO556">
        <v>75.862068969999996</v>
      </c>
      <c r="AP556">
        <v>11.11111111</v>
      </c>
      <c r="AQ556">
        <v>2.4827586209999999</v>
      </c>
      <c r="AR556">
        <v>1.568627451</v>
      </c>
      <c r="AS556">
        <v>-0.91413116999999999</v>
      </c>
      <c r="AT556">
        <v>0</v>
      </c>
      <c r="AU556" t="s">
        <v>66</v>
      </c>
      <c r="AV556">
        <v>0</v>
      </c>
      <c r="AW556">
        <v>0</v>
      </c>
      <c r="AX556">
        <v>0</v>
      </c>
      <c r="AY556">
        <v>1</v>
      </c>
      <c r="AZ556">
        <v>1</v>
      </c>
      <c r="BA556">
        <v>1</v>
      </c>
      <c r="BB556" t="s">
        <v>66</v>
      </c>
      <c r="BC556" t="s">
        <v>66</v>
      </c>
      <c r="BD556" t="s">
        <v>66</v>
      </c>
      <c r="BE556" t="s">
        <v>66</v>
      </c>
      <c r="BF556">
        <v>0</v>
      </c>
      <c r="BG556" t="s">
        <v>66</v>
      </c>
      <c r="BH556" t="s">
        <v>66</v>
      </c>
      <c r="BI556">
        <v>58</v>
      </c>
      <c r="BJ556">
        <v>8.4</v>
      </c>
      <c r="BK556" t="s">
        <v>66</v>
      </c>
      <c r="BL556">
        <v>54</v>
      </c>
      <c r="BM556">
        <v>48</v>
      </c>
      <c r="BN556">
        <v>28</v>
      </c>
      <c r="BO556">
        <f t="shared" si="87"/>
        <v>38</v>
      </c>
      <c r="BP556">
        <v>4</v>
      </c>
      <c r="BQ556">
        <v>1</v>
      </c>
      <c r="BS556">
        <v>0</v>
      </c>
      <c r="BT556">
        <f t="shared" si="88"/>
        <v>41.379310344827587</v>
      </c>
      <c r="BU556">
        <f t="shared" si="89"/>
        <v>16.666666666666671</v>
      </c>
      <c r="BV556">
        <f t="shared" si="90"/>
        <v>33.333333333333329</v>
      </c>
      <c r="BW556">
        <f t="shared" si="91"/>
        <v>61.842105263157897</v>
      </c>
    </row>
    <row r="557" spans="1:75" x14ac:dyDescent="0.2">
      <c r="A557" t="s">
        <v>60</v>
      </c>
      <c r="B557" t="s">
        <v>105</v>
      </c>
      <c r="C557" t="s">
        <v>106</v>
      </c>
      <c r="D557" t="s">
        <v>603</v>
      </c>
      <c r="E557" t="s">
        <v>616</v>
      </c>
      <c r="F557" t="s">
        <v>650</v>
      </c>
      <c r="G557">
        <v>1.25</v>
      </c>
      <c r="H557">
        <v>2.85</v>
      </c>
      <c r="I557">
        <v>3.35</v>
      </c>
      <c r="J557">
        <v>2.4500000000000002</v>
      </c>
      <c r="K557">
        <v>9.9</v>
      </c>
      <c r="L557">
        <v>4.96</v>
      </c>
      <c r="M557">
        <v>15</v>
      </c>
      <c r="N557">
        <v>17</v>
      </c>
      <c r="O557">
        <v>2</v>
      </c>
      <c r="P557">
        <v>55</v>
      </c>
      <c r="Q557">
        <v>40</v>
      </c>
      <c r="R557">
        <v>20</v>
      </c>
      <c r="S557">
        <v>87.1</v>
      </c>
      <c r="T557">
        <v>266.66666670000001</v>
      </c>
      <c r="U557">
        <v>223.52941179999999</v>
      </c>
      <c r="V557">
        <v>3</v>
      </c>
      <c r="W557">
        <v>1</v>
      </c>
      <c r="X557">
        <v>7</v>
      </c>
      <c r="Y557">
        <v>4</v>
      </c>
      <c r="Z557">
        <v>133.33333329999999</v>
      </c>
      <c r="AA557" t="s">
        <v>66</v>
      </c>
      <c r="AB557" t="s">
        <v>66</v>
      </c>
      <c r="AC557" t="s">
        <v>66</v>
      </c>
      <c r="AD557" t="s">
        <v>66</v>
      </c>
      <c r="AE557">
        <v>10</v>
      </c>
      <c r="AF557">
        <v>48</v>
      </c>
      <c r="AG557" t="s">
        <v>66</v>
      </c>
      <c r="AH557">
        <v>8</v>
      </c>
      <c r="AI557">
        <v>36</v>
      </c>
      <c r="AJ557" t="s">
        <v>66</v>
      </c>
      <c r="AK557">
        <v>2</v>
      </c>
      <c r="AL557">
        <v>27</v>
      </c>
      <c r="AM557">
        <v>5</v>
      </c>
      <c r="AN557">
        <v>31.5</v>
      </c>
      <c r="AO557">
        <v>530</v>
      </c>
      <c r="AP557">
        <v>380</v>
      </c>
      <c r="AQ557">
        <v>2</v>
      </c>
      <c r="AR557">
        <v>1.523809524</v>
      </c>
      <c r="AS557">
        <v>-0.47619047599999997</v>
      </c>
      <c r="AT557">
        <v>0</v>
      </c>
      <c r="AU557" t="s">
        <v>66</v>
      </c>
      <c r="AV557">
        <v>0</v>
      </c>
      <c r="AW557">
        <v>0</v>
      </c>
      <c r="AX557">
        <v>0</v>
      </c>
      <c r="AY557">
        <v>1</v>
      </c>
      <c r="AZ557">
        <v>1</v>
      </c>
      <c r="BA557">
        <v>1</v>
      </c>
      <c r="BB557" t="s">
        <v>66</v>
      </c>
      <c r="BC557" t="s">
        <v>66</v>
      </c>
      <c r="BD557" t="s">
        <v>66</v>
      </c>
      <c r="BE557" t="s">
        <v>66</v>
      </c>
      <c r="BF557">
        <v>0</v>
      </c>
      <c r="BG557" t="s">
        <v>66</v>
      </c>
      <c r="BH557" t="s">
        <v>66</v>
      </c>
      <c r="BI557">
        <v>22</v>
      </c>
      <c r="BJ557">
        <v>3.2</v>
      </c>
      <c r="BK557" t="s">
        <v>66</v>
      </c>
      <c r="BL557">
        <v>17</v>
      </c>
      <c r="BM557">
        <v>15</v>
      </c>
      <c r="BN557">
        <v>7</v>
      </c>
      <c r="BO557">
        <f t="shared" si="87"/>
        <v>11</v>
      </c>
      <c r="BP557">
        <v>4</v>
      </c>
      <c r="BQ557">
        <v>1</v>
      </c>
      <c r="BS557">
        <v>0</v>
      </c>
      <c r="BT557">
        <f t="shared" si="88"/>
        <v>31.818181818181817</v>
      </c>
      <c r="BU557">
        <f t="shared" si="89"/>
        <v>6.2500000000000053</v>
      </c>
      <c r="BV557">
        <f t="shared" si="90"/>
        <v>41.17647058823529</v>
      </c>
      <c r="BW557">
        <f t="shared" si="91"/>
        <v>54.54545454545454</v>
      </c>
    </row>
    <row r="558" spans="1:75" x14ac:dyDescent="0.2">
      <c r="A558" t="s">
        <v>60</v>
      </c>
      <c r="B558" t="s">
        <v>105</v>
      </c>
      <c r="C558" t="s">
        <v>106</v>
      </c>
      <c r="D558" t="s">
        <v>603</v>
      </c>
      <c r="E558" t="s">
        <v>618</v>
      </c>
      <c r="F558" t="s">
        <v>651</v>
      </c>
      <c r="G558">
        <v>1.25</v>
      </c>
      <c r="H558">
        <v>2.85</v>
      </c>
      <c r="I558">
        <v>3.35</v>
      </c>
      <c r="J558">
        <v>2.4500000000000002</v>
      </c>
      <c r="K558">
        <v>9.9</v>
      </c>
      <c r="L558">
        <v>4.96</v>
      </c>
      <c r="M558">
        <v>42</v>
      </c>
      <c r="N558">
        <v>43</v>
      </c>
      <c r="O558">
        <v>1</v>
      </c>
      <c r="P558">
        <v>16</v>
      </c>
      <c r="Q558">
        <v>-26</v>
      </c>
      <c r="R558">
        <v>-13</v>
      </c>
      <c r="S558">
        <v>21.1</v>
      </c>
      <c r="T558">
        <v>-61.904761899999997</v>
      </c>
      <c r="U558">
        <v>-62.79069767</v>
      </c>
      <c r="V558">
        <v>4</v>
      </c>
      <c r="W558">
        <v>7</v>
      </c>
      <c r="X558">
        <v>4</v>
      </c>
      <c r="Y558">
        <v>0</v>
      </c>
      <c r="Z558">
        <v>0</v>
      </c>
      <c r="AA558" t="s">
        <v>66</v>
      </c>
      <c r="AB558" t="s">
        <v>66</v>
      </c>
      <c r="AC558" t="s">
        <v>66</v>
      </c>
      <c r="AD558" t="s">
        <v>66</v>
      </c>
      <c r="AE558">
        <v>36</v>
      </c>
      <c r="AF558">
        <v>12</v>
      </c>
      <c r="AG558" t="s">
        <v>66</v>
      </c>
      <c r="AH558">
        <v>28</v>
      </c>
      <c r="AI558">
        <v>10</v>
      </c>
      <c r="AJ558" t="s">
        <v>66</v>
      </c>
      <c r="AK558">
        <v>22</v>
      </c>
      <c r="AL558">
        <v>4</v>
      </c>
      <c r="AM558">
        <v>25</v>
      </c>
      <c r="AN558">
        <v>7</v>
      </c>
      <c r="AO558">
        <v>-72</v>
      </c>
      <c r="AP558">
        <v>-66.666666669999998</v>
      </c>
      <c r="AQ558">
        <v>1.44</v>
      </c>
      <c r="AR558">
        <v>1.7142857140000001</v>
      </c>
      <c r="AS558">
        <v>0.27428571400000001</v>
      </c>
      <c r="AT558">
        <v>0</v>
      </c>
      <c r="AU558" t="s">
        <v>66</v>
      </c>
      <c r="AV558">
        <v>0</v>
      </c>
      <c r="AW558">
        <v>0</v>
      </c>
      <c r="AX558">
        <v>0</v>
      </c>
      <c r="AY558">
        <v>1</v>
      </c>
      <c r="AZ558">
        <v>1</v>
      </c>
      <c r="BA558">
        <v>1</v>
      </c>
      <c r="BB558" t="s">
        <v>66</v>
      </c>
      <c r="BC558" t="s">
        <v>66</v>
      </c>
      <c r="BD558" t="s">
        <v>66</v>
      </c>
      <c r="BE558" t="s">
        <v>66</v>
      </c>
      <c r="BF558">
        <v>0</v>
      </c>
      <c r="BG558" t="s">
        <v>66</v>
      </c>
      <c r="BH558" t="s">
        <v>66</v>
      </c>
      <c r="BI558">
        <v>92</v>
      </c>
      <c r="BJ558">
        <v>8.5</v>
      </c>
      <c r="BK558" t="s">
        <v>66</v>
      </c>
      <c r="BL558">
        <v>83</v>
      </c>
      <c r="BM558">
        <v>54</v>
      </c>
      <c r="BN558">
        <v>38</v>
      </c>
      <c r="BO558">
        <f t="shared" si="87"/>
        <v>46</v>
      </c>
      <c r="BP558">
        <v>4</v>
      </c>
      <c r="BQ558">
        <v>1</v>
      </c>
      <c r="BS558">
        <v>0</v>
      </c>
      <c r="BT558">
        <f t="shared" si="88"/>
        <v>54.347826086956516</v>
      </c>
      <c r="BU558">
        <f t="shared" si="89"/>
        <v>52.941176470588239</v>
      </c>
      <c r="BV558">
        <f t="shared" si="90"/>
        <v>56.626506024096393</v>
      </c>
      <c r="BW558">
        <f t="shared" si="91"/>
        <v>45.652173913043477</v>
      </c>
    </row>
    <row r="559" spans="1:75" x14ac:dyDescent="0.2">
      <c r="A559" t="s">
        <v>60</v>
      </c>
      <c r="B559" t="s">
        <v>105</v>
      </c>
      <c r="C559" t="s">
        <v>106</v>
      </c>
      <c r="D559" t="s">
        <v>603</v>
      </c>
      <c r="E559" t="s">
        <v>620</v>
      </c>
      <c r="F559" t="s">
        <v>652</v>
      </c>
      <c r="G559">
        <v>1.25</v>
      </c>
      <c r="H559">
        <v>2.85</v>
      </c>
      <c r="I559">
        <v>3.35</v>
      </c>
      <c r="J559">
        <v>2.4500000000000002</v>
      </c>
      <c r="K559">
        <v>9.9</v>
      </c>
      <c r="L559">
        <v>4.96</v>
      </c>
      <c r="M559">
        <v>42</v>
      </c>
      <c r="N559">
        <v>47</v>
      </c>
      <c r="O559">
        <v>5</v>
      </c>
      <c r="P559">
        <v>54</v>
      </c>
      <c r="Q559">
        <v>12</v>
      </c>
      <c r="R559">
        <v>6</v>
      </c>
      <c r="S559">
        <v>59.1</v>
      </c>
      <c r="T559">
        <v>28.571428569999998</v>
      </c>
      <c r="U559">
        <v>14.893617020000001</v>
      </c>
      <c r="V559">
        <v>5</v>
      </c>
      <c r="W559">
        <v>8</v>
      </c>
      <c r="X559">
        <v>7</v>
      </c>
      <c r="Y559">
        <v>2</v>
      </c>
      <c r="Z559">
        <v>40</v>
      </c>
      <c r="AA559" t="s">
        <v>66</v>
      </c>
      <c r="AB559" t="s">
        <v>66</v>
      </c>
      <c r="AC559" t="s">
        <v>66</v>
      </c>
      <c r="AD559" t="s">
        <v>66</v>
      </c>
      <c r="AE559">
        <v>36</v>
      </c>
      <c r="AF559">
        <v>45</v>
      </c>
      <c r="AG559" t="s">
        <v>66</v>
      </c>
      <c r="AH559">
        <v>18</v>
      </c>
      <c r="AI559">
        <v>22</v>
      </c>
      <c r="AJ559" t="s">
        <v>66</v>
      </c>
      <c r="AK559">
        <v>14</v>
      </c>
      <c r="AL559">
        <v>16</v>
      </c>
      <c r="AM559">
        <v>16</v>
      </c>
      <c r="AN559">
        <v>19</v>
      </c>
      <c r="AO559">
        <v>18.75</v>
      </c>
      <c r="AP559">
        <v>25</v>
      </c>
      <c r="AQ559">
        <v>2.25</v>
      </c>
      <c r="AR559">
        <v>2.3684210530000001</v>
      </c>
      <c r="AS559">
        <v>0.118421053</v>
      </c>
      <c r="AT559">
        <v>0</v>
      </c>
      <c r="AU559" t="s">
        <v>66</v>
      </c>
      <c r="AV559">
        <v>0</v>
      </c>
      <c r="AW559">
        <v>1</v>
      </c>
      <c r="AX559">
        <v>0</v>
      </c>
      <c r="AY559">
        <v>1</v>
      </c>
      <c r="AZ559">
        <v>1</v>
      </c>
      <c r="BA559">
        <v>1</v>
      </c>
      <c r="BB559" t="s">
        <v>66</v>
      </c>
      <c r="BC559" t="s">
        <v>66</v>
      </c>
      <c r="BD559" t="s">
        <v>66</v>
      </c>
      <c r="BE559" t="s">
        <v>66</v>
      </c>
      <c r="BF559">
        <v>0</v>
      </c>
      <c r="BG559" t="s">
        <v>66</v>
      </c>
      <c r="BH559" t="s">
        <v>66</v>
      </c>
      <c r="BI559">
        <v>73</v>
      </c>
      <c r="BJ559">
        <v>8.8000000000000007</v>
      </c>
      <c r="BK559" t="s">
        <v>66</v>
      </c>
      <c r="BL559">
        <v>67</v>
      </c>
      <c r="BM559">
        <v>30</v>
      </c>
      <c r="BN559">
        <v>20</v>
      </c>
      <c r="BO559">
        <f t="shared" si="87"/>
        <v>25</v>
      </c>
      <c r="BP559">
        <v>4</v>
      </c>
      <c r="BQ559">
        <v>1</v>
      </c>
      <c r="BS559">
        <v>0</v>
      </c>
      <c r="BT559">
        <f t="shared" si="88"/>
        <v>42.465753424657535</v>
      </c>
      <c r="BU559">
        <f t="shared" si="89"/>
        <v>43.181818181818187</v>
      </c>
      <c r="BV559">
        <f t="shared" si="90"/>
        <v>46.268656716417908</v>
      </c>
      <c r="BW559">
        <f t="shared" si="91"/>
        <v>36</v>
      </c>
    </row>
    <row r="560" spans="1:75" x14ac:dyDescent="0.2">
      <c r="A560" t="s">
        <v>60</v>
      </c>
      <c r="B560" t="s">
        <v>105</v>
      </c>
      <c r="C560" t="s">
        <v>106</v>
      </c>
      <c r="D560" t="s">
        <v>603</v>
      </c>
      <c r="E560" t="s">
        <v>622</v>
      </c>
      <c r="F560" t="s">
        <v>653</v>
      </c>
      <c r="G560">
        <v>1.25</v>
      </c>
      <c r="H560">
        <v>2.85</v>
      </c>
      <c r="I560">
        <v>3.35</v>
      </c>
      <c r="J560">
        <v>2.4500000000000002</v>
      </c>
      <c r="K560">
        <v>9.9</v>
      </c>
      <c r="L560">
        <v>4.96</v>
      </c>
      <c r="M560">
        <v>20</v>
      </c>
      <c r="N560">
        <v>22</v>
      </c>
      <c r="O560">
        <v>2</v>
      </c>
      <c r="P560">
        <v>28</v>
      </c>
      <c r="Q560">
        <v>8</v>
      </c>
      <c r="R560">
        <v>4</v>
      </c>
      <c r="S560">
        <v>55.1</v>
      </c>
      <c r="T560">
        <v>40</v>
      </c>
      <c r="U560">
        <v>27.272727270000001</v>
      </c>
      <c r="V560">
        <v>3</v>
      </c>
      <c r="W560">
        <v>4</v>
      </c>
      <c r="X560">
        <v>4</v>
      </c>
      <c r="Y560">
        <v>1</v>
      </c>
      <c r="Z560">
        <v>33.333333330000002</v>
      </c>
      <c r="AA560" t="s">
        <v>66</v>
      </c>
      <c r="AB560" t="s">
        <v>66</v>
      </c>
      <c r="AC560" t="s">
        <v>66</v>
      </c>
      <c r="AD560" t="s">
        <v>66</v>
      </c>
      <c r="AE560">
        <v>16</v>
      </c>
      <c r="AF560">
        <v>23</v>
      </c>
      <c r="AG560" t="s">
        <v>66</v>
      </c>
      <c r="AH560">
        <v>14</v>
      </c>
      <c r="AI560">
        <v>16</v>
      </c>
      <c r="AJ560" t="s">
        <v>66</v>
      </c>
      <c r="AK560">
        <v>12</v>
      </c>
      <c r="AL560">
        <v>14</v>
      </c>
      <c r="AM560">
        <v>13</v>
      </c>
      <c r="AN560">
        <v>15</v>
      </c>
      <c r="AO560">
        <v>15.38461538</v>
      </c>
      <c r="AP560">
        <v>43.75</v>
      </c>
      <c r="AQ560">
        <v>1.230769231</v>
      </c>
      <c r="AR560">
        <v>1.5333333330000001</v>
      </c>
      <c r="AS560">
        <v>0.302564102</v>
      </c>
      <c r="AT560">
        <v>0</v>
      </c>
      <c r="AU560" t="s">
        <v>66</v>
      </c>
      <c r="AV560">
        <v>0</v>
      </c>
      <c r="AW560">
        <v>0</v>
      </c>
      <c r="AX560">
        <v>0</v>
      </c>
      <c r="AY560">
        <v>1</v>
      </c>
      <c r="AZ560">
        <v>1</v>
      </c>
      <c r="BA560">
        <v>1</v>
      </c>
      <c r="BB560" t="s">
        <v>66</v>
      </c>
      <c r="BC560" t="s">
        <v>66</v>
      </c>
      <c r="BD560" t="s">
        <v>66</v>
      </c>
      <c r="BE560" t="s">
        <v>66</v>
      </c>
      <c r="BF560">
        <v>0</v>
      </c>
      <c r="BG560" t="s">
        <v>66</v>
      </c>
      <c r="BH560" t="s">
        <v>66</v>
      </c>
      <c r="BI560">
        <v>44</v>
      </c>
      <c r="BJ560">
        <v>5.8</v>
      </c>
      <c r="BK560" t="s">
        <v>66</v>
      </c>
      <c r="BL560">
        <v>39</v>
      </c>
      <c r="BM560">
        <v>25</v>
      </c>
      <c r="BN560">
        <v>17</v>
      </c>
      <c r="BO560">
        <f t="shared" si="87"/>
        <v>21</v>
      </c>
      <c r="BP560">
        <v>4</v>
      </c>
      <c r="BQ560">
        <v>1</v>
      </c>
      <c r="BS560">
        <v>0</v>
      </c>
      <c r="BT560">
        <f t="shared" si="88"/>
        <v>54.54545454545454</v>
      </c>
      <c r="BU560">
        <f t="shared" si="89"/>
        <v>48.275862068965516</v>
      </c>
      <c r="BV560">
        <f t="shared" si="90"/>
        <v>58.974358974358978</v>
      </c>
      <c r="BW560">
        <f t="shared" si="91"/>
        <v>38.095238095238095</v>
      </c>
    </row>
    <row r="561" spans="1:75" x14ac:dyDescent="0.2">
      <c r="A561" t="s">
        <v>60</v>
      </c>
      <c r="B561" t="s">
        <v>105</v>
      </c>
      <c r="C561" t="s">
        <v>106</v>
      </c>
      <c r="D561" t="s">
        <v>603</v>
      </c>
      <c r="E561" t="s">
        <v>624</v>
      </c>
      <c r="F561" t="s">
        <v>654</v>
      </c>
      <c r="G561">
        <v>1.25</v>
      </c>
      <c r="H561">
        <v>2.85</v>
      </c>
      <c r="I561">
        <v>3.35</v>
      </c>
      <c r="J561">
        <v>2.4500000000000002</v>
      </c>
      <c r="K561">
        <v>9.9</v>
      </c>
      <c r="L561">
        <v>4.96</v>
      </c>
      <c r="M561">
        <v>20</v>
      </c>
      <c r="N561">
        <v>21</v>
      </c>
      <c r="O561">
        <v>1</v>
      </c>
      <c r="P561">
        <v>25</v>
      </c>
      <c r="Q561">
        <v>5</v>
      </c>
      <c r="R561">
        <v>2.5</v>
      </c>
      <c r="S561">
        <v>52.1</v>
      </c>
      <c r="T561">
        <v>25</v>
      </c>
      <c r="U561">
        <v>19.047619050000002</v>
      </c>
      <c r="V561">
        <v>2</v>
      </c>
      <c r="W561">
        <v>4</v>
      </c>
      <c r="X561">
        <v>4</v>
      </c>
      <c r="Y561">
        <v>2</v>
      </c>
      <c r="Z561">
        <v>100</v>
      </c>
      <c r="AA561" t="s">
        <v>66</v>
      </c>
      <c r="AB561" t="s">
        <v>66</v>
      </c>
      <c r="AC561" t="s">
        <v>66</v>
      </c>
      <c r="AD561" t="s">
        <v>66</v>
      </c>
      <c r="AE561">
        <v>17</v>
      </c>
      <c r="AF561">
        <v>20</v>
      </c>
      <c r="AG561" t="s">
        <v>66</v>
      </c>
      <c r="AH561">
        <v>13</v>
      </c>
      <c r="AI561">
        <v>16</v>
      </c>
      <c r="AJ561" t="s">
        <v>66</v>
      </c>
      <c r="AK561">
        <v>12</v>
      </c>
      <c r="AL561">
        <v>12</v>
      </c>
      <c r="AM561">
        <v>12.5</v>
      </c>
      <c r="AN561">
        <v>14</v>
      </c>
      <c r="AO561">
        <v>12</v>
      </c>
      <c r="AP561">
        <v>17.647058820000002</v>
      </c>
      <c r="AQ561">
        <v>1.36</v>
      </c>
      <c r="AR561">
        <v>1.428571429</v>
      </c>
      <c r="AS561">
        <v>6.8571429000000003E-2</v>
      </c>
      <c r="AT561">
        <v>0</v>
      </c>
      <c r="AU561" t="s">
        <v>66</v>
      </c>
      <c r="AV561">
        <v>0</v>
      </c>
      <c r="AW561">
        <v>0</v>
      </c>
      <c r="AX561">
        <v>0</v>
      </c>
      <c r="AY561">
        <v>1</v>
      </c>
      <c r="AZ561">
        <v>1</v>
      </c>
      <c r="BA561">
        <v>1</v>
      </c>
      <c r="BB561" t="s">
        <v>66</v>
      </c>
      <c r="BC561" t="s">
        <v>66</v>
      </c>
      <c r="BD561" t="s">
        <v>66</v>
      </c>
      <c r="BE561" t="s">
        <v>66</v>
      </c>
      <c r="BF561">
        <v>0</v>
      </c>
      <c r="BG561" t="s">
        <v>66</v>
      </c>
      <c r="BH561" t="s">
        <v>66</v>
      </c>
      <c r="BI561">
        <v>36</v>
      </c>
      <c r="BJ561">
        <v>4.7</v>
      </c>
      <c r="BK561" t="s">
        <v>66</v>
      </c>
      <c r="BL561">
        <v>27</v>
      </c>
      <c r="BM561">
        <v>22</v>
      </c>
      <c r="BN561">
        <v>6</v>
      </c>
      <c r="BO561">
        <f t="shared" si="87"/>
        <v>14</v>
      </c>
      <c r="BP561">
        <v>3</v>
      </c>
      <c r="BQ561">
        <v>1</v>
      </c>
      <c r="BS561">
        <v>0</v>
      </c>
      <c r="BT561">
        <f t="shared" si="88"/>
        <v>44.444444444444443</v>
      </c>
      <c r="BU561">
        <f t="shared" si="89"/>
        <v>57.446808510638306</v>
      </c>
      <c r="BV561">
        <f t="shared" si="90"/>
        <v>37.037037037037038</v>
      </c>
      <c r="BW561">
        <f t="shared" si="91"/>
        <v>10.714285714285714</v>
      </c>
    </row>
    <row r="562" spans="1:75" x14ac:dyDescent="0.2">
      <c r="A562" t="s">
        <v>60</v>
      </c>
      <c r="B562" t="s">
        <v>105</v>
      </c>
      <c r="C562" t="s">
        <v>106</v>
      </c>
      <c r="D562" t="s">
        <v>603</v>
      </c>
      <c r="E562" t="s">
        <v>626</v>
      </c>
      <c r="F562" t="s">
        <v>655</v>
      </c>
      <c r="G562">
        <v>1.25</v>
      </c>
      <c r="H562">
        <v>2.85</v>
      </c>
      <c r="I562">
        <v>3.35</v>
      </c>
      <c r="J562">
        <v>2.4500000000000002</v>
      </c>
      <c r="K562">
        <v>9.9</v>
      </c>
      <c r="L562">
        <v>4.96</v>
      </c>
      <c r="M562">
        <v>46</v>
      </c>
      <c r="N562">
        <v>59</v>
      </c>
      <c r="O562">
        <v>13</v>
      </c>
      <c r="P562">
        <v>79</v>
      </c>
      <c r="Q562">
        <v>33</v>
      </c>
      <c r="R562">
        <v>16.5</v>
      </c>
      <c r="S562">
        <v>80.099999999999994</v>
      </c>
      <c r="T562">
        <v>71.739130430000003</v>
      </c>
      <c r="U562">
        <v>33.89830508</v>
      </c>
      <c r="V562">
        <v>6</v>
      </c>
      <c r="W562">
        <v>7</v>
      </c>
      <c r="X562">
        <v>14</v>
      </c>
      <c r="Y562">
        <v>8</v>
      </c>
      <c r="Z562">
        <v>133.33333329999999</v>
      </c>
      <c r="AA562" t="s">
        <v>66</v>
      </c>
      <c r="AB562" t="s">
        <v>66</v>
      </c>
      <c r="AC562" t="s">
        <v>66</v>
      </c>
      <c r="AD562" t="s">
        <v>66</v>
      </c>
      <c r="AE562">
        <v>51</v>
      </c>
      <c r="AF562">
        <v>73</v>
      </c>
      <c r="AG562" t="s">
        <v>66</v>
      </c>
      <c r="AH562">
        <v>26</v>
      </c>
      <c r="AI562">
        <v>36</v>
      </c>
      <c r="AJ562" t="s">
        <v>66</v>
      </c>
      <c r="AK562">
        <v>22</v>
      </c>
      <c r="AL562">
        <v>28</v>
      </c>
      <c r="AM562">
        <v>24</v>
      </c>
      <c r="AN562">
        <v>32</v>
      </c>
      <c r="AO562">
        <v>33.333333330000002</v>
      </c>
      <c r="AP562">
        <v>43.137254900000002</v>
      </c>
      <c r="AQ562">
        <v>2.125</v>
      </c>
      <c r="AR562">
        <v>2.28125</v>
      </c>
      <c r="AS562">
        <v>0.15625</v>
      </c>
      <c r="AT562">
        <v>0</v>
      </c>
      <c r="AU562" t="s">
        <v>66</v>
      </c>
      <c r="AV562">
        <v>0</v>
      </c>
      <c r="AW562">
        <v>0</v>
      </c>
      <c r="AX562">
        <v>0</v>
      </c>
      <c r="AY562">
        <v>1</v>
      </c>
      <c r="AZ562">
        <v>1</v>
      </c>
      <c r="BA562">
        <v>1</v>
      </c>
      <c r="BB562" t="s">
        <v>66</v>
      </c>
      <c r="BC562" t="s">
        <v>66</v>
      </c>
      <c r="BD562" t="s">
        <v>66</v>
      </c>
      <c r="BE562" t="s">
        <v>66</v>
      </c>
      <c r="BF562">
        <v>0</v>
      </c>
      <c r="BG562" t="s">
        <v>66</v>
      </c>
      <c r="BH562" t="s">
        <v>66</v>
      </c>
      <c r="BI562">
        <v>128</v>
      </c>
      <c r="BJ562">
        <v>12.6</v>
      </c>
      <c r="BK562" t="s">
        <v>66</v>
      </c>
      <c r="BL562">
        <v>117</v>
      </c>
      <c r="BM562">
        <v>46</v>
      </c>
      <c r="BN562">
        <v>27</v>
      </c>
      <c r="BO562">
        <f t="shared" si="87"/>
        <v>36.5</v>
      </c>
      <c r="BP562">
        <v>4</v>
      </c>
      <c r="BQ562">
        <v>1</v>
      </c>
      <c r="BS562">
        <v>0</v>
      </c>
      <c r="BT562">
        <f t="shared" si="88"/>
        <v>64.0625</v>
      </c>
      <c r="BU562">
        <f t="shared" si="89"/>
        <v>52.380952380952387</v>
      </c>
      <c r="BV562">
        <f t="shared" si="90"/>
        <v>56.410256410256409</v>
      </c>
      <c r="BW562">
        <f t="shared" si="91"/>
        <v>34.246575342465754</v>
      </c>
    </row>
    <row r="563" spans="1:75" x14ac:dyDescent="0.2">
      <c r="A563" t="s">
        <v>60</v>
      </c>
      <c r="B563" t="s">
        <v>105</v>
      </c>
      <c r="C563" t="s">
        <v>106</v>
      </c>
      <c r="D563" t="s">
        <v>603</v>
      </c>
      <c r="E563" t="s">
        <v>628</v>
      </c>
      <c r="F563" t="s">
        <v>656</v>
      </c>
      <c r="G563">
        <v>1.25</v>
      </c>
      <c r="H563">
        <v>2.85</v>
      </c>
      <c r="I563">
        <v>3.35</v>
      </c>
      <c r="J563">
        <v>2.4500000000000002</v>
      </c>
      <c r="K563">
        <v>9.9</v>
      </c>
      <c r="L563">
        <v>4.96</v>
      </c>
      <c r="M563">
        <v>20</v>
      </c>
      <c r="N563">
        <v>34</v>
      </c>
      <c r="O563">
        <v>14</v>
      </c>
      <c r="P563">
        <v>39</v>
      </c>
      <c r="Q563">
        <v>19</v>
      </c>
      <c r="R563">
        <v>9.5</v>
      </c>
      <c r="S563">
        <v>66.099999999999994</v>
      </c>
      <c r="T563">
        <v>95</v>
      </c>
      <c r="U563">
        <v>14.70588235</v>
      </c>
      <c r="V563">
        <v>5</v>
      </c>
      <c r="W563">
        <v>4</v>
      </c>
      <c r="X563">
        <v>5</v>
      </c>
      <c r="Y563">
        <v>0</v>
      </c>
      <c r="Z563">
        <v>0</v>
      </c>
      <c r="AA563" t="s">
        <v>66</v>
      </c>
      <c r="AB563" t="s">
        <v>66</v>
      </c>
      <c r="AC563" t="s">
        <v>66</v>
      </c>
      <c r="AD563" t="s">
        <v>66</v>
      </c>
      <c r="AE563">
        <v>29</v>
      </c>
      <c r="AF563">
        <v>30</v>
      </c>
      <c r="AG563" t="s">
        <v>66</v>
      </c>
      <c r="AH563">
        <v>15</v>
      </c>
      <c r="AI563">
        <v>19</v>
      </c>
      <c r="AJ563" t="s">
        <v>66</v>
      </c>
      <c r="AK563">
        <v>12</v>
      </c>
      <c r="AL563">
        <v>17</v>
      </c>
      <c r="AM563">
        <v>13.5</v>
      </c>
      <c r="AN563">
        <v>18</v>
      </c>
      <c r="AO563">
        <v>33.333333330000002</v>
      </c>
      <c r="AP563">
        <v>3.448275862</v>
      </c>
      <c r="AQ563">
        <v>2.1481481480000002</v>
      </c>
      <c r="AR563">
        <v>1.6666666670000001</v>
      </c>
      <c r="AS563">
        <v>-0.48148148099999999</v>
      </c>
      <c r="AT563">
        <v>0</v>
      </c>
      <c r="AU563" t="s">
        <v>66</v>
      </c>
      <c r="AV563">
        <v>0</v>
      </c>
      <c r="AW563">
        <v>0</v>
      </c>
      <c r="AX563">
        <v>0</v>
      </c>
      <c r="AY563">
        <v>1</v>
      </c>
      <c r="AZ563">
        <v>1</v>
      </c>
      <c r="BA563">
        <v>1</v>
      </c>
      <c r="BB563" t="s">
        <v>66</v>
      </c>
      <c r="BC563" t="s">
        <v>66</v>
      </c>
      <c r="BD563" t="s">
        <v>66</v>
      </c>
      <c r="BE563" t="s">
        <v>66</v>
      </c>
      <c r="BF563">
        <v>0</v>
      </c>
      <c r="BG563" t="s">
        <v>66</v>
      </c>
      <c r="BH563" t="s">
        <v>66</v>
      </c>
      <c r="BI563">
        <v>64</v>
      </c>
      <c r="BJ563">
        <v>6.6</v>
      </c>
      <c r="BK563" t="s">
        <v>66</v>
      </c>
      <c r="BL563">
        <v>53</v>
      </c>
      <c r="BM563">
        <v>36</v>
      </c>
      <c r="BN563">
        <v>13</v>
      </c>
      <c r="BO563">
        <f t="shared" si="87"/>
        <v>24.5</v>
      </c>
      <c r="BP563">
        <v>4</v>
      </c>
      <c r="BQ563">
        <v>1</v>
      </c>
      <c r="BS563">
        <v>0</v>
      </c>
      <c r="BT563">
        <f t="shared" si="88"/>
        <v>68.75</v>
      </c>
      <c r="BU563">
        <f t="shared" si="89"/>
        <v>24.242424242424239</v>
      </c>
      <c r="BV563">
        <f t="shared" si="90"/>
        <v>45.283018867924532</v>
      </c>
      <c r="BW563">
        <f t="shared" si="91"/>
        <v>44.897959183673471</v>
      </c>
    </row>
    <row r="564" spans="1:75" x14ac:dyDescent="0.2">
      <c r="A564" t="s">
        <v>60</v>
      </c>
      <c r="B564" t="s">
        <v>105</v>
      </c>
      <c r="C564" t="s">
        <v>106</v>
      </c>
      <c r="D564" t="s">
        <v>603</v>
      </c>
      <c r="E564" t="s">
        <v>630</v>
      </c>
      <c r="F564" t="s">
        <v>657</v>
      </c>
      <c r="G564">
        <v>1.25</v>
      </c>
      <c r="H564">
        <v>2.85</v>
      </c>
      <c r="I564">
        <v>3.35</v>
      </c>
      <c r="J564">
        <v>2.4500000000000002</v>
      </c>
      <c r="K564">
        <v>9.9</v>
      </c>
      <c r="L564">
        <v>4.96</v>
      </c>
      <c r="M564">
        <v>20</v>
      </c>
      <c r="N564">
        <v>20</v>
      </c>
      <c r="O564">
        <v>0</v>
      </c>
      <c r="P564">
        <v>23</v>
      </c>
      <c r="Q564">
        <v>3</v>
      </c>
      <c r="R564">
        <v>1.5</v>
      </c>
      <c r="S564">
        <v>50.1</v>
      </c>
      <c r="T564">
        <v>15</v>
      </c>
      <c r="U564">
        <v>15</v>
      </c>
      <c r="V564">
        <v>4</v>
      </c>
      <c r="W564">
        <v>3</v>
      </c>
      <c r="X564">
        <v>4</v>
      </c>
      <c r="Y564">
        <v>0</v>
      </c>
      <c r="Z564">
        <v>0</v>
      </c>
      <c r="AA564" t="s">
        <v>66</v>
      </c>
      <c r="AB564" t="s">
        <v>66</v>
      </c>
      <c r="AC564" t="s">
        <v>66</v>
      </c>
      <c r="AD564" t="s">
        <v>66</v>
      </c>
      <c r="AE564">
        <v>14</v>
      </c>
      <c r="AF564">
        <v>17</v>
      </c>
      <c r="AG564" t="s">
        <v>66</v>
      </c>
      <c r="AH564">
        <v>12</v>
      </c>
      <c r="AI564">
        <v>18</v>
      </c>
      <c r="AJ564" t="s">
        <v>66</v>
      </c>
      <c r="AK564">
        <v>5</v>
      </c>
      <c r="AL564">
        <v>10</v>
      </c>
      <c r="AM564">
        <v>8.5</v>
      </c>
      <c r="AN564">
        <v>14</v>
      </c>
      <c r="AO564">
        <v>64.705882349999996</v>
      </c>
      <c r="AP564">
        <v>21.428571430000002</v>
      </c>
      <c r="AQ564">
        <v>1.6470588239999999</v>
      </c>
      <c r="AR564">
        <v>1.2142857140000001</v>
      </c>
      <c r="AS564">
        <v>-0.43277311000000002</v>
      </c>
      <c r="AT564">
        <v>0</v>
      </c>
      <c r="AU564" t="s">
        <v>66</v>
      </c>
      <c r="AV564">
        <v>0</v>
      </c>
      <c r="AW564">
        <v>0</v>
      </c>
      <c r="AX564">
        <v>0</v>
      </c>
      <c r="AY564">
        <v>1</v>
      </c>
      <c r="AZ564">
        <v>1</v>
      </c>
      <c r="BA564">
        <v>1</v>
      </c>
      <c r="BB564" t="s">
        <v>66</v>
      </c>
      <c r="BC564" t="s">
        <v>66</v>
      </c>
      <c r="BD564" t="s">
        <v>66</v>
      </c>
      <c r="BE564" t="s">
        <v>66</v>
      </c>
      <c r="BF564">
        <v>0</v>
      </c>
      <c r="BG564" t="s">
        <v>66</v>
      </c>
      <c r="BH564" t="s">
        <v>66</v>
      </c>
      <c r="BI564">
        <v>40</v>
      </c>
      <c r="BJ564">
        <v>4.5</v>
      </c>
      <c r="BK564" t="s">
        <v>66</v>
      </c>
      <c r="BL564">
        <v>33</v>
      </c>
      <c r="BM564">
        <v>23</v>
      </c>
      <c r="BN564">
        <v>15</v>
      </c>
      <c r="BO564">
        <f t="shared" si="87"/>
        <v>19</v>
      </c>
      <c r="BP564">
        <v>4</v>
      </c>
      <c r="BQ564">
        <v>1</v>
      </c>
      <c r="BS564">
        <v>0</v>
      </c>
      <c r="BT564">
        <f t="shared" si="88"/>
        <v>50</v>
      </c>
      <c r="BU564">
        <f t="shared" si="89"/>
        <v>11.111111111111111</v>
      </c>
      <c r="BV564">
        <f t="shared" si="90"/>
        <v>57.575757575757578</v>
      </c>
      <c r="BW564">
        <f t="shared" si="91"/>
        <v>55.26315789473685</v>
      </c>
    </row>
    <row r="565" spans="1:75" x14ac:dyDescent="0.2">
      <c r="A565" t="s">
        <v>60</v>
      </c>
      <c r="B565" t="s">
        <v>105</v>
      </c>
      <c r="C565" t="s">
        <v>106</v>
      </c>
      <c r="D565" t="s">
        <v>603</v>
      </c>
      <c r="E565" t="s">
        <v>632</v>
      </c>
      <c r="F565" t="s">
        <v>658</v>
      </c>
      <c r="G565">
        <v>1.25</v>
      </c>
      <c r="H565">
        <v>2.85</v>
      </c>
      <c r="I565">
        <v>3.35</v>
      </c>
      <c r="J565">
        <v>2.4500000000000002</v>
      </c>
      <c r="K565">
        <v>9.9</v>
      </c>
      <c r="L565">
        <v>4.96</v>
      </c>
      <c r="M565">
        <v>41</v>
      </c>
      <c r="N565">
        <v>45</v>
      </c>
      <c r="O565">
        <v>4</v>
      </c>
      <c r="P565">
        <v>56</v>
      </c>
      <c r="Q565">
        <v>15</v>
      </c>
      <c r="R565">
        <v>7.5</v>
      </c>
      <c r="S565">
        <v>62.1</v>
      </c>
      <c r="T565">
        <v>36.585365850000002</v>
      </c>
      <c r="U565">
        <v>24.444444440000002</v>
      </c>
      <c r="V565">
        <v>6</v>
      </c>
      <c r="W565">
        <v>8</v>
      </c>
      <c r="X565">
        <v>10</v>
      </c>
      <c r="Y565">
        <v>4</v>
      </c>
      <c r="Z565">
        <v>66.666666669999998</v>
      </c>
      <c r="AA565" t="s">
        <v>66</v>
      </c>
      <c r="AB565" t="s">
        <v>66</v>
      </c>
      <c r="AC565" t="s">
        <v>66</v>
      </c>
      <c r="AD565" t="s">
        <v>66</v>
      </c>
      <c r="AE565">
        <v>39</v>
      </c>
      <c r="AF565">
        <v>48</v>
      </c>
      <c r="AG565" t="s">
        <v>66</v>
      </c>
      <c r="AH565">
        <v>31</v>
      </c>
      <c r="AI565">
        <v>36</v>
      </c>
      <c r="AJ565" t="s">
        <v>66</v>
      </c>
      <c r="AK565">
        <v>24</v>
      </c>
      <c r="AL565">
        <v>34</v>
      </c>
      <c r="AM565">
        <v>27.5</v>
      </c>
      <c r="AN565">
        <v>35</v>
      </c>
      <c r="AO565">
        <v>27.272727270000001</v>
      </c>
      <c r="AP565">
        <v>23.07692308</v>
      </c>
      <c r="AQ565">
        <v>1.4181818180000001</v>
      </c>
      <c r="AR565">
        <v>1.371428571</v>
      </c>
      <c r="AS565">
        <v>-4.6753246999999998E-2</v>
      </c>
      <c r="AT565">
        <v>0</v>
      </c>
      <c r="AU565" t="s">
        <v>66</v>
      </c>
      <c r="AV565">
        <v>0</v>
      </c>
      <c r="AW565">
        <v>0</v>
      </c>
      <c r="AX565">
        <v>0</v>
      </c>
      <c r="AY565">
        <v>1</v>
      </c>
      <c r="AZ565">
        <v>1</v>
      </c>
      <c r="BA565">
        <v>1</v>
      </c>
      <c r="BB565" t="s">
        <v>66</v>
      </c>
      <c r="BC565" t="s">
        <v>66</v>
      </c>
      <c r="BD565" t="s">
        <v>66</v>
      </c>
      <c r="BE565" t="s">
        <v>66</v>
      </c>
      <c r="BF565">
        <v>0</v>
      </c>
      <c r="BG565" t="s">
        <v>66</v>
      </c>
      <c r="BH565" t="s">
        <v>66</v>
      </c>
      <c r="BI565">
        <v>78</v>
      </c>
      <c r="BJ565">
        <v>11.4</v>
      </c>
      <c r="BK565" t="s">
        <v>66</v>
      </c>
      <c r="BL565">
        <v>70</v>
      </c>
      <c r="BM565">
        <v>56</v>
      </c>
      <c r="BN565">
        <v>40</v>
      </c>
      <c r="BO565">
        <f t="shared" si="87"/>
        <v>48</v>
      </c>
      <c r="BP565">
        <v>4</v>
      </c>
      <c r="BQ565">
        <v>1</v>
      </c>
      <c r="BS565">
        <v>0</v>
      </c>
      <c r="BT565">
        <f t="shared" si="88"/>
        <v>47.435897435897431</v>
      </c>
      <c r="BU565">
        <f t="shared" si="89"/>
        <v>47.368421052631582</v>
      </c>
      <c r="BV565">
        <f t="shared" si="90"/>
        <v>44.285714285714285</v>
      </c>
      <c r="BW565">
        <f t="shared" si="91"/>
        <v>42.708333333333329</v>
      </c>
    </row>
    <row r="566" spans="1:75" x14ac:dyDescent="0.2">
      <c r="A566" t="s">
        <v>60</v>
      </c>
      <c r="B566" t="s">
        <v>105</v>
      </c>
      <c r="C566" t="s">
        <v>106</v>
      </c>
      <c r="D566" t="s">
        <v>603</v>
      </c>
      <c r="E566" t="s">
        <v>634</v>
      </c>
      <c r="F566" t="s">
        <v>659</v>
      </c>
      <c r="G566">
        <v>1.25</v>
      </c>
      <c r="H566">
        <v>2.85</v>
      </c>
      <c r="I566">
        <v>3.35</v>
      </c>
      <c r="J566">
        <v>2.4500000000000002</v>
      </c>
      <c r="K566">
        <v>9.9</v>
      </c>
      <c r="L566">
        <v>4.96</v>
      </c>
      <c r="M566">
        <v>24</v>
      </c>
      <c r="N566">
        <v>13</v>
      </c>
      <c r="O566">
        <v>-11</v>
      </c>
      <c r="P566">
        <v>20</v>
      </c>
      <c r="Q566">
        <v>-4</v>
      </c>
      <c r="R566">
        <v>-2</v>
      </c>
      <c r="S566">
        <v>43.1</v>
      </c>
      <c r="T566">
        <v>-16.666666670000001</v>
      </c>
      <c r="U566">
        <v>53.84615385</v>
      </c>
      <c r="V566">
        <v>4</v>
      </c>
      <c r="W566">
        <v>2</v>
      </c>
      <c r="X566">
        <v>3</v>
      </c>
      <c r="Y566">
        <v>-1</v>
      </c>
      <c r="Z566">
        <v>-25</v>
      </c>
      <c r="AA566" t="s">
        <v>66</v>
      </c>
      <c r="AB566" t="s">
        <v>66</v>
      </c>
      <c r="AC566" t="s">
        <v>66</v>
      </c>
      <c r="AD566" t="s">
        <v>66</v>
      </c>
      <c r="AE566">
        <v>10</v>
      </c>
      <c r="AF566">
        <v>16</v>
      </c>
      <c r="AG566" t="s">
        <v>66</v>
      </c>
      <c r="AH566">
        <v>6</v>
      </c>
      <c r="AI566">
        <v>10</v>
      </c>
      <c r="AJ566" t="s">
        <v>66</v>
      </c>
      <c r="AK566">
        <v>4</v>
      </c>
      <c r="AL566">
        <v>9</v>
      </c>
      <c r="AM566">
        <v>5</v>
      </c>
      <c r="AN566">
        <v>9.5</v>
      </c>
      <c r="AO566">
        <v>90</v>
      </c>
      <c r="AP566">
        <v>60</v>
      </c>
      <c r="AQ566">
        <v>2</v>
      </c>
      <c r="AR566">
        <v>1.684210526</v>
      </c>
      <c r="AS566">
        <v>-0.31578947400000001</v>
      </c>
      <c r="AT566">
        <v>0</v>
      </c>
      <c r="AU566" t="s">
        <v>66</v>
      </c>
      <c r="AV566">
        <v>0</v>
      </c>
      <c r="AW566">
        <v>0</v>
      </c>
      <c r="AX566">
        <v>0</v>
      </c>
      <c r="AY566">
        <v>1</v>
      </c>
      <c r="AZ566">
        <v>1</v>
      </c>
      <c r="BA566">
        <v>1</v>
      </c>
      <c r="BB566" t="s">
        <v>66</v>
      </c>
      <c r="BC566" t="s">
        <v>66</v>
      </c>
      <c r="BD566" t="s">
        <v>66</v>
      </c>
      <c r="BE566" t="s">
        <v>66</v>
      </c>
      <c r="BF566">
        <v>0</v>
      </c>
      <c r="BG566" t="s">
        <v>66</v>
      </c>
      <c r="BH566" t="s">
        <v>66</v>
      </c>
      <c r="BI566">
        <v>28</v>
      </c>
      <c r="BJ566">
        <v>4</v>
      </c>
      <c r="BK566" t="s">
        <v>66</v>
      </c>
      <c r="BL566">
        <v>17</v>
      </c>
      <c r="BM566">
        <v>15</v>
      </c>
      <c r="BN566">
        <v>10</v>
      </c>
      <c r="BO566">
        <f t="shared" si="87"/>
        <v>12.5</v>
      </c>
      <c r="BP566">
        <v>4</v>
      </c>
      <c r="BQ566">
        <v>1</v>
      </c>
      <c r="BS566">
        <v>0</v>
      </c>
      <c r="BT566">
        <f t="shared" si="88"/>
        <v>14.285714285714285</v>
      </c>
      <c r="BU566">
        <f t="shared" si="89"/>
        <v>0</v>
      </c>
      <c r="BV566">
        <f t="shared" si="90"/>
        <v>41.17647058823529</v>
      </c>
      <c r="BW566">
        <f t="shared" si="91"/>
        <v>60</v>
      </c>
    </row>
    <row r="567" spans="1:75" x14ac:dyDescent="0.2">
      <c r="A567" t="s">
        <v>60</v>
      </c>
      <c r="B567" t="s">
        <v>105</v>
      </c>
      <c r="C567" t="s">
        <v>106</v>
      </c>
      <c r="D567" t="s">
        <v>603</v>
      </c>
      <c r="E567" t="s">
        <v>636</v>
      </c>
      <c r="F567" t="s">
        <v>660</v>
      </c>
      <c r="G567">
        <v>1.25</v>
      </c>
      <c r="H567">
        <v>2.85</v>
      </c>
      <c r="I567">
        <v>3.35</v>
      </c>
      <c r="J567">
        <v>2.4500000000000002</v>
      </c>
      <c r="K567">
        <v>9.9</v>
      </c>
      <c r="L567">
        <v>4.96</v>
      </c>
      <c r="M567">
        <v>10</v>
      </c>
      <c r="N567">
        <v>9</v>
      </c>
      <c r="O567">
        <v>-1</v>
      </c>
      <c r="P567">
        <v>12</v>
      </c>
      <c r="Q567">
        <v>2</v>
      </c>
      <c r="R567">
        <v>1</v>
      </c>
      <c r="S567">
        <v>49.1</v>
      </c>
      <c r="T567">
        <v>20</v>
      </c>
      <c r="U567">
        <v>33.333333330000002</v>
      </c>
      <c r="V567">
        <v>2</v>
      </c>
      <c r="W567">
        <v>1</v>
      </c>
      <c r="X567">
        <v>1</v>
      </c>
      <c r="Y567">
        <v>-1</v>
      </c>
      <c r="Z567">
        <v>-50</v>
      </c>
      <c r="AA567" t="s">
        <v>66</v>
      </c>
      <c r="AB567" t="s">
        <v>66</v>
      </c>
      <c r="AC567" t="s">
        <v>66</v>
      </c>
      <c r="AD567" t="s">
        <v>66</v>
      </c>
      <c r="AE567">
        <v>6</v>
      </c>
      <c r="AF567">
        <v>9</v>
      </c>
      <c r="AG567" t="s">
        <v>66</v>
      </c>
      <c r="AH567">
        <v>2.5</v>
      </c>
      <c r="AI567">
        <v>5</v>
      </c>
      <c r="AJ567" t="s">
        <v>66</v>
      </c>
      <c r="AK567">
        <v>1</v>
      </c>
      <c r="AL567">
        <v>4</v>
      </c>
      <c r="AM567">
        <v>1.75</v>
      </c>
      <c r="AN567">
        <v>4.5</v>
      </c>
      <c r="AO567">
        <v>157.14285709999999</v>
      </c>
      <c r="AP567">
        <v>50</v>
      </c>
      <c r="AQ567">
        <v>3.4285714289999998</v>
      </c>
      <c r="AR567">
        <v>2</v>
      </c>
      <c r="AS567">
        <v>-1.428571429</v>
      </c>
      <c r="AT567">
        <v>0</v>
      </c>
      <c r="AU567" t="s">
        <v>66</v>
      </c>
      <c r="AV567">
        <v>0</v>
      </c>
      <c r="AW567">
        <v>0</v>
      </c>
      <c r="AX567">
        <v>0</v>
      </c>
      <c r="AY567">
        <v>1</v>
      </c>
      <c r="AZ567">
        <v>1</v>
      </c>
      <c r="BA567">
        <v>1</v>
      </c>
      <c r="BB567" t="s">
        <v>66</v>
      </c>
      <c r="BC567" t="s">
        <v>66</v>
      </c>
      <c r="BD567" t="s">
        <v>66</v>
      </c>
      <c r="BE567" t="s">
        <v>66</v>
      </c>
      <c r="BF567">
        <v>0</v>
      </c>
      <c r="BG567" t="s">
        <v>66</v>
      </c>
      <c r="BH567" t="s">
        <v>66</v>
      </c>
      <c r="BI567">
        <v>16</v>
      </c>
      <c r="BJ567">
        <v>4.5999999999999996</v>
      </c>
      <c r="BK567" t="s">
        <v>66</v>
      </c>
      <c r="BL567">
        <v>11</v>
      </c>
      <c r="BM567">
        <v>8</v>
      </c>
      <c r="BN567">
        <v>3</v>
      </c>
      <c r="BO567">
        <f t="shared" si="87"/>
        <v>5.5</v>
      </c>
      <c r="BP567">
        <v>4</v>
      </c>
      <c r="BQ567">
        <v>1</v>
      </c>
      <c r="BS567">
        <v>0</v>
      </c>
      <c r="BT567">
        <f t="shared" si="88"/>
        <v>37.5</v>
      </c>
      <c r="BU567">
        <f t="shared" si="89"/>
        <v>56.521739130434781</v>
      </c>
      <c r="BV567">
        <f t="shared" si="90"/>
        <v>45.454545454545453</v>
      </c>
      <c r="BW567">
        <f t="shared" si="91"/>
        <v>68.181818181818173</v>
      </c>
    </row>
    <row r="568" spans="1:75" x14ac:dyDescent="0.2">
      <c r="A568" t="s">
        <v>60</v>
      </c>
      <c r="B568" t="s">
        <v>105</v>
      </c>
      <c r="C568" t="s">
        <v>106</v>
      </c>
      <c r="D568" t="s">
        <v>603</v>
      </c>
      <c r="E568" t="s">
        <v>638</v>
      </c>
      <c r="F568" t="s">
        <v>661</v>
      </c>
      <c r="G568">
        <v>1.25</v>
      </c>
      <c r="H568">
        <v>2.85</v>
      </c>
      <c r="I568">
        <v>3.35</v>
      </c>
      <c r="J568">
        <v>2.4500000000000002</v>
      </c>
      <c r="K568">
        <v>9.9</v>
      </c>
      <c r="L568">
        <v>4.96</v>
      </c>
      <c r="M568">
        <v>25</v>
      </c>
      <c r="N568">
        <v>26</v>
      </c>
      <c r="O568">
        <v>1</v>
      </c>
      <c r="P568">
        <v>29</v>
      </c>
      <c r="Q568">
        <v>4</v>
      </c>
      <c r="R568">
        <v>2</v>
      </c>
      <c r="S568">
        <v>51.1</v>
      </c>
      <c r="T568">
        <v>16</v>
      </c>
      <c r="U568">
        <v>11.53846154</v>
      </c>
      <c r="V568">
        <v>3</v>
      </c>
      <c r="W568">
        <v>4</v>
      </c>
      <c r="X568">
        <v>5</v>
      </c>
      <c r="Y568">
        <v>2</v>
      </c>
      <c r="Z568">
        <v>66.666666669999998</v>
      </c>
      <c r="AA568" t="s">
        <v>66</v>
      </c>
      <c r="AB568" t="s">
        <v>66</v>
      </c>
      <c r="AC568" t="s">
        <v>66</v>
      </c>
      <c r="AD568" t="s">
        <v>66</v>
      </c>
      <c r="AE568">
        <v>22</v>
      </c>
      <c r="AF568">
        <v>21</v>
      </c>
      <c r="AG568" t="s">
        <v>66</v>
      </c>
      <c r="AH568">
        <v>13</v>
      </c>
      <c r="AI568">
        <v>17</v>
      </c>
      <c r="AJ568" t="s">
        <v>66</v>
      </c>
      <c r="AK568">
        <v>10</v>
      </c>
      <c r="AL568">
        <v>13</v>
      </c>
      <c r="AM568">
        <v>11.5</v>
      </c>
      <c r="AN568">
        <v>15</v>
      </c>
      <c r="AO568">
        <v>30.434782609999999</v>
      </c>
      <c r="AP568">
        <v>-4.5454545450000001</v>
      </c>
      <c r="AQ568">
        <v>1.9130434780000001</v>
      </c>
      <c r="AR568">
        <v>1.4</v>
      </c>
      <c r="AS568">
        <v>-0.51304347800000005</v>
      </c>
      <c r="AT568">
        <v>0</v>
      </c>
      <c r="AU568" t="s">
        <v>66</v>
      </c>
      <c r="AV568">
        <v>0</v>
      </c>
      <c r="AW568">
        <v>0</v>
      </c>
      <c r="AX568">
        <v>0</v>
      </c>
      <c r="AY568">
        <v>1</v>
      </c>
      <c r="AZ568">
        <v>1</v>
      </c>
      <c r="BA568">
        <v>1</v>
      </c>
      <c r="BB568" t="s">
        <v>66</v>
      </c>
      <c r="BC568" t="s">
        <v>66</v>
      </c>
      <c r="BD568" t="s">
        <v>66</v>
      </c>
      <c r="BE568" t="s">
        <v>66</v>
      </c>
      <c r="BF568">
        <v>0</v>
      </c>
      <c r="BG568" t="s">
        <v>66</v>
      </c>
      <c r="BH568" t="s">
        <v>66</v>
      </c>
      <c r="BI568">
        <v>56</v>
      </c>
      <c r="BJ568">
        <v>7</v>
      </c>
      <c r="BK568" t="s">
        <v>66</v>
      </c>
      <c r="BL568">
        <v>48</v>
      </c>
      <c r="BM568">
        <v>21</v>
      </c>
      <c r="BN568">
        <v>18</v>
      </c>
      <c r="BO568">
        <f t="shared" si="87"/>
        <v>19.5</v>
      </c>
      <c r="BP568">
        <v>4</v>
      </c>
      <c r="BQ568">
        <v>1</v>
      </c>
      <c r="BS568">
        <v>0</v>
      </c>
      <c r="BT568">
        <f t="shared" si="88"/>
        <v>55.357142857142861</v>
      </c>
      <c r="BU568">
        <f t="shared" si="89"/>
        <v>57.142857142857139</v>
      </c>
      <c r="BV568">
        <f t="shared" si="90"/>
        <v>54.166666666666664</v>
      </c>
      <c r="BW568">
        <f t="shared" si="91"/>
        <v>41.025641025641022</v>
      </c>
    </row>
    <row r="569" spans="1:75" x14ac:dyDescent="0.2">
      <c r="A569" t="s">
        <v>60</v>
      </c>
      <c r="B569" t="s">
        <v>105</v>
      </c>
      <c r="C569" t="s">
        <v>106</v>
      </c>
      <c r="D569" t="s">
        <v>603</v>
      </c>
      <c r="E569" t="s">
        <v>640</v>
      </c>
      <c r="F569" t="s">
        <v>662</v>
      </c>
      <c r="G569">
        <v>1.25</v>
      </c>
      <c r="H569">
        <v>2.85</v>
      </c>
      <c r="I569">
        <v>3.35</v>
      </c>
      <c r="J569">
        <v>2.4500000000000002</v>
      </c>
      <c r="K569">
        <v>9.9</v>
      </c>
      <c r="L569">
        <v>4.96</v>
      </c>
      <c r="M569">
        <v>10</v>
      </c>
      <c r="N569">
        <v>14</v>
      </c>
      <c r="O569">
        <v>4</v>
      </c>
      <c r="P569">
        <v>13</v>
      </c>
      <c r="Q569">
        <v>3</v>
      </c>
      <c r="R569">
        <v>1.5</v>
      </c>
      <c r="S569">
        <v>50.1</v>
      </c>
      <c r="T569">
        <v>30</v>
      </c>
      <c r="U569">
        <v>-7.1428571429999996</v>
      </c>
      <c r="V569">
        <v>4</v>
      </c>
      <c r="W569">
        <v>2</v>
      </c>
      <c r="X569">
        <v>2</v>
      </c>
      <c r="Y569">
        <v>-2</v>
      </c>
      <c r="Z569">
        <v>-50</v>
      </c>
      <c r="AA569" t="s">
        <v>66</v>
      </c>
      <c r="AB569" t="s">
        <v>66</v>
      </c>
      <c r="AC569" t="s">
        <v>66</v>
      </c>
      <c r="AD569" t="s">
        <v>66</v>
      </c>
      <c r="AE569">
        <v>10</v>
      </c>
      <c r="AF569">
        <v>17</v>
      </c>
      <c r="AG569" t="s">
        <v>66</v>
      </c>
      <c r="AH569">
        <v>5</v>
      </c>
      <c r="AI569">
        <v>10</v>
      </c>
      <c r="AJ569" t="s">
        <v>66</v>
      </c>
      <c r="AK569">
        <v>3</v>
      </c>
      <c r="AL569">
        <v>6</v>
      </c>
      <c r="AM569">
        <v>4</v>
      </c>
      <c r="AN569">
        <v>8</v>
      </c>
      <c r="AO569">
        <v>100</v>
      </c>
      <c r="AP569">
        <v>70</v>
      </c>
      <c r="AQ569">
        <v>2.5</v>
      </c>
      <c r="AR569">
        <v>2.125</v>
      </c>
      <c r="AS569">
        <v>-0.375</v>
      </c>
      <c r="AT569">
        <v>0</v>
      </c>
      <c r="AU569" t="s">
        <v>66</v>
      </c>
      <c r="AV569">
        <v>0</v>
      </c>
      <c r="AW569">
        <v>1</v>
      </c>
      <c r="AX569">
        <v>0</v>
      </c>
      <c r="AY569">
        <v>1</v>
      </c>
      <c r="AZ569">
        <v>1</v>
      </c>
      <c r="BA569">
        <v>1</v>
      </c>
      <c r="BB569" t="s">
        <v>66</v>
      </c>
      <c r="BC569" t="s">
        <v>66</v>
      </c>
      <c r="BD569" t="s">
        <v>66</v>
      </c>
      <c r="BE569" t="s">
        <v>66</v>
      </c>
      <c r="BF569">
        <v>0</v>
      </c>
      <c r="BG569" t="s">
        <v>66</v>
      </c>
      <c r="BH569" t="s">
        <v>66</v>
      </c>
      <c r="BI569">
        <v>21</v>
      </c>
      <c r="BJ569">
        <v>2.7</v>
      </c>
      <c r="BK569" t="s">
        <v>66</v>
      </c>
      <c r="BL569">
        <v>15</v>
      </c>
      <c r="BM569">
        <v>13</v>
      </c>
      <c r="BN569">
        <v>10</v>
      </c>
      <c r="BO569">
        <f t="shared" si="87"/>
        <v>11.5</v>
      </c>
      <c r="BP569">
        <v>4</v>
      </c>
      <c r="BQ569">
        <v>1</v>
      </c>
      <c r="BS569">
        <v>0</v>
      </c>
      <c r="BT569">
        <f t="shared" si="88"/>
        <v>52.380952380952387</v>
      </c>
      <c r="BU569">
        <f t="shared" si="89"/>
        <v>-48.148148148148138</v>
      </c>
      <c r="BV569">
        <f t="shared" si="90"/>
        <v>33.333333333333329</v>
      </c>
      <c r="BW569">
        <f t="shared" si="91"/>
        <v>65.217391304347828</v>
      </c>
    </row>
    <row r="570" spans="1:75" x14ac:dyDescent="0.2">
      <c r="A570" t="s">
        <v>60</v>
      </c>
      <c r="B570" t="s">
        <v>105</v>
      </c>
      <c r="C570" t="s">
        <v>106</v>
      </c>
      <c r="D570" t="s">
        <v>603</v>
      </c>
      <c r="E570" t="s">
        <v>642</v>
      </c>
      <c r="F570" t="s">
        <v>663</v>
      </c>
      <c r="G570">
        <v>1.25</v>
      </c>
      <c r="H570">
        <v>2.85</v>
      </c>
      <c r="I570">
        <v>3.35</v>
      </c>
      <c r="J570">
        <v>2.4500000000000002</v>
      </c>
      <c r="K570">
        <v>9.9</v>
      </c>
      <c r="L570">
        <v>4.96</v>
      </c>
      <c r="M570">
        <v>33</v>
      </c>
      <c r="N570">
        <v>36</v>
      </c>
      <c r="O570">
        <v>3</v>
      </c>
      <c r="P570">
        <v>39</v>
      </c>
      <c r="Q570">
        <v>6</v>
      </c>
      <c r="R570">
        <v>3</v>
      </c>
      <c r="S570">
        <v>53.1</v>
      </c>
      <c r="T570">
        <v>18.18181818</v>
      </c>
      <c r="U570">
        <v>8.3333333330000006</v>
      </c>
      <c r="V570">
        <v>4</v>
      </c>
      <c r="W570">
        <v>6</v>
      </c>
      <c r="X570">
        <v>5</v>
      </c>
      <c r="Y570">
        <v>1</v>
      </c>
      <c r="Z570">
        <v>25</v>
      </c>
      <c r="AA570" t="s">
        <v>66</v>
      </c>
      <c r="AB570" t="s">
        <v>66</v>
      </c>
      <c r="AC570" t="s">
        <v>66</v>
      </c>
      <c r="AD570" t="s">
        <v>66</v>
      </c>
      <c r="AE570">
        <v>29</v>
      </c>
      <c r="AF570">
        <v>33</v>
      </c>
      <c r="AG570" t="s">
        <v>66</v>
      </c>
      <c r="AH570">
        <v>22</v>
      </c>
      <c r="AI570">
        <v>23</v>
      </c>
      <c r="AJ570" t="s">
        <v>66</v>
      </c>
      <c r="AK570">
        <v>15</v>
      </c>
      <c r="AL570">
        <v>19</v>
      </c>
      <c r="AM570">
        <v>18.5</v>
      </c>
      <c r="AN570">
        <v>21</v>
      </c>
      <c r="AO570">
        <v>13.513513509999999</v>
      </c>
      <c r="AP570">
        <v>13.79310345</v>
      </c>
      <c r="AQ570">
        <v>1.5675675680000001</v>
      </c>
      <c r="AR570">
        <v>1.571428571</v>
      </c>
      <c r="AS570">
        <v>3.861003E-3</v>
      </c>
      <c r="AT570">
        <v>0</v>
      </c>
      <c r="AU570" t="s">
        <v>66</v>
      </c>
      <c r="AV570">
        <v>0</v>
      </c>
      <c r="AW570">
        <v>0</v>
      </c>
      <c r="AX570">
        <v>0</v>
      </c>
      <c r="AY570">
        <v>1</v>
      </c>
      <c r="AZ570">
        <v>1</v>
      </c>
      <c r="BA570">
        <v>1</v>
      </c>
      <c r="BB570" t="s">
        <v>66</v>
      </c>
      <c r="BC570" t="s">
        <v>66</v>
      </c>
      <c r="BD570" t="s">
        <v>66</v>
      </c>
      <c r="BE570" t="s">
        <v>66</v>
      </c>
      <c r="BF570">
        <v>0</v>
      </c>
      <c r="BG570" t="s">
        <v>66</v>
      </c>
      <c r="BH570" t="s">
        <v>66</v>
      </c>
      <c r="BI570">
        <v>52</v>
      </c>
      <c r="BJ570">
        <v>7.5</v>
      </c>
      <c r="BK570" t="s">
        <v>66</v>
      </c>
      <c r="BL570">
        <v>47</v>
      </c>
      <c r="BM570">
        <v>26</v>
      </c>
      <c r="BN570">
        <v>20</v>
      </c>
      <c r="BO570">
        <f t="shared" si="87"/>
        <v>23</v>
      </c>
      <c r="BP570">
        <v>4</v>
      </c>
      <c r="BQ570">
        <v>1</v>
      </c>
      <c r="BS570">
        <v>0</v>
      </c>
      <c r="BT570">
        <f t="shared" si="88"/>
        <v>36.538461538461533</v>
      </c>
      <c r="BU570">
        <f t="shared" si="89"/>
        <v>46.666666666666664</v>
      </c>
      <c r="BV570">
        <f t="shared" si="90"/>
        <v>38.297872340425535</v>
      </c>
      <c r="BW570">
        <f t="shared" si="91"/>
        <v>19.565217391304348</v>
      </c>
    </row>
    <row r="571" spans="1:75" x14ac:dyDescent="0.2">
      <c r="A571" t="s">
        <v>127</v>
      </c>
      <c r="B571" t="s">
        <v>149</v>
      </c>
      <c r="C571" t="s">
        <v>106</v>
      </c>
      <c r="D571" t="s">
        <v>603</v>
      </c>
      <c r="E571" t="s">
        <v>604</v>
      </c>
      <c r="F571" t="s">
        <v>684</v>
      </c>
      <c r="G571">
        <v>2.95</v>
      </c>
      <c r="H571">
        <v>10.5</v>
      </c>
      <c r="I571">
        <v>2.2999999999999998</v>
      </c>
      <c r="J571">
        <v>1.05</v>
      </c>
      <c r="K571">
        <v>16.8</v>
      </c>
      <c r="L571">
        <v>4.3389830509999996</v>
      </c>
      <c r="M571">
        <v>30</v>
      </c>
      <c r="N571">
        <v>33</v>
      </c>
      <c r="O571">
        <v>3</v>
      </c>
      <c r="P571">
        <v>38</v>
      </c>
      <c r="Q571">
        <v>8</v>
      </c>
      <c r="R571">
        <v>4</v>
      </c>
      <c r="S571">
        <v>55.1</v>
      </c>
      <c r="T571">
        <v>26.666666670000001</v>
      </c>
      <c r="U571">
        <v>15.15151515</v>
      </c>
      <c r="V571">
        <v>4</v>
      </c>
      <c r="W571">
        <v>5</v>
      </c>
      <c r="X571">
        <v>6</v>
      </c>
      <c r="Y571">
        <v>2</v>
      </c>
      <c r="Z571">
        <v>50</v>
      </c>
      <c r="AA571" t="s">
        <v>66</v>
      </c>
      <c r="AB571" t="s">
        <v>66</v>
      </c>
      <c r="AC571" t="s">
        <v>66</v>
      </c>
      <c r="AD571" t="s">
        <v>66</v>
      </c>
      <c r="AE571">
        <v>29</v>
      </c>
      <c r="AF571">
        <v>32</v>
      </c>
      <c r="AG571" t="s">
        <v>66</v>
      </c>
      <c r="AH571">
        <v>20</v>
      </c>
      <c r="AI571">
        <v>22</v>
      </c>
      <c r="AJ571" t="s">
        <v>66</v>
      </c>
      <c r="AK571">
        <v>16</v>
      </c>
      <c r="AL571">
        <v>16</v>
      </c>
      <c r="AM571">
        <v>18</v>
      </c>
      <c r="AN571">
        <v>19</v>
      </c>
      <c r="AO571">
        <v>5.5555555559999998</v>
      </c>
      <c r="AP571">
        <v>10.34482759</v>
      </c>
      <c r="AQ571">
        <v>1.611111111</v>
      </c>
      <c r="AR571">
        <v>1.684210526</v>
      </c>
      <c r="AS571">
        <v>7.3099415000000001E-2</v>
      </c>
      <c r="AT571">
        <v>0</v>
      </c>
      <c r="AU571" t="s">
        <v>66</v>
      </c>
      <c r="AV571">
        <v>0</v>
      </c>
      <c r="AW571">
        <v>0</v>
      </c>
      <c r="AX571">
        <v>0</v>
      </c>
      <c r="AY571">
        <v>1</v>
      </c>
      <c r="AZ571">
        <v>1</v>
      </c>
      <c r="BA571">
        <v>1</v>
      </c>
      <c r="BB571" t="s">
        <v>66</v>
      </c>
      <c r="BC571" t="s">
        <v>66</v>
      </c>
      <c r="BD571" t="s">
        <v>66</v>
      </c>
      <c r="BE571" t="s">
        <v>66</v>
      </c>
      <c r="BF571">
        <v>0</v>
      </c>
      <c r="BG571" t="s">
        <v>66</v>
      </c>
      <c r="BH571" t="s">
        <v>66</v>
      </c>
      <c r="BI571">
        <v>54</v>
      </c>
      <c r="BJ571">
        <v>7</v>
      </c>
      <c r="BK571" t="s">
        <v>66</v>
      </c>
      <c r="BL571">
        <v>45</v>
      </c>
      <c r="BM571">
        <v>31</v>
      </c>
      <c r="BN571">
        <v>24</v>
      </c>
      <c r="BO571">
        <f t="shared" si="87"/>
        <v>27.5</v>
      </c>
      <c r="BP571">
        <v>4</v>
      </c>
      <c r="BQ571">
        <v>1</v>
      </c>
      <c r="BS571">
        <v>0</v>
      </c>
      <c r="BT571">
        <f t="shared" si="88"/>
        <v>44.444444444444443</v>
      </c>
      <c r="BU571">
        <f t="shared" si="89"/>
        <v>42.857142857142854</v>
      </c>
      <c r="BV571">
        <f t="shared" si="90"/>
        <v>35.555555555555557</v>
      </c>
      <c r="BW571">
        <f t="shared" si="91"/>
        <v>34.545454545454547</v>
      </c>
    </row>
    <row r="572" spans="1:75" x14ac:dyDescent="0.2">
      <c r="A572" t="s">
        <v>127</v>
      </c>
      <c r="B572" t="s">
        <v>149</v>
      </c>
      <c r="C572" t="s">
        <v>106</v>
      </c>
      <c r="D572" t="s">
        <v>603</v>
      </c>
      <c r="E572" t="s">
        <v>606</v>
      </c>
      <c r="F572" t="s">
        <v>685</v>
      </c>
      <c r="G572">
        <v>2.95</v>
      </c>
      <c r="H572">
        <v>10.5</v>
      </c>
      <c r="I572">
        <v>2.2999999999999998</v>
      </c>
      <c r="J572">
        <v>1.05</v>
      </c>
      <c r="K572">
        <v>16.8</v>
      </c>
      <c r="L572">
        <v>4.3389830509999996</v>
      </c>
      <c r="M572">
        <v>20</v>
      </c>
      <c r="N572">
        <v>24</v>
      </c>
      <c r="O572">
        <v>4</v>
      </c>
      <c r="P572">
        <v>26</v>
      </c>
      <c r="Q572">
        <v>6</v>
      </c>
      <c r="R572">
        <v>3</v>
      </c>
      <c r="S572">
        <v>53.1</v>
      </c>
      <c r="T572">
        <v>30</v>
      </c>
      <c r="U572">
        <v>8.3333333330000006</v>
      </c>
      <c r="V572">
        <v>3</v>
      </c>
      <c r="W572">
        <v>5</v>
      </c>
      <c r="X572">
        <v>5</v>
      </c>
      <c r="Y572">
        <v>2</v>
      </c>
      <c r="Z572">
        <v>66.666666669999998</v>
      </c>
      <c r="AA572" t="s">
        <v>66</v>
      </c>
      <c r="AB572" t="s">
        <v>66</v>
      </c>
      <c r="AC572" t="s">
        <v>66</v>
      </c>
      <c r="AD572" t="s">
        <v>66</v>
      </c>
      <c r="AE572">
        <v>20</v>
      </c>
      <c r="AF572">
        <v>23</v>
      </c>
      <c r="AG572" t="s">
        <v>66</v>
      </c>
      <c r="AH572">
        <v>22</v>
      </c>
      <c r="AI572">
        <v>22</v>
      </c>
      <c r="AJ572" t="s">
        <v>66</v>
      </c>
      <c r="AK572">
        <v>15</v>
      </c>
      <c r="AL572">
        <v>18</v>
      </c>
      <c r="AM572">
        <v>18.5</v>
      </c>
      <c r="AN572">
        <v>20</v>
      </c>
      <c r="AO572">
        <v>8.1081081079999997</v>
      </c>
      <c r="AP572">
        <v>15</v>
      </c>
      <c r="AQ572">
        <v>1.081081081</v>
      </c>
      <c r="AR572">
        <v>1.1499999999999999</v>
      </c>
      <c r="AS572">
        <v>6.8918918999999995E-2</v>
      </c>
      <c r="AT572">
        <v>0</v>
      </c>
      <c r="AU572" t="s">
        <v>66</v>
      </c>
      <c r="AV572">
        <v>0</v>
      </c>
      <c r="AW572">
        <v>0</v>
      </c>
      <c r="AX572">
        <v>0</v>
      </c>
      <c r="AY572">
        <v>1</v>
      </c>
      <c r="AZ572">
        <v>1</v>
      </c>
      <c r="BA572">
        <v>1</v>
      </c>
      <c r="BB572" t="s">
        <v>66</v>
      </c>
      <c r="BC572" t="s">
        <v>66</v>
      </c>
      <c r="BD572" t="s">
        <v>66</v>
      </c>
      <c r="BE572" t="s">
        <v>66</v>
      </c>
      <c r="BF572">
        <v>0</v>
      </c>
      <c r="BG572" t="s">
        <v>66</v>
      </c>
      <c r="BH572" t="s">
        <v>66</v>
      </c>
      <c r="BI572">
        <v>32</v>
      </c>
      <c r="BJ572">
        <v>6.4</v>
      </c>
      <c r="BK572" t="s">
        <v>66</v>
      </c>
      <c r="BL572">
        <v>25</v>
      </c>
      <c r="BM572">
        <v>28</v>
      </c>
      <c r="BN572">
        <v>21</v>
      </c>
      <c r="BO572">
        <f t="shared" si="87"/>
        <v>24.5</v>
      </c>
      <c r="BP572">
        <v>4</v>
      </c>
      <c r="BQ572">
        <v>1</v>
      </c>
      <c r="BS572">
        <v>0</v>
      </c>
      <c r="BT572">
        <f t="shared" si="88"/>
        <v>37.5</v>
      </c>
      <c r="BU572">
        <f t="shared" si="89"/>
        <v>53.125</v>
      </c>
      <c r="BV572">
        <f t="shared" si="90"/>
        <v>20</v>
      </c>
      <c r="BW572">
        <f t="shared" si="91"/>
        <v>24.489795918367346</v>
      </c>
    </row>
    <row r="573" spans="1:75" x14ac:dyDescent="0.2">
      <c r="A573" t="s">
        <v>127</v>
      </c>
      <c r="B573" t="s">
        <v>149</v>
      </c>
      <c r="C573" t="s">
        <v>106</v>
      </c>
      <c r="D573" t="s">
        <v>603</v>
      </c>
      <c r="E573" t="s">
        <v>608</v>
      </c>
      <c r="F573" t="s">
        <v>686</v>
      </c>
      <c r="G573">
        <v>2.95</v>
      </c>
      <c r="H573">
        <v>10.5</v>
      </c>
      <c r="I573">
        <v>2.2999999999999998</v>
      </c>
      <c r="J573">
        <v>1.05</v>
      </c>
      <c r="K573">
        <v>16.8</v>
      </c>
      <c r="L573">
        <v>4.3389830509999996</v>
      </c>
      <c r="M573">
        <v>17</v>
      </c>
      <c r="N573">
        <v>19</v>
      </c>
      <c r="O573">
        <v>2</v>
      </c>
      <c r="P573">
        <v>21</v>
      </c>
      <c r="Q573">
        <v>4</v>
      </c>
      <c r="R573">
        <v>2</v>
      </c>
      <c r="S573">
        <v>51.1</v>
      </c>
      <c r="T573">
        <v>23.529411759999999</v>
      </c>
      <c r="U573">
        <v>10.52631579</v>
      </c>
      <c r="V573">
        <v>2</v>
      </c>
      <c r="W573">
        <v>3</v>
      </c>
      <c r="X573">
        <v>4</v>
      </c>
      <c r="Y573">
        <v>2</v>
      </c>
      <c r="Z573">
        <v>100</v>
      </c>
      <c r="AA573" t="s">
        <v>66</v>
      </c>
      <c r="AB573" t="s">
        <v>66</v>
      </c>
      <c r="AC573" t="s">
        <v>66</v>
      </c>
      <c r="AD573" t="s">
        <v>66</v>
      </c>
      <c r="AE573">
        <v>17</v>
      </c>
      <c r="AF573">
        <v>18</v>
      </c>
      <c r="AG573" t="s">
        <v>66</v>
      </c>
      <c r="AH573">
        <v>12</v>
      </c>
      <c r="AI573">
        <v>14</v>
      </c>
      <c r="AJ573" t="s">
        <v>66</v>
      </c>
      <c r="AK573">
        <v>9</v>
      </c>
      <c r="AL573">
        <v>10</v>
      </c>
      <c r="AM573">
        <v>10.5</v>
      </c>
      <c r="AN573">
        <v>12</v>
      </c>
      <c r="AO573">
        <v>14.28571429</v>
      </c>
      <c r="AP573">
        <v>5.8823529409999997</v>
      </c>
      <c r="AQ573">
        <v>1.619047619</v>
      </c>
      <c r="AR573">
        <v>1.5</v>
      </c>
      <c r="AS573">
        <v>-0.11904761899999999</v>
      </c>
      <c r="AT573">
        <v>0</v>
      </c>
      <c r="AU573" t="s">
        <v>66</v>
      </c>
      <c r="AV573">
        <v>0</v>
      </c>
      <c r="AW573">
        <v>0</v>
      </c>
      <c r="AX573">
        <v>0</v>
      </c>
      <c r="AY573">
        <v>1</v>
      </c>
      <c r="AZ573">
        <v>1</v>
      </c>
      <c r="BA573">
        <v>1</v>
      </c>
      <c r="BB573" t="s">
        <v>66</v>
      </c>
      <c r="BC573" t="s">
        <v>66</v>
      </c>
      <c r="BD573" t="s">
        <v>66</v>
      </c>
      <c r="BE573" t="s">
        <v>66</v>
      </c>
      <c r="BF573">
        <v>0</v>
      </c>
      <c r="BG573" t="s">
        <v>66</v>
      </c>
      <c r="BH573" t="s">
        <v>66</v>
      </c>
      <c r="BI573">
        <v>28</v>
      </c>
      <c r="BJ573">
        <v>4.4000000000000004</v>
      </c>
      <c r="BK573" t="s">
        <v>66</v>
      </c>
      <c r="BL573">
        <v>24</v>
      </c>
      <c r="BM573">
        <v>17</v>
      </c>
      <c r="BN573">
        <v>9</v>
      </c>
      <c r="BO573">
        <f t="shared" si="87"/>
        <v>13</v>
      </c>
      <c r="BP573">
        <v>4</v>
      </c>
      <c r="BQ573">
        <v>1</v>
      </c>
      <c r="BS573">
        <v>0</v>
      </c>
      <c r="BT573">
        <f t="shared" si="88"/>
        <v>39.285714285714285</v>
      </c>
      <c r="BU573">
        <f t="shared" si="89"/>
        <v>54.545454545454554</v>
      </c>
      <c r="BV573">
        <f t="shared" si="90"/>
        <v>29.166666666666668</v>
      </c>
      <c r="BW573">
        <f t="shared" si="91"/>
        <v>19.230769230769234</v>
      </c>
    </row>
    <row r="574" spans="1:75" x14ac:dyDescent="0.2">
      <c r="A574" t="s">
        <v>127</v>
      </c>
      <c r="B574" t="s">
        <v>149</v>
      </c>
      <c r="C574" t="s">
        <v>106</v>
      </c>
      <c r="D574" t="s">
        <v>603</v>
      </c>
      <c r="E574" t="s">
        <v>610</v>
      </c>
      <c r="F574" t="s">
        <v>687</v>
      </c>
      <c r="G574">
        <v>2.95</v>
      </c>
      <c r="H574">
        <v>10.5</v>
      </c>
      <c r="I574">
        <v>2.2999999999999998</v>
      </c>
      <c r="J574">
        <v>1.05</v>
      </c>
      <c r="K574">
        <v>16.8</v>
      </c>
      <c r="L574">
        <v>4.3389830509999996</v>
      </c>
      <c r="M574">
        <v>17</v>
      </c>
      <c r="N574">
        <v>20</v>
      </c>
      <c r="O574">
        <v>3</v>
      </c>
      <c r="P574">
        <v>23</v>
      </c>
      <c r="Q574">
        <v>6</v>
      </c>
      <c r="R574">
        <v>3</v>
      </c>
      <c r="S574">
        <v>53.1</v>
      </c>
      <c r="T574">
        <v>35.294117649999997</v>
      </c>
      <c r="U574">
        <v>15</v>
      </c>
      <c r="V574">
        <v>2</v>
      </c>
      <c r="W574">
        <v>2</v>
      </c>
      <c r="X574">
        <v>3</v>
      </c>
      <c r="Y574">
        <v>1</v>
      </c>
      <c r="Z574">
        <v>50</v>
      </c>
      <c r="AA574" t="s">
        <v>66</v>
      </c>
      <c r="AB574" t="s">
        <v>66</v>
      </c>
      <c r="AC574" t="s">
        <v>66</v>
      </c>
      <c r="AD574" t="s">
        <v>66</v>
      </c>
      <c r="AE574">
        <v>13</v>
      </c>
      <c r="AF574">
        <v>15</v>
      </c>
      <c r="AG574" t="s">
        <v>66</v>
      </c>
      <c r="AH574">
        <v>10</v>
      </c>
      <c r="AI574">
        <v>14</v>
      </c>
      <c r="AJ574" t="s">
        <v>66</v>
      </c>
      <c r="AK574">
        <v>4</v>
      </c>
      <c r="AL574">
        <v>8</v>
      </c>
      <c r="AM574">
        <v>7</v>
      </c>
      <c r="AN574">
        <v>11</v>
      </c>
      <c r="AO574">
        <v>57.142857139999997</v>
      </c>
      <c r="AP574">
        <v>15.38461538</v>
      </c>
      <c r="AQ574">
        <v>1.8571428569999999</v>
      </c>
      <c r="AR574">
        <v>1.363636364</v>
      </c>
      <c r="AS574">
        <v>-0.49350649299999999</v>
      </c>
      <c r="AT574">
        <v>0</v>
      </c>
      <c r="AU574" t="s">
        <v>66</v>
      </c>
      <c r="AV574">
        <v>0</v>
      </c>
      <c r="AW574">
        <v>0</v>
      </c>
      <c r="AX574">
        <v>0</v>
      </c>
      <c r="AY574">
        <v>1</v>
      </c>
      <c r="AZ574">
        <v>1</v>
      </c>
      <c r="BA574">
        <v>1</v>
      </c>
      <c r="BB574" t="s">
        <v>66</v>
      </c>
      <c r="BC574" t="s">
        <v>66</v>
      </c>
      <c r="BD574" t="s">
        <v>66</v>
      </c>
      <c r="BE574" t="s">
        <v>66</v>
      </c>
      <c r="BF574">
        <v>0</v>
      </c>
      <c r="BG574" t="s">
        <v>66</v>
      </c>
      <c r="BH574" t="s">
        <v>66</v>
      </c>
      <c r="BI574">
        <v>31</v>
      </c>
      <c r="BJ574">
        <v>4.7</v>
      </c>
      <c r="BK574" t="s">
        <v>66</v>
      </c>
      <c r="BL574">
        <f>31-13</f>
        <v>18</v>
      </c>
      <c r="BM574">
        <v>21</v>
      </c>
      <c r="BN574">
        <v>13</v>
      </c>
      <c r="BO574">
        <f t="shared" si="87"/>
        <v>17</v>
      </c>
      <c r="BP574">
        <v>3</v>
      </c>
      <c r="BQ574">
        <v>1</v>
      </c>
      <c r="BS574">
        <v>0</v>
      </c>
      <c r="BT574">
        <f t="shared" si="88"/>
        <v>45.161290322580641</v>
      </c>
      <c r="BU574">
        <f t="shared" si="89"/>
        <v>57.446808510638306</v>
      </c>
      <c r="BV574">
        <f t="shared" si="90"/>
        <v>27.777777777777779</v>
      </c>
      <c r="BW574">
        <f t="shared" si="91"/>
        <v>58.82352941176471</v>
      </c>
    </row>
    <row r="575" spans="1:75" x14ac:dyDescent="0.2">
      <c r="A575" t="s">
        <v>127</v>
      </c>
      <c r="B575" t="s">
        <v>149</v>
      </c>
      <c r="C575" t="s">
        <v>106</v>
      </c>
      <c r="D575" t="s">
        <v>603</v>
      </c>
      <c r="E575" t="s">
        <v>612</v>
      </c>
      <c r="F575" t="s">
        <v>688</v>
      </c>
      <c r="G575">
        <v>2.95</v>
      </c>
      <c r="H575">
        <v>10.5</v>
      </c>
      <c r="I575">
        <v>2.2999999999999998</v>
      </c>
      <c r="J575">
        <v>1.05</v>
      </c>
      <c r="K575">
        <v>16.8</v>
      </c>
      <c r="L575">
        <v>4.3389830509999996</v>
      </c>
      <c r="M575">
        <v>10</v>
      </c>
      <c r="N575">
        <v>15</v>
      </c>
      <c r="O575">
        <v>5</v>
      </c>
      <c r="P575">
        <v>17</v>
      </c>
      <c r="Q575">
        <v>7</v>
      </c>
      <c r="R575">
        <v>3.5</v>
      </c>
      <c r="S575">
        <v>54.1</v>
      </c>
      <c r="T575">
        <v>70</v>
      </c>
      <c r="U575">
        <v>13.33333333</v>
      </c>
      <c r="V575">
        <v>1</v>
      </c>
      <c r="W575">
        <v>2</v>
      </c>
      <c r="X575">
        <v>2</v>
      </c>
      <c r="Y575">
        <v>1</v>
      </c>
      <c r="Z575">
        <v>100</v>
      </c>
      <c r="AA575" t="s">
        <v>66</v>
      </c>
      <c r="AB575" t="s">
        <v>66</v>
      </c>
      <c r="AC575" t="s">
        <v>66</v>
      </c>
      <c r="AD575" t="s">
        <v>66</v>
      </c>
      <c r="AE575">
        <v>10</v>
      </c>
      <c r="AF575">
        <v>10</v>
      </c>
      <c r="AG575" t="s">
        <v>66</v>
      </c>
      <c r="AH575">
        <v>4</v>
      </c>
      <c r="AI575">
        <v>5</v>
      </c>
      <c r="AJ575" t="s">
        <v>66</v>
      </c>
      <c r="AK575">
        <v>3</v>
      </c>
      <c r="AL575">
        <v>4</v>
      </c>
      <c r="AM575">
        <v>3.5</v>
      </c>
      <c r="AN575">
        <v>4.5</v>
      </c>
      <c r="AO575">
        <v>28.571428569999998</v>
      </c>
      <c r="AP575">
        <v>0</v>
      </c>
      <c r="AQ575">
        <v>2.8571428569999999</v>
      </c>
      <c r="AR575">
        <v>2.2222222220000001</v>
      </c>
      <c r="AS575">
        <v>-0.63492063499999996</v>
      </c>
      <c r="AT575">
        <v>0</v>
      </c>
      <c r="AU575" t="s">
        <v>66</v>
      </c>
      <c r="AV575">
        <v>0</v>
      </c>
      <c r="AW575">
        <v>0</v>
      </c>
      <c r="AX575">
        <v>0</v>
      </c>
      <c r="AY575">
        <v>1</v>
      </c>
      <c r="AZ575">
        <v>1</v>
      </c>
      <c r="BA575">
        <v>1</v>
      </c>
      <c r="BB575" t="s">
        <v>66</v>
      </c>
      <c r="BC575" t="s">
        <v>66</v>
      </c>
      <c r="BD575" t="s">
        <v>66</v>
      </c>
      <c r="BE575" t="s">
        <v>66</v>
      </c>
      <c r="BF575">
        <v>0</v>
      </c>
      <c r="BG575" t="s">
        <v>66</v>
      </c>
      <c r="BH575" t="s">
        <v>66</v>
      </c>
      <c r="BI575">
        <v>16</v>
      </c>
      <c r="BJ575">
        <v>2.6</v>
      </c>
      <c r="BK575" t="s">
        <v>66</v>
      </c>
      <c r="BL575">
        <v>10</v>
      </c>
      <c r="BM575">
        <v>6</v>
      </c>
      <c r="BN575">
        <v>5</v>
      </c>
      <c r="BO575">
        <f t="shared" si="87"/>
        <v>5.5</v>
      </c>
      <c r="BP575">
        <v>4</v>
      </c>
      <c r="BQ575">
        <v>1</v>
      </c>
      <c r="BS575">
        <v>0</v>
      </c>
      <c r="BT575">
        <f t="shared" si="88"/>
        <v>37.5</v>
      </c>
      <c r="BU575">
        <f t="shared" si="89"/>
        <v>61.53846153846154</v>
      </c>
      <c r="BV575">
        <f t="shared" si="90"/>
        <v>0</v>
      </c>
      <c r="BW575">
        <f t="shared" si="91"/>
        <v>36.363636363636367</v>
      </c>
    </row>
    <row r="576" spans="1:75" x14ac:dyDescent="0.2">
      <c r="A576" t="s">
        <v>127</v>
      </c>
      <c r="B576" t="s">
        <v>149</v>
      </c>
      <c r="C576" t="s">
        <v>106</v>
      </c>
      <c r="D576" t="s">
        <v>603</v>
      </c>
      <c r="E576" t="s">
        <v>614</v>
      </c>
      <c r="F576" t="s">
        <v>689</v>
      </c>
      <c r="G576">
        <v>2.95</v>
      </c>
      <c r="H576">
        <v>10.5</v>
      </c>
      <c r="I576">
        <v>2.2999999999999998</v>
      </c>
      <c r="J576">
        <v>1.05</v>
      </c>
      <c r="K576">
        <v>16.8</v>
      </c>
      <c r="L576">
        <v>4.3389830509999996</v>
      </c>
      <c r="M576">
        <v>50</v>
      </c>
      <c r="N576">
        <v>61</v>
      </c>
      <c r="O576">
        <v>11</v>
      </c>
      <c r="P576">
        <v>72</v>
      </c>
      <c r="Q576">
        <v>22</v>
      </c>
      <c r="R576">
        <v>11</v>
      </c>
      <c r="S576">
        <v>69.099999999999994</v>
      </c>
      <c r="T576">
        <v>44</v>
      </c>
      <c r="U576">
        <v>18.032786890000001</v>
      </c>
      <c r="V576">
        <v>8</v>
      </c>
      <c r="W576">
        <v>12</v>
      </c>
      <c r="X576">
        <v>10</v>
      </c>
      <c r="Y576">
        <v>2</v>
      </c>
      <c r="Z576">
        <v>25</v>
      </c>
      <c r="AA576" t="s">
        <v>66</v>
      </c>
      <c r="AB576" t="s">
        <v>66</v>
      </c>
      <c r="AC576" t="s">
        <v>66</v>
      </c>
      <c r="AD576" t="s">
        <v>66</v>
      </c>
      <c r="AE576">
        <v>54</v>
      </c>
      <c r="AF576">
        <v>63</v>
      </c>
      <c r="AG576" t="s">
        <v>66</v>
      </c>
      <c r="AH576">
        <v>30</v>
      </c>
      <c r="AI576">
        <v>33</v>
      </c>
      <c r="AJ576" t="s">
        <v>66</v>
      </c>
      <c r="AK576">
        <v>24</v>
      </c>
      <c r="AL576">
        <v>30</v>
      </c>
      <c r="AM576">
        <v>27</v>
      </c>
      <c r="AN576">
        <v>31.5</v>
      </c>
      <c r="AO576">
        <v>16.666666670000001</v>
      </c>
      <c r="AP576">
        <v>16.666666670000001</v>
      </c>
      <c r="AQ576">
        <v>2</v>
      </c>
      <c r="AR576">
        <v>2</v>
      </c>
      <c r="AS576">
        <v>0</v>
      </c>
      <c r="AT576">
        <v>0</v>
      </c>
      <c r="AU576" t="s">
        <v>66</v>
      </c>
      <c r="AV576">
        <v>0</v>
      </c>
      <c r="AW576">
        <v>0</v>
      </c>
      <c r="AX576">
        <v>0</v>
      </c>
      <c r="AY576">
        <v>1</v>
      </c>
      <c r="AZ576">
        <v>1</v>
      </c>
      <c r="BA576">
        <v>1</v>
      </c>
      <c r="BB576" t="s">
        <v>66</v>
      </c>
      <c r="BC576" t="s">
        <v>66</v>
      </c>
      <c r="BD576" t="s">
        <v>66</v>
      </c>
      <c r="BE576" t="s">
        <v>66</v>
      </c>
      <c r="BF576">
        <v>0</v>
      </c>
      <c r="BG576" t="s">
        <v>66</v>
      </c>
      <c r="BH576" t="s">
        <v>66</v>
      </c>
      <c r="BI576">
        <v>87</v>
      </c>
      <c r="BJ576">
        <v>12</v>
      </c>
      <c r="BK576" t="s">
        <v>66</v>
      </c>
      <c r="BL576">
        <f>87-14</f>
        <v>73</v>
      </c>
      <c r="BM576">
        <v>42</v>
      </c>
      <c r="BN576">
        <v>43</v>
      </c>
      <c r="BO576">
        <f t="shared" ref="BO576:BO607" si="92">AVERAGE(BM576,BN576)</f>
        <v>42.5</v>
      </c>
      <c r="BP576">
        <v>4</v>
      </c>
      <c r="BQ576">
        <v>1</v>
      </c>
      <c r="BS576">
        <v>0</v>
      </c>
      <c r="BT576">
        <f t="shared" ref="BT576:BT609" si="93">(BI576-M576)/BI576*100</f>
        <v>42.528735632183903</v>
      </c>
      <c r="BU576">
        <f t="shared" ref="BU576:BU609" si="94">(BJ576-V576)/BJ576*100</f>
        <v>33.333333333333329</v>
      </c>
      <c r="BV576">
        <f t="shared" ref="BV576:BV609" si="95">(BL576-AE576)/BL576*100</f>
        <v>26.027397260273972</v>
      </c>
      <c r="BW576">
        <f t="shared" ref="BW576:BW609" si="96">(BO576-AM576)/BO576*100</f>
        <v>36.470588235294116</v>
      </c>
    </row>
    <row r="577" spans="1:75" x14ac:dyDescent="0.2">
      <c r="A577" t="s">
        <v>127</v>
      </c>
      <c r="B577" t="s">
        <v>149</v>
      </c>
      <c r="C577" t="s">
        <v>106</v>
      </c>
      <c r="D577" t="s">
        <v>603</v>
      </c>
      <c r="E577" t="s">
        <v>616</v>
      </c>
      <c r="F577" t="s">
        <v>690</v>
      </c>
      <c r="G577">
        <v>2.95</v>
      </c>
      <c r="H577">
        <v>10.5</v>
      </c>
      <c r="I577">
        <v>2.2999999999999998</v>
      </c>
      <c r="J577">
        <v>1.05</v>
      </c>
      <c r="K577">
        <v>16.8</v>
      </c>
      <c r="L577">
        <v>4.3389830509999996</v>
      </c>
      <c r="M577">
        <v>28</v>
      </c>
      <c r="N577">
        <v>39</v>
      </c>
      <c r="O577">
        <v>11</v>
      </c>
      <c r="P577">
        <v>33</v>
      </c>
      <c r="Q577">
        <v>5</v>
      </c>
      <c r="R577">
        <v>2.5</v>
      </c>
      <c r="S577">
        <v>52.1</v>
      </c>
      <c r="T577">
        <v>17.85714286</v>
      </c>
      <c r="U577">
        <v>-15.38461538</v>
      </c>
      <c r="V577">
        <v>3</v>
      </c>
      <c r="W577">
        <v>4</v>
      </c>
      <c r="X577">
        <v>6</v>
      </c>
      <c r="Y577">
        <v>3</v>
      </c>
      <c r="Z577">
        <v>100</v>
      </c>
      <c r="AA577" t="s">
        <v>66</v>
      </c>
      <c r="AB577" t="s">
        <v>66</v>
      </c>
      <c r="AC577" t="s">
        <v>66</v>
      </c>
      <c r="AD577" t="s">
        <v>66</v>
      </c>
      <c r="AE577">
        <v>27</v>
      </c>
      <c r="AF577">
        <v>25</v>
      </c>
      <c r="AG577" t="s">
        <v>66</v>
      </c>
      <c r="AH577">
        <v>13</v>
      </c>
      <c r="AI577">
        <v>18</v>
      </c>
      <c r="AJ577" t="s">
        <v>66</v>
      </c>
      <c r="AK577">
        <v>10</v>
      </c>
      <c r="AL577">
        <v>16</v>
      </c>
      <c r="AM577">
        <v>11.5</v>
      </c>
      <c r="AN577">
        <v>17</v>
      </c>
      <c r="AO577">
        <v>47.826086959999998</v>
      </c>
      <c r="AP577">
        <v>-7.407407407</v>
      </c>
      <c r="AQ577">
        <v>2.3478260870000001</v>
      </c>
      <c r="AR577">
        <v>1.4705882349999999</v>
      </c>
      <c r="AS577">
        <v>-0.87723785200000004</v>
      </c>
      <c r="AT577">
        <v>0</v>
      </c>
      <c r="AU577" t="s">
        <v>66</v>
      </c>
      <c r="AV577">
        <v>0</v>
      </c>
      <c r="AW577">
        <v>0</v>
      </c>
      <c r="AX577">
        <v>0</v>
      </c>
      <c r="AY577">
        <v>1</v>
      </c>
      <c r="AZ577">
        <v>1</v>
      </c>
      <c r="BA577">
        <v>1</v>
      </c>
      <c r="BB577" t="s">
        <v>66</v>
      </c>
      <c r="BC577" t="s">
        <v>66</v>
      </c>
      <c r="BD577" t="s">
        <v>66</v>
      </c>
      <c r="BE577" t="s">
        <v>66</v>
      </c>
      <c r="BF577">
        <v>0</v>
      </c>
      <c r="BG577" t="s">
        <v>66</v>
      </c>
      <c r="BH577" t="s">
        <v>66</v>
      </c>
      <c r="BI577">
        <v>41</v>
      </c>
      <c r="BJ577">
        <v>5.5</v>
      </c>
      <c r="BK577" t="s">
        <v>66</v>
      </c>
      <c r="BL577">
        <v>32</v>
      </c>
      <c r="BM577">
        <v>24</v>
      </c>
      <c r="BN577">
        <v>16</v>
      </c>
      <c r="BO577">
        <f t="shared" si="92"/>
        <v>20</v>
      </c>
      <c r="BP577">
        <v>4</v>
      </c>
      <c r="BQ577">
        <v>1</v>
      </c>
      <c r="BS577">
        <v>0</v>
      </c>
      <c r="BT577">
        <f t="shared" si="93"/>
        <v>31.707317073170731</v>
      </c>
      <c r="BU577">
        <f t="shared" si="94"/>
        <v>45.454545454545453</v>
      </c>
      <c r="BV577">
        <f t="shared" si="95"/>
        <v>15.625</v>
      </c>
      <c r="BW577">
        <f t="shared" si="96"/>
        <v>42.5</v>
      </c>
    </row>
    <row r="578" spans="1:75" x14ac:dyDescent="0.2">
      <c r="A578" t="s">
        <v>127</v>
      </c>
      <c r="B578" t="s">
        <v>149</v>
      </c>
      <c r="C578" t="s">
        <v>106</v>
      </c>
      <c r="D578" t="s">
        <v>603</v>
      </c>
      <c r="E578" t="s">
        <v>618</v>
      </c>
      <c r="F578" t="s">
        <v>691</v>
      </c>
      <c r="G578">
        <v>2.95</v>
      </c>
      <c r="H578">
        <v>10.5</v>
      </c>
      <c r="I578">
        <v>2.2999999999999998</v>
      </c>
      <c r="J578">
        <v>1.05</v>
      </c>
      <c r="K578">
        <v>16.8</v>
      </c>
      <c r="L578">
        <v>4.3389830509999996</v>
      </c>
      <c r="M578">
        <v>32</v>
      </c>
      <c r="N578">
        <v>35</v>
      </c>
      <c r="O578">
        <v>3</v>
      </c>
      <c r="P578">
        <v>43</v>
      </c>
      <c r="Q578">
        <v>11</v>
      </c>
      <c r="R578">
        <v>5.5</v>
      </c>
      <c r="S578">
        <v>58.1</v>
      </c>
      <c r="T578">
        <v>34.375</v>
      </c>
      <c r="U578">
        <v>22.85714286</v>
      </c>
      <c r="V578">
        <v>4</v>
      </c>
      <c r="W578">
        <v>6</v>
      </c>
      <c r="X578">
        <v>5</v>
      </c>
      <c r="Y578">
        <v>1</v>
      </c>
      <c r="Z578">
        <v>25</v>
      </c>
      <c r="AA578" t="s">
        <v>66</v>
      </c>
      <c r="AB578" t="s">
        <v>66</v>
      </c>
      <c r="AC578" t="s">
        <v>66</v>
      </c>
      <c r="AD578" t="s">
        <v>66</v>
      </c>
      <c r="AE578">
        <v>30</v>
      </c>
      <c r="AF578">
        <v>32</v>
      </c>
      <c r="AG578" t="s">
        <v>66</v>
      </c>
      <c r="AH578">
        <v>22</v>
      </c>
      <c r="AI578">
        <v>23</v>
      </c>
      <c r="AJ578" t="s">
        <v>66</v>
      </c>
      <c r="AK578">
        <v>19</v>
      </c>
      <c r="AL578">
        <v>21</v>
      </c>
      <c r="AM578">
        <v>20.5</v>
      </c>
      <c r="AN578">
        <v>22</v>
      </c>
      <c r="AO578">
        <v>7.3170731709999997</v>
      </c>
      <c r="AP578">
        <v>6.6666666670000003</v>
      </c>
      <c r="AQ578">
        <v>1.463414634</v>
      </c>
      <c r="AR578">
        <v>1.4545454550000001</v>
      </c>
      <c r="AS578">
        <v>-8.8691789999999996E-3</v>
      </c>
      <c r="AT578">
        <v>0</v>
      </c>
      <c r="AU578" t="s">
        <v>66</v>
      </c>
      <c r="AV578">
        <v>0</v>
      </c>
      <c r="AW578">
        <v>0</v>
      </c>
      <c r="AX578">
        <v>0</v>
      </c>
      <c r="AY578">
        <v>1</v>
      </c>
      <c r="AZ578">
        <v>1</v>
      </c>
      <c r="BA578">
        <v>1</v>
      </c>
      <c r="BB578" t="s">
        <v>66</v>
      </c>
      <c r="BC578" t="s">
        <v>66</v>
      </c>
      <c r="BD578" t="s">
        <v>66</v>
      </c>
      <c r="BE578" t="s">
        <v>66</v>
      </c>
      <c r="BF578">
        <v>0</v>
      </c>
      <c r="BG578" t="s">
        <v>66</v>
      </c>
      <c r="BH578" t="s">
        <v>66</v>
      </c>
      <c r="BI578">
        <v>47</v>
      </c>
      <c r="BJ578">
        <v>7</v>
      </c>
      <c r="BK578" t="s">
        <v>66</v>
      </c>
      <c r="BL578">
        <v>39</v>
      </c>
      <c r="BM578">
        <v>30</v>
      </c>
      <c r="BN578">
        <v>15</v>
      </c>
      <c r="BO578">
        <f t="shared" si="92"/>
        <v>22.5</v>
      </c>
      <c r="BP578">
        <v>4</v>
      </c>
      <c r="BQ578">
        <v>1</v>
      </c>
      <c r="BS578">
        <v>0</v>
      </c>
      <c r="BT578">
        <f t="shared" si="93"/>
        <v>31.914893617021278</v>
      </c>
      <c r="BU578">
        <f t="shared" si="94"/>
        <v>42.857142857142854</v>
      </c>
      <c r="BV578">
        <f t="shared" si="95"/>
        <v>23.076923076923077</v>
      </c>
      <c r="BW578">
        <f t="shared" si="96"/>
        <v>8.8888888888888893</v>
      </c>
    </row>
    <row r="579" spans="1:75" x14ac:dyDescent="0.2">
      <c r="A579" t="s">
        <v>127</v>
      </c>
      <c r="B579" t="s">
        <v>149</v>
      </c>
      <c r="C579" t="s">
        <v>106</v>
      </c>
      <c r="D579" t="s">
        <v>603</v>
      </c>
      <c r="E579" t="s">
        <v>620</v>
      </c>
      <c r="F579" t="s">
        <v>692</v>
      </c>
      <c r="G579">
        <v>2.95</v>
      </c>
      <c r="H579">
        <v>10.5</v>
      </c>
      <c r="I579">
        <v>2.2999999999999998</v>
      </c>
      <c r="J579">
        <v>1.05</v>
      </c>
      <c r="K579">
        <v>16.8</v>
      </c>
      <c r="L579">
        <v>4.3389830509999996</v>
      </c>
      <c r="M579">
        <v>41</v>
      </c>
      <c r="N579">
        <v>46</v>
      </c>
      <c r="O579">
        <v>5</v>
      </c>
      <c r="P579">
        <v>56</v>
      </c>
      <c r="Q579">
        <v>15</v>
      </c>
      <c r="R579">
        <v>7.5</v>
      </c>
      <c r="S579">
        <v>62.1</v>
      </c>
      <c r="T579">
        <v>36.585365850000002</v>
      </c>
      <c r="U579">
        <v>21.739130429999999</v>
      </c>
      <c r="V579">
        <v>4</v>
      </c>
      <c r="W579">
        <v>6</v>
      </c>
      <c r="X579">
        <v>7</v>
      </c>
      <c r="Y579">
        <v>3</v>
      </c>
      <c r="Z579">
        <v>75</v>
      </c>
      <c r="AA579" t="s">
        <v>66</v>
      </c>
      <c r="AB579" t="s">
        <v>66</v>
      </c>
      <c r="AC579" t="s">
        <v>66</v>
      </c>
      <c r="AD579" t="s">
        <v>66</v>
      </c>
      <c r="AE579">
        <v>40</v>
      </c>
      <c r="AF579">
        <v>49</v>
      </c>
      <c r="AG579" t="s">
        <v>66</v>
      </c>
      <c r="AH579">
        <v>25</v>
      </c>
      <c r="AI579">
        <v>30</v>
      </c>
      <c r="AJ579" t="s">
        <v>66</v>
      </c>
      <c r="AK579">
        <v>20</v>
      </c>
      <c r="AL579">
        <v>27</v>
      </c>
      <c r="AM579">
        <v>22.5</v>
      </c>
      <c r="AN579">
        <v>28.5</v>
      </c>
      <c r="AO579">
        <v>26.666666670000001</v>
      </c>
      <c r="AP579">
        <v>22.5</v>
      </c>
      <c r="AQ579">
        <v>1.7777777779999999</v>
      </c>
      <c r="AR579">
        <v>1.7192982459999999</v>
      </c>
      <c r="AS579">
        <v>-5.8479532000000001E-2</v>
      </c>
      <c r="AT579">
        <v>0</v>
      </c>
      <c r="AU579" t="s">
        <v>66</v>
      </c>
      <c r="AV579">
        <v>0</v>
      </c>
      <c r="AW579">
        <v>0</v>
      </c>
      <c r="AX579">
        <v>0</v>
      </c>
      <c r="AY579">
        <v>1</v>
      </c>
      <c r="AZ579">
        <v>1</v>
      </c>
      <c r="BA579">
        <v>1</v>
      </c>
      <c r="BB579" t="s">
        <v>66</v>
      </c>
      <c r="BC579" t="s">
        <v>66</v>
      </c>
      <c r="BD579" t="s">
        <v>66</v>
      </c>
      <c r="BE579" t="s">
        <v>66</v>
      </c>
      <c r="BF579">
        <v>0</v>
      </c>
      <c r="BG579" t="s">
        <v>66</v>
      </c>
      <c r="BH579" t="s">
        <v>66</v>
      </c>
      <c r="BI579">
        <v>65</v>
      </c>
      <c r="BJ579">
        <v>8.6</v>
      </c>
      <c r="BK579" t="s">
        <v>66</v>
      </c>
      <c r="BL579">
        <v>55</v>
      </c>
      <c r="BM579">
        <v>33</v>
      </c>
      <c r="BN579">
        <v>22</v>
      </c>
      <c r="BO579">
        <f t="shared" si="92"/>
        <v>27.5</v>
      </c>
      <c r="BP579">
        <v>4</v>
      </c>
      <c r="BQ579">
        <v>1</v>
      </c>
      <c r="BS579">
        <v>0</v>
      </c>
      <c r="BT579">
        <f t="shared" si="93"/>
        <v>36.923076923076927</v>
      </c>
      <c r="BU579">
        <f t="shared" si="94"/>
        <v>53.488372093023251</v>
      </c>
      <c r="BV579">
        <f t="shared" si="95"/>
        <v>27.27272727272727</v>
      </c>
      <c r="BW579">
        <f t="shared" si="96"/>
        <v>18.181818181818183</v>
      </c>
    </row>
    <row r="580" spans="1:75" x14ac:dyDescent="0.2">
      <c r="A580" t="s">
        <v>127</v>
      </c>
      <c r="B580" t="s">
        <v>149</v>
      </c>
      <c r="C580" t="s">
        <v>106</v>
      </c>
      <c r="D580" t="s">
        <v>603</v>
      </c>
      <c r="E580" t="s">
        <v>622</v>
      </c>
      <c r="F580" t="s">
        <v>693</v>
      </c>
      <c r="G580">
        <v>2.95</v>
      </c>
      <c r="H580">
        <v>10.5</v>
      </c>
      <c r="I580">
        <v>2.2999999999999998</v>
      </c>
      <c r="J580">
        <v>1.05</v>
      </c>
      <c r="K580">
        <v>16.8</v>
      </c>
      <c r="L580">
        <v>4.3389830509999996</v>
      </c>
      <c r="M580">
        <v>22</v>
      </c>
      <c r="N580">
        <v>26</v>
      </c>
      <c r="O580">
        <v>4</v>
      </c>
      <c r="P580">
        <v>27</v>
      </c>
      <c r="Q580">
        <v>5</v>
      </c>
      <c r="R580">
        <v>2.5</v>
      </c>
      <c r="S580">
        <v>52.1</v>
      </c>
      <c r="T580">
        <v>22.727272729999999</v>
      </c>
      <c r="U580">
        <v>3.846153846</v>
      </c>
      <c r="V580">
        <v>3</v>
      </c>
      <c r="W580">
        <v>4</v>
      </c>
      <c r="X580">
        <v>5</v>
      </c>
      <c r="Y580">
        <v>2</v>
      </c>
      <c r="Z580">
        <v>66.666666669999998</v>
      </c>
      <c r="AA580" t="s">
        <v>66</v>
      </c>
      <c r="AB580" t="s">
        <v>66</v>
      </c>
      <c r="AC580" t="s">
        <v>66</v>
      </c>
      <c r="AD580" t="s">
        <v>66</v>
      </c>
      <c r="AE580">
        <v>19</v>
      </c>
      <c r="AF580">
        <v>22</v>
      </c>
      <c r="AG580" t="s">
        <v>66</v>
      </c>
      <c r="AH580">
        <v>13</v>
      </c>
      <c r="AI580">
        <v>14</v>
      </c>
      <c r="AJ580" t="s">
        <v>66</v>
      </c>
      <c r="AK580">
        <v>10</v>
      </c>
      <c r="AL580">
        <v>10</v>
      </c>
      <c r="AM580">
        <v>11.5</v>
      </c>
      <c r="AN580">
        <v>12</v>
      </c>
      <c r="AO580">
        <v>4.3478260869999996</v>
      </c>
      <c r="AP580">
        <v>15.78947368</v>
      </c>
      <c r="AQ580">
        <v>1.6521739129999999</v>
      </c>
      <c r="AR580">
        <v>1.8333333329999999</v>
      </c>
      <c r="AS580">
        <v>0.18115941999999999</v>
      </c>
      <c r="AT580">
        <v>0</v>
      </c>
      <c r="AU580" t="s">
        <v>66</v>
      </c>
      <c r="AV580">
        <v>0</v>
      </c>
      <c r="AW580">
        <v>0</v>
      </c>
      <c r="AX580">
        <v>0</v>
      </c>
      <c r="AY580">
        <v>1</v>
      </c>
      <c r="AZ580">
        <v>1</v>
      </c>
      <c r="BA580">
        <v>1</v>
      </c>
      <c r="BB580" t="s">
        <v>66</v>
      </c>
      <c r="BC580" t="s">
        <v>66</v>
      </c>
      <c r="BD580" t="s">
        <v>66</v>
      </c>
      <c r="BE580" t="s">
        <v>66</v>
      </c>
      <c r="BF580">
        <v>0</v>
      </c>
      <c r="BG580" t="s">
        <v>66</v>
      </c>
      <c r="BH580" t="s">
        <v>66</v>
      </c>
      <c r="BI580">
        <v>32</v>
      </c>
      <c r="BJ580">
        <v>6</v>
      </c>
      <c r="BK580" t="s">
        <v>66</v>
      </c>
      <c r="BL580">
        <v>23</v>
      </c>
      <c r="BM580">
        <v>18</v>
      </c>
      <c r="BN580">
        <v>15</v>
      </c>
      <c r="BO580">
        <f t="shared" si="92"/>
        <v>16.5</v>
      </c>
      <c r="BP580">
        <v>4</v>
      </c>
      <c r="BQ580">
        <v>1</v>
      </c>
      <c r="BS580">
        <v>0</v>
      </c>
      <c r="BT580">
        <f t="shared" si="93"/>
        <v>31.25</v>
      </c>
      <c r="BU580">
        <f t="shared" si="94"/>
        <v>50</v>
      </c>
      <c r="BV580">
        <f t="shared" si="95"/>
        <v>17.391304347826086</v>
      </c>
      <c r="BW580">
        <f t="shared" si="96"/>
        <v>30.303030303030305</v>
      </c>
    </row>
    <row r="581" spans="1:75" x14ac:dyDescent="0.2">
      <c r="A581" t="s">
        <v>127</v>
      </c>
      <c r="B581" t="s">
        <v>149</v>
      </c>
      <c r="C581" t="s">
        <v>106</v>
      </c>
      <c r="D581" t="s">
        <v>603</v>
      </c>
      <c r="E581" t="s">
        <v>624</v>
      </c>
      <c r="F581" t="s">
        <v>694</v>
      </c>
      <c r="G581">
        <v>2.95</v>
      </c>
      <c r="H581">
        <v>10.5</v>
      </c>
      <c r="I581">
        <v>2.2999999999999998</v>
      </c>
      <c r="J581">
        <v>1.05</v>
      </c>
      <c r="K581">
        <v>16.8</v>
      </c>
      <c r="L581">
        <v>4.3389830509999996</v>
      </c>
      <c r="M581">
        <v>46</v>
      </c>
      <c r="N581">
        <v>54</v>
      </c>
      <c r="O581">
        <v>8</v>
      </c>
      <c r="P581">
        <v>65</v>
      </c>
      <c r="Q581">
        <v>19</v>
      </c>
      <c r="R581">
        <v>9.5</v>
      </c>
      <c r="S581">
        <v>66.099999999999994</v>
      </c>
      <c r="T581">
        <v>41.304347829999998</v>
      </c>
      <c r="U581">
        <v>20.37037037</v>
      </c>
      <c r="V581">
        <v>6</v>
      </c>
      <c r="W581">
        <v>7</v>
      </c>
      <c r="X581">
        <v>8</v>
      </c>
      <c r="Y581">
        <v>2</v>
      </c>
      <c r="Z581">
        <v>33.333333330000002</v>
      </c>
      <c r="AA581" t="s">
        <v>66</v>
      </c>
      <c r="AB581" t="s">
        <v>66</v>
      </c>
      <c r="AC581" t="s">
        <v>66</v>
      </c>
      <c r="AD581" t="s">
        <v>66</v>
      </c>
      <c r="AE581">
        <v>47</v>
      </c>
      <c r="AF581">
        <v>58</v>
      </c>
      <c r="AG581" t="s">
        <v>66</v>
      </c>
      <c r="AH581">
        <v>32</v>
      </c>
      <c r="AI581">
        <v>37</v>
      </c>
      <c r="AJ581" t="s">
        <v>66</v>
      </c>
      <c r="AK581">
        <v>29</v>
      </c>
      <c r="AL581">
        <v>28</v>
      </c>
      <c r="AM581">
        <v>30.5</v>
      </c>
      <c r="AN581">
        <v>32.5</v>
      </c>
      <c r="AO581">
        <v>6.5573770490000003</v>
      </c>
      <c r="AP581">
        <v>23.404255320000001</v>
      </c>
      <c r="AQ581">
        <v>1.540983607</v>
      </c>
      <c r="AR581">
        <v>1.7846153849999999</v>
      </c>
      <c r="AS581">
        <v>0.24363177799999999</v>
      </c>
      <c r="AT581">
        <v>0</v>
      </c>
      <c r="AU581" t="s">
        <v>66</v>
      </c>
      <c r="AV581">
        <v>0</v>
      </c>
      <c r="AW581">
        <v>1</v>
      </c>
      <c r="AX581">
        <v>0</v>
      </c>
      <c r="AY581">
        <v>1</v>
      </c>
      <c r="AZ581">
        <v>1</v>
      </c>
      <c r="BA581">
        <v>1</v>
      </c>
      <c r="BB581" t="s">
        <v>66</v>
      </c>
      <c r="BC581" t="s">
        <v>66</v>
      </c>
      <c r="BD581" t="s">
        <v>66</v>
      </c>
      <c r="BE581" t="s">
        <v>66</v>
      </c>
      <c r="BF581">
        <v>0</v>
      </c>
      <c r="BG581" t="s">
        <v>66</v>
      </c>
      <c r="BH581" t="s">
        <v>66</v>
      </c>
      <c r="BI581">
        <v>80</v>
      </c>
      <c r="BJ581">
        <v>9</v>
      </c>
      <c r="BK581" t="s">
        <v>66</v>
      </c>
      <c r="BL581">
        <v>76</v>
      </c>
      <c r="BM581">
        <v>41</v>
      </c>
      <c r="BN581">
        <v>35</v>
      </c>
      <c r="BO581">
        <f t="shared" si="92"/>
        <v>38</v>
      </c>
      <c r="BP581">
        <v>4</v>
      </c>
      <c r="BQ581">
        <v>1</v>
      </c>
      <c r="BS581">
        <v>0</v>
      </c>
      <c r="BT581">
        <f t="shared" si="93"/>
        <v>42.5</v>
      </c>
      <c r="BU581">
        <f t="shared" si="94"/>
        <v>33.333333333333329</v>
      </c>
      <c r="BV581">
        <f t="shared" si="95"/>
        <v>38.15789473684211</v>
      </c>
      <c r="BW581">
        <f t="shared" si="96"/>
        <v>19.736842105263158</v>
      </c>
    </row>
    <row r="582" spans="1:75" x14ac:dyDescent="0.2">
      <c r="A582" t="s">
        <v>127</v>
      </c>
      <c r="B582" t="s">
        <v>149</v>
      </c>
      <c r="C582" t="s">
        <v>106</v>
      </c>
      <c r="D582" t="s">
        <v>603</v>
      </c>
      <c r="E582" t="s">
        <v>626</v>
      </c>
      <c r="F582" t="s">
        <v>695</v>
      </c>
      <c r="G582">
        <v>2.95</v>
      </c>
      <c r="H582">
        <v>10.5</v>
      </c>
      <c r="I582">
        <v>2.2999999999999998</v>
      </c>
      <c r="J582">
        <v>1.05</v>
      </c>
      <c r="K582">
        <v>16.8</v>
      </c>
      <c r="L582">
        <v>4.3389830509999996</v>
      </c>
      <c r="M582">
        <v>33</v>
      </c>
      <c r="N582">
        <v>36</v>
      </c>
      <c r="O582">
        <v>3</v>
      </c>
      <c r="P582">
        <v>49</v>
      </c>
      <c r="Q582">
        <v>16</v>
      </c>
      <c r="R582">
        <v>8</v>
      </c>
      <c r="S582">
        <v>63.1</v>
      </c>
      <c r="T582">
        <v>48.484848479999997</v>
      </c>
      <c r="U582">
        <v>36.111111110000003</v>
      </c>
      <c r="V582">
        <v>4</v>
      </c>
      <c r="W582">
        <v>5</v>
      </c>
      <c r="X582">
        <v>6</v>
      </c>
      <c r="Y582">
        <v>2</v>
      </c>
      <c r="Z582">
        <v>50</v>
      </c>
      <c r="AA582" t="s">
        <v>66</v>
      </c>
      <c r="AB582" t="s">
        <v>66</v>
      </c>
      <c r="AC582" t="s">
        <v>66</v>
      </c>
      <c r="AD582" t="s">
        <v>66</v>
      </c>
      <c r="AE582">
        <v>34</v>
      </c>
      <c r="AF582">
        <v>43</v>
      </c>
      <c r="AG582" t="s">
        <v>66</v>
      </c>
      <c r="AH582">
        <v>24</v>
      </c>
      <c r="AI582">
        <v>29</v>
      </c>
      <c r="AJ582" t="s">
        <v>66</v>
      </c>
      <c r="AK582">
        <v>15</v>
      </c>
      <c r="AL582">
        <v>19</v>
      </c>
      <c r="AM582">
        <v>19.5</v>
      </c>
      <c r="AN582">
        <v>24</v>
      </c>
      <c r="AO582">
        <v>23.07692308</v>
      </c>
      <c r="AP582">
        <v>26.470588240000001</v>
      </c>
      <c r="AQ582">
        <v>1.7435897440000001</v>
      </c>
      <c r="AR582">
        <v>1.7916666670000001</v>
      </c>
      <c r="AS582">
        <v>4.8076923000000001E-2</v>
      </c>
      <c r="AT582">
        <v>0</v>
      </c>
      <c r="AU582" t="s">
        <v>66</v>
      </c>
      <c r="AV582">
        <v>0</v>
      </c>
      <c r="AW582">
        <v>0</v>
      </c>
      <c r="AX582">
        <v>0</v>
      </c>
      <c r="AY582">
        <v>1</v>
      </c>
      <c r="AZ582">
        <v>1</v>
      </c>
      <c r="BA582">
        <v>1</v>
      </c>
      <c r="BB582" t="s">
        <v>66</v>
      </c>
      <c r="BC582" t="s">
        <v>66</v>
      </c>
      <c r="BD582" t="s">
        <v>66</v>
      </c>
      <c r="BE582" t="s">
        <v>66</v>
      </c>
      <c r="BF582">
        <v>0</v>
      </c>
      <c r="BG582" t="s">
        <v>66</v>
      </c>
      <c r="BH582" t="s">
        <v>66</v>
      </c>
      <c r="BI582">
        <v>59</v>
      </c>
      <c r="BJ582">
        <v>7.5</v>
      </c>
      <c r="BK582" t="s">
        <v>66</v>
      </c>
      <c r="BL582">
        <v>53</v>
      </c>
      <c r="BM582">
        <v>24</v>
      </c>
      <c r="BN582">
        <v>32</v>
      </c>
      <c r="BO582">
        <f t="shared" si="92"/>
        <v>28</v>
      </c>
      <c r="BP582">
        <v>4</v>
      </c>
      <c r="BQ582">
        <v>1</v>
      </c>
      <c r="BS582">
        <v>0</v>
      </c>
      <c r="BT582">
        <f t="shared" si="93"/>
        <v>44.067796610169488</v>
      </c>
      <c r="BU582">
        <f t="shared" si="94"/>
        <v>46.666666666666664</v>
      </c>
      <c r="BV582">
        <f t="shared" si="95"/>
        <v>35.849056603773583</v>
      </c>
      <c r="BW582">
        <f t="shared" si="96"/>
        <v>30.357142857142854</v>
      </c>
    </row>
    <row r="583" spans="1:75" x14ac:dyDescent="0.2">
      <c r="A583" t="s">
        <v>127</v>
      </c>
      <c r="B583" t="s">
        <v>149</v>
      </c>
      <c r="C583" t="s">
        <v>106</v>
      </c>
      <c r="D583" t="s">
        <v>603</v>
      </c>
      <c r="E583" t="s">
        <v>628</v>
      </c>
      <c r="F583" t="s">
        <v>696</v>
      </c>
      <c r="G583">
        <v>2.95</v>
      </c>
      <c r="H583">
        <v>10.5</v>
      </c>
      <c r="I583">
        <v>2.2999999999999998</v>
      </c>
      <c r="J583">
        <v>1.05</v>
      </c>
      <c r="K583">
        <v>16.8</v>
      </c>
      <c r="L583">
        <v>4.3389830509999996</v>
      </c>
      <c r="M583">
        <v>20</v>
      </c>
      <c r="N583">
        <v>23</v>
      </c>
      <c r="O583">
        <v>3</v>
      </c>
      <c r="P583">
        <v>28</v>
      </c>
      <c r="Q583">
        <v>8</v>
      </c>
      <c r="R583">
        <v>4</v>
      </c>
      <c r="S583">
        <v>55.1</v>
      </c>
      <c r="T583">
        <v>40</v>
      </c>
      <c r="U583">
        <v>21.739130429999999</v>
      </c>
      <c r="V583">
        <v>5</v>
      </c>
      <c r="W583">
        <v>4</v>
      </c>
      <c r="X583">
        <v>6</v>
      </c>
      <c r="Y583">
        <v>1</v>
      </c>
      <c r="Z583">
        <v>20</v>
      </c>
      <c r="AA583" t="s">
        <v>66</v>
      </c>
      <c r="AB583" t="s">
        <v>66</v>
      </c>
      <c r="AC583" t="s">
        <v>66</v>
      </c>
      <c r="AD583" t="s">
        <v>66</v>
      </c>
      <c r="AE583">
        <v>20</v>
      </c>
      <c r="AF583">
        <v>24</v>
      </c>
      <c r="AG583" t="s">
        <v>66</v>
      </c>
      <c r="AH583">
        <v>14</v>
      </c>
      <c r="AI583">
        <v>17</v>
      </c>
      <c r="AJ583" t="s">
        <v>66</v>
      </c>
      <c r="AK583">
        <v>12</v>
      </c>
      <c r="AL583">
        <v>13</v>
      </c>
      <c r="AM583">
        <v>13</v>
      </c>
      <c r="AN583">
        <v>15</v>
      </c>
      <c r="AO583">
        <v>15.38461538</v>
      </c>
      <c r="AP583">
        <v>20</v>
      </c>
      <c r="AQ583">
        <v>1.538461538</v>
      </c>
      <c r="AR583">
        <v>1.6</v>
      </c>
      <c r="AS583">
        <v>6.1538462000000002E-2</v>
      </c>
      <c r="AT583">
        <v>0</v>
      </c>
      <c r="AU583" t="s">
        <v>66</v>
      </c>
      <c r="AV583">
        <v>0</v>
      </c>
      <c r="AW583">
        <v>2</v>
      </c>
      <c r="AX583">
        <v>0</v>
      </c>
      <c r="AY583">
        <v>1</v>
      </c>
      <c r="AZ583">
        <v>1</v>
      </c>
      <c r="BA583">
        <v>1</v>
      </c>
      <c r="BB583" t="s">
        <v>66</v>
      </c>
      <c r="BC583" t="s">
        <v>66</v>
      </c>
      <c r="BD583" t="s">
        <v>66</v>
      </c>
      <c r="BE583" t="s">
        <v>66</v>
      </c>
      <c r="BF583">
        <v>0</v>
      </c>
      <c r="BG583" t="s">
        <v>66</v>
      </c>
      <c r="BH583" t="s">
        <v>66</v>
      </c>
      <c r="BI583">
        <v>32</v>
      </c>
      <c r="BJ583">
        <v>5.3</v>
      </c>
      <c r="BK583" t="s">
        <v>66</v>
      </c>
      <c r="BL583">
        <v>27</v>
      </c>
      <c r="BM583">
        <v>20</v>
      </c>
      <c r="BN583">
        <v>12</v>
      </c>
      <c r="BO583">
        <f t="shared" si="92"/>
        <v>16</v>
      </c>
      <c r="BP583">
        <v>4</v>
      </c>
      <c r="BQ583">
        <v>1</v>
      </c>
      <c r="BS583">
        <v>0</v>
      </c>
      <c r="BT583">
        <f t="shared" si="93"/>
        <v>37.5</v>
      </c>
      <c r="BU583">
        <f t="shared" si="94"/>
        <v>5.660377358490563</v>
      </c>
      <c r="BV583">
        <f t="shared" si="95"/>
        <v>25.925925925925924</v>
      </c>
      <c r="BW583">
        <f t="shared" si="96"/>
        <v>18.75</v>
      </c>
    </row>
    <row r="584" spans="1:75" x14ac:dyDescent="0.2">
      <c r="A584" t="s">
        <v>127</v>
      </c>
      <c r="B584" t="s">
        <v>149</v>
      </c>
      <c r="C584" t="s">
        <v>106</v>
      </c>
      <c r="D584" t="s">
        <v>603</v>
      </c>
      <c r="E584" t="s">
        <v>630</v>
      </c>
      <c r="F584" t="s">
        <v>697</v>
      </c>
      <c r="G584">
        <v>2.95</v>
      </c>
      <c r="H584">
        <v>10.5</v>
      </c>
      <c r="I584">
        <v>2.2999999999999998</v>
      </c>
      <c r="J584">
        <v>1.05</v>
      </c>
      <c r="K584">
        <v>16.8</v>
      </c>
      <c r="L584">
        <v>4.3389830509999996</v>
      </c>
      <c r="M584">
        <v>26</v>
      </c>
      <c r="N584">
        <v>31</v>
      </c>
      <c r="O584">
        <v>5</v>
      </c>
      <c r="P584">
        <v>36</v>
      </c>
      <c r="Q584">
        <v>10</v>
      </c>
      <c r="R584">
        <v>5</v>
      </c>
      <c r="S584">
        <v>57.1</v>
      </c>
      <c r="T584">
        <v>38.46153846</v>
      </c>
      <c r="U584">
        <v>16.129032259999999</v>
      </c>
      <c r="V584">
        <v>5</v>
      </c>
      <c r="W584">
        <v>5</v>
      </c>
      <c r="X584">
        <v>7</v>
      </c>
      <c r="Y584">
        <v>2</v>
      </c>
      <c r="Z584">
        <v>40</v>
      </c>
      <c r="AA584" t="s">
        <v>66</v>
      </c>
      <c r="AB584" t="s">
        <v>66</v>
      </c>
      <c r="AC584" t="s">
        <v>66</v>
      </c>
      <c r="AD584" t="s">
        <v>66</v>
      </c>
      <c r="AE584">
        <v>26</v>
      </c>
      <c r="AF584">
        <v>31</v>
      </c>
      <c r="AG584" t="s">
        <v>66</v>
      </c>
      <c r="AH584">
        <v>23</v>
      </c>
      <c r="AI584">
        <v>26</v>
      </c>
      <c r="AJ584" t="s">
        <v>66</v>
      </c>
      <c r="AK584">
        <v>16</v>
      </c>
      <c r="AL584">
        <v>14</v>
      </c>
      <c r="AM584">
        <v>19.5</v>
      </c>
      <c r="AN584">
        <v>20</v>
      </c>
      <c r="AO584">
        <v>2.5641025640000001</v>
      </c>
      <c r="AP584">
        <v>19.23076923</v>
      </c>
      <c r="AQ584">
        <v>1.3333333329999999</v>
      </c>
      <c r="AR584">
        <v>1.55</v>
      </c>
      <c r="AS584">
        <v>0.21666666700000001</v>
      </c>
      <c r="AT584">
        <v>0</v>
      </c>
      <c r="AU584" t="s">
        <v>66</v>
      </c>
      <c r="AV584">
        <v>0</v>
      </c>
      <c r="AW584">
        <v>0</v>
      </c>
      <c r="AX584">
        <v>0</v>
      </c>
      <c r="AY584">
        <v>1</v>
      </c>
      <c r="AZ584">
        <v>1</v>
      </c>
      <c r="BA584">
        <v>1</v>
      </c>
      <c r="BB584" t="s">
        <v>66</v>
      </c>
      <c r="BC584" t="s">
        <v>66</v>
      </c>
      <c r="BD584" t="s">
        <v>66</v>
      </c>
      <c r="BE584" t="s">
        <v>66</v>
      </c>
      <c r="BF584">
        <v>0</v>
      </c>
      <c r="BG584" t="s">
        <v>66</v>
      </c>
      <c r="BH584" t="s">
        <v>66</v>
      </c>
      <c r="BI584">
        <v>47</v>
      </c>
      <c r="BJ584">
        <v>10.199999999999999</v>
      </c>
      <c r="BK584" t="s">
        <v>66</v>
      </c>
      <c r="BL584">
        <v>38</v>
      </c>
      <c r="BM584">
        <v>34</v>
      </c>
      <c r="BN584">
        <v>27</v>
      </c>
      <c r="BO584">
        <f t="shared" si="92"/>
        <v>30.5</v>
      </c>
      <c r="BP584">
        <v>4</v>
      </c>
      <c r="BQ584">
        <v>1</v>
      </c>
      <c r="BS584">
        <v>0</v>
      </c>
      <c r="BT584">
        <f t="shared" si="93"/>
        <v>44.680851063829785</v>
      </c>
      <c r="BU584">
        <f t="shared" si="94"/>
        <v>50.980392156862742</v>
      </c>
      <c r="BV584">
        <f t="shared" si="95"/>
        <v>31.578947368421051</v>
      </c>
      <c r="BW584">
        <f t="shared" si="96"/>
        <v>36.065573770491802</v>
      </c>
    </row>
    <row r="585" spans="1:75" x14ac:dyDescent="0.2">
      <c r="A585" t="s">
        <v>127</v>
      </c>
      <c r="B585" t="s">
        <v>149</v>
      </c>
      <c r="C585" t="s">
        <v>106</v>
      </c>
      <c r="D585" t="s">
        <v>603</v>
      </c>
      <c r="E585" t="s">
        <v>634</v>
      </c>
      <c r="F585" t="s">
        <v>699</v>
      </c>
      <c r="G585">
        <v>2.95</v>
      </c>
      <c r="H585">
        <v>10.5</v>
      </c>
      <c r="I585">
        <v>2.2999999999999998</v>
      </c>
      <c r="J585">
        <v>1.05</v>
      </c>
      <c r="K585">
        <v>16.8</v>
      </c>
      <c r="L585">
        <v>4.3389830509999996</v>
      </c>
      <c r="M585">
        <v>23</v>
      </c>
      <c r="N585">
        <v>28</v>
      </c>
      <c r="O585">
        <v>5</v>
      </c>
      <c r="P585">
        <v>33</v>
      </c>
      <c r="Q585">
        <v>10</v>
      </c>
      <c r="R585">
        <v>5</v>
      </c>
      <c r="S585">
        <v>57.1</v>
      </c>
      <c r="T585">
        <v>43.47826087</v>
      </c>
      <c r="U585">
        <v>17.85714286</v>
      </c>
      <c r="V585">
        <v>4</v>
      </c>
      <c r="W585">
        <v>8</v>
      </c>
      <c r="X585">
        <v>5</v>
      </c>
      <c r="Y585">
        <v>1</v>
      </c>
      <c r="Z585">
        <v>25</v>
      </c>
      <c r="AA585" t="s">
        <v>66</v>
      </c>
      <c r="AB585" t="s">
        <v>66</v>
      </c>
      <c r="AC585" t="s">
        <v>66</v>
      </c>
      <c r="AD585" t="s">
        <v>66</v>
      </c>
      <c r="AE585">
        <v>23</v>
      </c>
      <c r="AF585">
        <v>26</v>
      </c>
      <c r="AG585" t="s">
        <v>66</v>
      </c>
      <c r="AH585">
        <v>23</v>
      </c>
      <c r="AI585">
        <v>23</v>
      </c>
      <c r="AJ585" t="s">
        <v>66</v>
      </c>
      <c r="AK585">
        <v>20</v>
      </c>
      <c r="AL585">
        <v>17</v>
      </c>
      <c r="AM585">
        <v>21.5</v>
      </c>
      <c r="AN585">
        <v>20</v>
      </c>
      <c r="AO585">
        <v>-6.9767441860000003</v>
      </c>
      <c r="AP585">
        <v>13.043478260000001</v>
      </c>
      <c r="AQ585">
        <v>1.0697674420000001</v>
      </c>
      <c r="AR585">
        <v>1.3</v>
      </c>
      <c r="AS585">
        <v>0.230232558</v>
      </c>
      <c r="AT585">
        <v>0</v>
      </c>
      <c r="AU585" t="s">
        <v>66</v>
      </c>
      <c r="AV585">
        <v>0</v>
      </c>
      <c r="AW585">
        <v>0</v>
      </c>
      <c r="AX585">
        <v>0</v>
      </c>
      <c r="AY585">
        <v>1</v>
      </c>
      <c r="AZ585">
        <v>1</v>
      </c>
      <c r="BA585">
        <v>1</v>
      </c>
      <c r="BB585" t="s">
        <v>66</v>
      </c>
      <c r="BC585" t="s">
        <v>66</v>
      </c>
      <c r="BD585" t="s">
        <v>66</v>
      </c>
      <c r="BE585" t="s">
        <v>66</v>
      </c>
      <c r="BF585">
        <v>0</v>
      </c>
      <c r="BG585" t="s">
        <v>66</v>
      </c>
      <c r="BH585" t="s">
        <v>66</v>
      </c>
      <c r="BI585">
        <v>38</v>
      </c>
      <c r="BJ585">
        <v>6.2</v>
      </c>
      <c r="BK585" t="s">
        <v>66</v>
      </c>
      <c r="BL585">
        <v>30</v>
      </c>
      <c r="BM585">
        <v>32</v>
      </c>
      <c r="BN585">
        <v>24</v>
      </c>
      <c r="BO585">
        <f t="shared" si="92"/>
        <v>28</v>
      </c>
      <c r="BP585">
        <v>4</v>
      </c>
      <c r="BQ585">
        <v>1</v>
      </c>
      <c r="BS585">
        <v>0</v>
      </c>
      <c r="BT585">
        <f t="shared" si="93"/>
        <v>39.473684210526315</v>
      </c>
      <c r="BU585">
        <f t="shared" si="94"/>
        <v>35.483870967741936</v>
      </c>
      <c r="BV585">
        <f t="shared" si="95"/>
        <v>23.333333333333332</v>
      </c>
      <c r="BW585">
        <f t="shared" si="96"/>
        <v>23.214285714285715</v>
      </c>
    </row>
    <row r="586" spans="1:75" x14ac:dyDescent="0.2">
      <c r="A586" t="s">
        <v>127</v>
      </c>
      <c r="B586" t="s">
        <v>149</v>
      </c>
      <c r="C586" t="s">
        <v>106</v>
      </c>
      <c r="D586" t="s">
        <v>603</v>
      </c>
      <c r="E586" t="s">
        <v>636</v>
      </c>
      <c r="F586" t="s">
        <v>700</v>
      </c>
      <c r="G586">
        <v>2.95</v>
      </c>
      <c r="H586">
        <v>10.5</v>
      </c>
      <c r="I586">
        <v>2.2999999999999998</v>
      </c>
      <c r="J586">
        <v>1.05</v>
      </c>
      <c r="K586">
        <v>16.8</v>
      </c>
      <c r="L586">
        <v>4.3389830509999996</v>
      </c>
      <c r="M586">
        <v>48</v>
      </c>
      <c r="N586">
        <v>58</v>
      </c>
      <c r="O586">
        <v>10</v>
      </c>
      <c r="P586">
        <v>67</v>
      </c>
      <c r="Q586">
        <v>19</v>
      </c>
      <c r="R586">
        <v>9.5</v>
      </c>
      <c r="S586">
        <v>66.099999999999994</v>
      </c>
      <c r="T586">
        <v>39.583333330000002</v>
      </c>
      <c r="U586">
        <v>15.51724138</v>
      </c>
      <c r="V586">
        <v>5</v>
      </c>
      <c r="W586">
        <v>10</v>
      </c>
      <c r="X586">
        <v>11</v>
      </c>
      <c r="Y586">
        <v>6</v>
      </c>
      <c r="Z586">
        <v>120</v>
      </c>
      <c r="AA586" t="s">
        <v>66</v>
      </c>
      <c r="AB586" t="s">
        <v>66</v>
      </c>
      <c r="AC586" t="s">
        <v>66</v>
      </c>
      <c r="AD586" t="s">
        <v>66</v>
      </c>
      <c r="AE586">
        <v>54</v>
      </c>
      <c r="AF586">
        <v>58</v>
      </c>
      <c r="AG586" t="s">
        <v>66</v>
      </c>
      <c r="AH586">
        <v>44</v>
      </c>
      <c r="AI586">
        <v>49</v>
      </c>
      <c r="AJ586" t="s">
        <v>66</v>
      </c>
      <c r="AK586">
        <v>35</v>
      </c>
      <c r="AL586">
        <v>47</v>
      </c>
      <c r="AM586">
        <v>39.5</v>
      </c>
      <c r="AN586">
        <v>48</v>
      </c>
      <c r="AO586">
        <v>21.518987339999999</v>
      </c>
      <c r="AP586">
        <v>7.407407407</v>
      </c>
      <c r="AQ586">
        <v>1.367088608</v>
      </c>
      <c r="AR586">
        <v>1.2083333329999999</v>
      </c>
      <c r="AS586">
        <v>-0.158755275</v>
      </c>
      <c r="AT586">
        <v>0</v>
      </c>
      <c r="AU586" t="s">
        <v>66</v>
      </c>
      <c r="AV586">
        <v>0</v>
      </c>
      <c r="AW586">
        <v>0</v>
      </c>
      <c r="AX586">
        <v>0</v>
      </c>
      <c r="AY586">
        <v>1</v>
      </c>
      <c r="AZ586">
        <v>1</v>
      </c>
      <c r="BA586">
        <v>1</v>
      </c>
      <c r="BB586" t="s">
        <v>66</v>
      </c>
      <c r="BC586" t="s">
        <v>66</v>
      </c>
      <c r="BD586" t="s">
        <v>66</v>
      </c>
      <c r="BE586" t="s">
        <v>66</v>
      </c>
      <c r="BF586">
        <v>0</v>
      </c>
      <c r="BG586" t="s">
        <v>66</v>
      </c>
      <c r="BH586" t="s">
        <v>66</v>
      </c>
      <c r="BI586">
        <v>76</v>
      </c>
      <c r="BJ586">
        <v>12.4</v>
      </c>
      <c r="BK586" t="s">
        <v>66</v>
      </c>
      <c r="BL586">
        <v>66</v>
      </c>
      <c r="BM586">
        <v>52</v>
      </c>
      <c r="BN586">
        <v>47</v>
      </c>
      <c r="BO586">
        <f t="shared" si="92"/>
        <v>49.5</v>
      </c>
      <c r="BP586">
        <v>4</v>
      </c>
      <c r="BQ586">
        <v>1</v>
      </c>
      <c r="BS586">
        <v>0</v>
      </c>
      <c r="BT586">
        <f t="shared" si="93"/>
        <v>36.84210526315789</v>
      </c>
      <c r="BU586">
        <f t="shared" si="94"/>
        <v>59.677419354838712</v>
      </c>
      <c r="BV586">
        <f t="shared" si="95"/>
        <v>18.181818181818183</v>
      </c>
      <c r="BW586">
        <f t="shared" si="96"/>
        <v>20.202020202020201</v>
      </c>
    </row>
    <row r="587" spans="1:75" x14ac:dyDescent="0.2">
      <c r="A587" t="s">
        <v>127</v>
      </c>
      <c r="B587" t="s">
        <v>149</v>
      </c>
      <c r="C587" t="s">
        <v>106</v>
      </c>
      <c r="D587" t="s">
        <v>603</v>
      </c>
      <c r="E587" t="s">
        <v>638</v>
      </c>
      <c r="F587" t="s">
        <v>701</v>
      </c>
      <c r="G587">
        <v>2.95</v>
      </c>
      <c r="H587">
        <v>10.5</v>
      </c>
      <c r="I587">
        <v>2.2999999999999998</v>
      </c>
      <c r="J587">
        <v>1.05</v>
      </c>
      <c r="K587">
        <v>16.8</v>
      </c>
      <c r="L587">
        <v>4.3389830509999996</v>
      </c>
      <c r="M587">
        <v>10</v>
      </c>
      <c r="N587">
        <v>13</v>
      </c>
      <c r="O587">
        <v>3</v>
      </c>
      <c r="P587">
        <v>11</v>
      </c>
      <c r="Q587">
        <v>1</v>
      </c>
      <c r="R587">
        <v>0.5</v>
      </c>
      <c r="S587">
        <v>48.1</v>
      </c>
      <c r="T587">
        <v>10</v>
      </c>
      <c r="U587">
        <v>-15.38461538</v>
      </c>
      <c r="V587">
        <v>2</v>
      </c>
      <c r="W587">
        <v>2</v>
      </c>
      <c r="X587">
        <v>3</v>
      </c>
      <c r="Y587">
        <v>1</v>
      </c>
      <c r="Z587">
        <v>50</v>
      </c>
      <c r="AA587" t="s">
        <v>66</v>
      </c>
      <c r="AB587" t="s">
        <v>66</v>
      </c>
      <c r="AC587" t="s">
        <v>66</v>
      </c>
      <c r="AD587" t="s">
        <v>66</v>
      </c>
      <c r="AE587">
        <v>8</v>
      </c>
      <c r="AF587">
        <v>9</v>
      </c>
      <c r="AG587" t="s">
        <v>66</v>
      </c>
      <c r="AH587">
        <v>5</v>
      </c>
      <c r="AI587">
        <v>5</v>
      </c>
      <c r="AJ587" t="s">
        <v>66</v>
      </c>
      <c r="AK587">
        <v>3</v>
      </c>
      <c r="AL587">
        <v>3</v>
      </c>
      <c r="AM587">
        <v>4</v>
      </c>
      <c r="AN587">
        <v>4</v>
      </c>
      <c r="AO587">
        <v>0</v>
      </c>
      <c r="AP587">
        <v>12.5</v>
      </c>
      <c r="AQ587">
        <v>2</v>
      </c>
      <c r="AR587">
        <v>2.25</v>
      </c>
      <c r="AS587">
        <v>0.25</v>
      </c>
      <c r="AT587">
        <v>0</v>
      </c>
      <c r="AU587" t="s">
        <v>66</v>
      </c>
      <c r="AV587">
        <v>0</v>
      </c>
      <c r="AW587">
        <v>0</v>
      </c>
      <c r="AX587">
        <v>0</v>
      </c>
      <c r="AY587">
        <v>1</v>
      </c>
      <c r="AZ587">
        <v>1</v>
      </c>
      <c r="BA587">
        <v>1</v>
      </c>
      <c r="BB587" t="s">
        <v>66</v>
      </c>
      <c r="BC587" t="s">
        <v>66</v>
      </c>
      <c r="BD587" t="s">
        <v>66</v>
      </c>
      <c r="BE587" t="s">
        <v>66</v>
      </c>
      <c r="BF587">
        <v>0</v>
      </c>
      <c r="BG587" t="s">
        <v>66</v>
      </c>
      <c r="BH587" t="s">
        <v>66</v>
      </c>
      <c r="BI587">
        <v>15</v>
      </c>
      <c r="BJ587">
        <v>1.8</v>
      </c>
      <c r="BK587" t="s">
        <v>66</v>
      </c>
      <c r="BL587">
        <v>11</v>
      </c>
      <c r="BM587">
        <v>8</v>
      </c>
      <c r="BN587">
        <v>4</v>
      </c>
      <c r="BO587">
        <f t="shared" si="92"/>
        <v>6</v>
      </c>
      <c r="BP587">
        <v>4</v>
      </c>
      <c r="BQ587">
        <v>1</v>
      </c>
      <c r="BS587">
        <v>0</v>
      </c>
      <c r="BT587">
        <f t="shared" si="93"/>
        <v>33.333333333333329</v>
      </c>
      <c r="BU587">
        <f t="shared" si="94"/>
        <v>-11.111111111111107</v>
      </c>
      <c r="BV587">
        <f t="shared" si="95"/>
        <v>27.27272727272727</v>
      </c>
      <c r="BW587">
        <f t="shared" si="96"/>
        <v>33.333333333333329</v>
      </c>
    </row>
    <row r="588" spans="1:75" x14ac:dyDescent="0.2">
      <c r="A588" t="s">
        <v>127</v>
      </c>
      <c r="B588" t="s">
        <v>149</v>
      </c>
      <c r="C588" t="s">
        <v>106</v>
      </c>
      <c r="D588" t="s">
        <v>603</v>
      </c>
      <c r="E588" t="s">
        <v>640</v>
      </c>
      <c r="F588" t="s">
        <v>702</v>
      </c>
      <c r="G588">
        <v>2.95</v>
      </c>
      <c r="H588">
        <v>10.5</v>
      </c>
      <c r="I588">
        <v>2.2999999999999998</v>
      </c>
      <c r="J588">
        <v>1.05</v>
      </c>
      <c r="K588">
        <v>16.8</v>
      </c>
      <c r="L588">
        <v>4.3389830509999996</v>
      </c>
      <c r="M588">
        <v>30</v>
      </c>
      <c r="N588">
        <v>38</v>
      </c>
      <c r="O588">
        <v>8</v>
      </c>
      <c r="P588">
        <v>45</v>
      </c>
      <c r="Q588">
        <v>15</v>
      </c>
      <c r="R588">
        <v>7.5</v>
      </c>
      <c r="S588">
        <v>62.1</v>
      </c>
      <c r="T588">
        <v>50</v>
      </c>
      <c r="U588">
        <v>18.421052629999998</v>
      </c>
      <c r="V588">
        <v>4</v>
      </c>
      <c r="W588">
        <v>6</v>
      </c>
      <c r="X588">
        <v>7</v>
      </c>
      <c r="Y588">
        <v>3</v>
      </c>
      <c r="Z588">
        <v>75</v>
      </c>
      <c r="AA588" t="s">
        <v>66</v>
      </c>
      <c r="AB588" t="s">
        <v>66</v>
      </c>
      <c r="AC588" t="s">
        <v>66</v>
      </c>
      <c r="AD588" t="s">
        <v>66</v>
      </c>
      <c r="AE588">
        <v>27</v>
      </c>
      <c r="AF588">
        <v>34</v>
      </c>
      <c r="AG588" t="s">
        <v>66</v>
      </c>
      <c r="AH588">
        <v>24</v>
      </c>
      <c r="AI588">
        <v>25</v>
      </c>
      <c r="AJ588" t="s">
        <v>66</v>
      </c>
      <c r="AK588">
        <v>18</v>
      </c>
      <c r="AL588">
        <v>22</v>
      </c>
      <c r="AM588">
        <v>21</v>
      </c>
      <c r="AN588">
        <v>23.5</v>
      </c>
      <c r="AO588">
        <v>11.9047619</v>
      </c>
      <c r="AP588">
        <v>25.925925929999998</v>
      </c>
      <c r="AQ588">
        <v>1.2857142859999999</v>
      </c>
      <c r="AR588">
        <v>1.446808511</v>
      </c>
      <c r="AS588">
        <v>0.16109422500000001</v>
      </c>
      <c r="AT588">
        <v>0</v>
      </c>
      <c r="AU588" t="s">
        <v>66</v>
      </c>
      <c r="AV588">
        <v>0</v>
      </c>
      <c r="AW588">
        <v>0</v>
      </c>
      <c r="AX588">
        <v>0</v>
      </c>
      <c r="AY588">
        <v>1</v>
      </c>
      <c r="AZ588">
        <v>1</v>
      </c>
      <c r="BA588">
        <v>1</v>
      </c>
      <c r="BB588" t="s">
        <v>66</v>
      </c>
      <c r="BC588" t="s">
        <v>66</v>
      </c>
      <c r="BD588" t="s">
        <v>66</v>
      </c>
      <c r="BE588" t="s">
        <v>66</v>
      </c>
      <c r="BF588">
        <v>0</v>
      </c>
      <c r="BG588" t="s">
        <v>66</v>
      </c>
      <c r="BH588" t="s">
        <v>66</v>
      </c>
      <c r="BI588">
        <v>53</v>
      </c>
      <c r="BJ588">
        <v>6.6</v>
      </c>
      <c r="BK588" t="s">
        <v>66</v>
      </c>
      <c r="BL588">
        <v>42</v>
      </c>
      <c r="BM588">
        <v>33</v>
      </c>
      <c r="BN588">
        <v>28</v>
      </c>
      <c r="BO588">
        <f t="shared" si="92"/>
        <v>30.5</v>
      </c>
      <c r="BP588">
        <v>4</v>
      </c>
      <c r="BQ588">
        <v>1</v>
      </c>
      <c r="BS588">
        <v>0</v>
      </c>
      <c r="BT588">
        <f t="shared" si="93"/>
        <v>43.39622641509434</v>
      </c>
      <c r="BU588">
        <f t="shared" si="94"/>
        <v>39.393939393939391</v>
      </c>
      <c r="BV588">
        <f t="shared" si="95"/>
        <v>35.714285714285715</v>
      </c>
      <c r="BW588">
        <f t="shared" si="96"/>
        <v>31.147540983606557</v>
      </c>
    </row>
    <row r="589" spans="1:75" x14ac:dyDescent="0.2">
      <c r="A589" t="s">
        <v>127</v>
      </c>
      <c r="B589" t="s">
        <v>149</v>
      </c>
      <c r="C589" t="s">
        <v>106</v>
      </c>
      <c r="D589" t="s">
        <v>603</v>
      </c>
      <c r="E589" t="s">
        <v>642</v>
      </c>
      <c r="F589" t="s">
        <v>703</v>
      </c>
      <c r="G589">
        <v>2.95</v>
      </c>
      <c r="H589">
        <v>10.5</v>
      </c>
      <c r="I589">
        <v>2.2999999999999998</v>
      </c>
      <c r="J589">
        <v>1.05</v>
      </c>
      <c r="K589">
        <v>16.8</v>
      </c>
      <c r="L589">
        <v>4.3389830509999996</v>
      </c>
      <c r="M589">
        <v>44</v>
      </c>
      <c r="N589">
        <v>49</v>
      </c>
      <c r="O589">
        <v>5</v>
      </c>
      <c r="P589">
        <v>56</v>
      </c>
      <c r="Q589">
        <v>12</v>
      </c>
      <c r="R589">
        <v>6</v>
      </c>
      <c r="S589">
        <v>59.1</v>
      </c>
      <c r="T589">
        <v>27.272727270000001</v>
      </c>
      <c r="U589">
        <v>14.28571429</v>
      </c>
      <c r="V589">
        <v>6</v>
      </c>
      <c r="W589">
        <v>11</v>
      </c>
      <c r="X589">
        <v>8</v>
      </c>
      <c r="Y589">
        <v>2</v>
      </c>
      <c r="Z589">
        <v>33.333333330000002</v>
      </c>
      <c r="AA589" t="s">
        <v>66</v>
      </c>
      <c r="AB589" t="s">
        <v>66</v>
      </c>
      <c r="AC589" t="s">
        <v>66</v>
      </c>
      <c r="AD589" t="s">
        <v>66</v>
      </c>
      <c r="AE589">
        <v>41</v>
      </c>
      <c r="AF589">
        <v>48</v>
      </c>
      <c r="AG589" t="s">
        <v>66</v>
      </c>
      <c r="AH589">
        <v>39</v>
      </c>
      <c r="AI589">
        <v>40</v>
      </c>
      <c r="AJ589" t="s">
        <v>66</v>
      </c>
      <c r="AK589">
        <v>30</v>
      </c>
      <c r="AL589">
        <v>34</v>
      </c>
      <c r="AM589">
        <v>34.5</v>
      </c>
      <c r="AN589">
        <v>37</v>
      </c>
      <c r="AO589">
        <v>7.2463768120000003</v>
      </c>
      <c r="AP589">
        <v>17.073170730000001</v>
      </c>
      <c r="AQ589">
        <v>1.1884057969999999</v>
      </c>
      <c r="AR589">
        <v>1.2972972970000001</v>
      </c>
      <c r="AS589">
        <v>0.1088915</v>
      </c>
      <c r="AT589">
        <v>0</v>
      </c>
      <c r="AU589" t="s">
        <v>66</v>
      </c>
      <c r="AV589">
        <v>0</v>
      </c>
      <c r="AW589">
        <v>0</v>
      </c>
      <c r="AX589">
        <v>0</v>
      </c>
      <c r="AY589">
        <v>1</v>
      </c>
      <c r="AZ589">
        <v>1</v>
      </c>
      <c r="BA589">
        <v>1</v>
      </c>
      <c r="BB589" t="s">
        <v>66</v>
      </c>
      <c r="BC589" t="s">
        <v>66</v>
      </c>
      <c r="BD589" t="s">
        <v>66</v>
      </c>
      <c r="BE589" t="s">
        <v>66</v>
      </c>
      <c r="BF589">
        <v>0</v>
      </c>
      <c r="BG589" t="s">
        <v>66</v>
      </c>
      <c r="BH589" t="s">
        <v>66</v>
      </c>
      <c r="BI589">
        <v>66</v>
      </c>
      <c r="BJ589">
        <v>10.4</v>
      </c>
      <c r="BK589" t="s">
        <v>66</v>
      </c>
      <c r="BL589">
        <f>66-43</f>
        <v>23</v>
      </c>
      <c r="BM589">
        <v>46</v>
      </c>
      <c r="BN589">
        <v>28</v>
      </c>
      <c r="BO589">
        <f t="shared" si="92"/>
        <v>37</v>
      </c>
      <c r="BP589">
        <v>4</v>
      </c>
      <c r="BQ589">
        <v>1</v>
      </c>
      <c r="BS589">
        <v>0</v>
      </c>
      <c r="BT589">
        <f t="shared" si="93"/>
        <v>33.333333333333329</v>
      </c>
      <c r="BU589">
        <f t="shared" si="94"/>
        <v>42.307692307692307</v>
      </c>
      <c r="BV589">
        <f t="shared" si="95"/>
        <v>-78.260869565217391</v>
      </c>
      <c r="BW589">
        <f t="shared" si="96"/>
        <v>6.756756756756757</v>
      </c>
    </row>
    <row r="590" spans="1:75" x14ac:dyDescent="0.2">
      <c r="A590" t="s">
        <v>170</v>
      </c>
      <c r="B590" t="s">
        <v>192</v>
      </c>
      <c r="C590" t="s">
        <v>106</v>
      </c>
      <c r="D590" t="s">
        <v>603</v>
      </c>
      <c r="E590" t="s">
        <v>604</v>
      </c>
      <c r="F590" t="s">
        <v>724</v>
      </c>
      <c r="G590">
        <v>2.2000000000000002</v>
      </c>
      <c r="H590">
        <v>17.2</v>
      </c>
      <c r="I590">
        <v>18.149999999999999</v>
      </c>
      <c r="J590">
        <v>3.95</v>
      </c>
      <c r="K590">
        <v>41.5</v>
      </c>
      <c r="L590">
        <v>16.06818182</v>
      </c>
      <c r="M590">
        <v>10</v>
      </c>
      <c r="N590">
        <v>18</v>
      </c>
      <c r="O590">
        <v>8</v>
      </c>
      <c r="P590">
        <v>22</v>
      </c>
      <c r="Q590">
        <v>12</v>
      </c>
      <c r="R590">
        <v>6</v>
      </c>
      <c r="S590">
        <v>59.1</v>
      </c>
      <c r="T590">
        <v>120</v>
      </c>
      <c r="U590">
        <v>22.222222219999999</v>
      </c>
      <c r="V590">
        <v>3</v>
      </c>
      <c r="W590">
        <v>3</v>
      </c>
      <c r="X590">
        <v>3</v>
      </c>
      <c r="Y590">
        <v>0</v>
      </c>
      <c r="Z590">
        <v>0</v>
      </c>
      <c r="AA590" t="s">
        <v>66</v>
      </c>
      <c r="AB590" t="s">
        <v>66</v>
      </c>
      <c r="AC590" t="s">
        <v>66</v>
      </c>
      <c r="AD590" t="s">
        <v>66</v>
      </c>
      <c r="AE590">
        <v>12</v>
      </c>
      <c r="AF590">
        <v>15</v>
      </c>
      <c r="AG590" t="s">
        <v>66</v>
      </c>
      <c r="AH590">
        <v>7</v>
      </c>
      <c r="AI590">
        <v>8</v>
      </c>
      <c r="AJ590" t="s">
        <v>66</v>
      </c>
      <c r="AK590">
        <v>3</v>
      </c>
      <c r="AL590">
        <v>6</v>
      </c>
      <c r="AM590">
        <v>5</v>
      </c>
      <c r="AN590">
        <v>7</v>
      </c>
      <c r="AO590">
        <v>40</v>
      </c>
      <c r="AP590">
        <v>25</v>
      </c>
      <c r="AQ590">
        <v>2.4</v>
      </c>
      <c r="AR590">
        <v>2.1428571430000001</v>
      </c>
      <c r="AS590">
        <v>-0.257142857</v>
      </c>
      <c r="AT590">
        <v>0</v>
      </c>
      <c r="AU590" t="s">
        <v>66</v>
      </c>
      <c r="AV590">
        <v>0</v>
      </c>
      <c r="AW590">
        <v>0</v>
      </c>
      <c r="AX590">
        <v>0</v>
      </c>
      <c r="AY590">
        <v>1</v>
      </c>
      <c r="AZ590">
        <v>1</v>
      </c>
      <c r="BA590">
        <v>1</v>
      </c>
      <c r="BB590" t="s">
        <v>66</v>
      </c>
      <c r="BC590" t="s">
        <v>66</v>
      </c>
      <c r="BD590" t="s">
        <v>66</v>
      </c>
      <c r="BE590" t="s">
        <v>66</v>
      </c>
      <c r="BF590">
        <v>0</v>
      </c>
      <c r="BG590" t="s">
        <v>66</v>
      </c>
      <c r="BH590" t="s">
        <v>66</v>
      </c>
      <c r="BI590">
        <v>24</v>
      </c>
      <c r="BJ590">
        <v>4.5999999999999996</v>
      </c>
      <c r="BK590" t="s">
        <v>66</v>
      </c>
      <c r="BL590">
        <v>28</v>
      </c>
      <c r="BM590">
        <v>15</v>
      </c>
      <c r="BN590">
        <v>12</v>
      </c>
      <c r="BO590">
        <f t="shared" si="92"/>
        <v>13.5</v>
      </c>
      <c r="BP590">
        <v>4</v>
      </c>
      <c r="BQ590">
        <v>1</v>
      </c>
      <c r="BS590">
        <v>0</v>
      </c>
      <c r="BT590">
        <f t="shared" si="93"/>
        <v>58.333333333333336</v>
      </c>
      <c r="BU590">
        <f t="shared" si="94"/>
        <v>34.782608695652165</v>
      </c>
      <c r="BV590">
        <f t="shared" si="95"/>
        <v>57.142857142857139</v>
      </c>
      <c r="BW590">
        <f t="shared" si="96"/>
        <v>62.962962962962962</v>
      </c>
    </row>
    <row r="591" spans="1:75" x14ac:dyDescent="0.2">
      <c r="A591" t="s">
        <v>170</v>
      </c>
      <c r="B591" t="s">
        <v>192</v>
      </c>
      <c r="C591" t="s">
        <v>106</v>
      </c>
      <c r="D591" t="s">
        <v>603</v>
      </c>
      <c r="E591" t="s">
        <v>606</v>
      </c>
      <c r="F591" t="s">
        <v>725</v>
      </c>
      <c r="G591">
        <v>2.2000000000000002</v>
      </c>
      <c r="H591">
        <v>17.2</v>
      </c>
      <c r="I591">
        <v>18.149999999999999</v>
      </c>
      <c r="J591">
        <v>3.95</v>
      </c>
      <c r="K591">
        <v>41.5</v>
      </c>
      <c r="L591">
        <v>16.06818182</v>
      </c>
      <c r="M591">
        <v>16</v>
      </c>
      <c r="N591">
        <v>16</v>
      </c>
      <c r="O591">
        <v>0</v>
      </c>
      <c r="P591">
        <v>21</v>
      </c>
      <c r="Q591">
        <v>5</v>
      </c>
      <c r="R591">
        <v>2.5</v>
      </c>
      <c r="S591">
        <v>52.1</v>
      </c>
      <c r="T591">
        <v>31.25</v>
      </c>
      <c r="U591">
        <v>31.25</v>
      </c>
      <c r="V591">
        <v>2</v>
      </c>
      <c r="W591">
        <v>3</v>
      </c>
      <c r="X591">
        <v>3</v>
      </c>
      <c r="Y591">
        <v>1</v>
      </c>
      <c r="Z591">
        <v>50</v>
      </c>
      <c r="AA591" t="s">
        <v>66</v>
      </c>
      <c r="AB591" t="s">
        <v>66</v>
      </c>
      <c r="AC591" t="s">
        <v>66</v>
      </c>
      <c r="AD591" t="s">
        <v>66</v>
      </c>
      <c r="AE591">
        <v>13</v>
      </c>
      <c r="AF591">
        <v>17</v>
      </c>
      <c r="AG591" t="s">
        <v>66</v>
      </c>
      <c r="AH591">
        <v>7</v>
      </c>
      <c r="AI591">
        <v>10</v>
      </c>
      <c r="AJ591" t="s">
        <v>66</v>
      </c>
      <c r="AK591">
        <v>6</v>
      </c>
      <c r="AL591">
        <v>6</v>
      </c>
      <c r="AM591">
        <v>6.5</v>
      </c>
      <c r="AN591">
        <v>8</v>
      </c>
      <c r="AO591">
        <v>23.07692308</v>
      </c>
      <c r="AP591">
        <v>30.76923077</v>
      </c>
      <c r="AQ591">
        <v>2</v>
      </c>
      <c r="AR591">
        <v>2.125</v>
      </c>
      <c r="AS591">
        <v>0.125</v>
      </c>
      <c r="AT591">
        <v>0</v>
      </c>
      <c r="AU591" t="s">
        <v>66</v>
      </c>
      <c r="AV591">
        <v>0</v>
      </c>
      <c r="AW591">
        <v>0</v>
      </c>
      <c r="AX591">
        <v>0</v>
      </c>
      <c r="AY591">
        <v>1</v>
      </c>
      <c r="AZ591">
        <v>1</v>
      </c>
      <c r="BA591">
        <v>1</v>
      </c>
      <c r="BB591" t="s">
        <v>66</v>
      </c>
      <c r="BC591" t="s">
        <v>66</v>
      </c>
      <c r="BD591" t="s">
        <v>66</v>
      </c>
      <c r="BE591" t="s">
        <v>66</v>
      </c>
      <c r="BF591">
        <v>0</v>
      </c>
      <c r="BG591" t="s">
        <v>66</v>
      </c>
      <c r="BH591" t="s">
        <v>66</v>
      </c>
      <c r="BI591">
        <v>30</v>
      </c>
      <c r="BJ591">
        <v>4.0999999999999996</v>
      </c>
      <c r="BK591" t="s">
        <v>66</v>
      </c>
      <c r="BL591">
        <v>18</v>
      </c>
      <c r="BM591">
        <v>14</v>
      </c>
      <c r="BN591">
        <v>10</v>
      </c>
      <c r="BO591">
        <f t="shared" si="92"/>
        <v>12</v>
      </c>
      <c r="BP591">
        <v>4</v>
      </c>
      <c r="BQ591">
        <v>1</v>
      </c>
      <c r="BS591">
        <v>0</v>
      </c>
      <c r="BT591">
        <f t="shared" si="93"/>
        <v>46.666666666666664</v>
      </c>
      <c r="BU591">
        <f t="shared" si="94"/>
        <v>51.219512195121951</v>
      </c>
      <c r="BV591">
        <f t="shared" si="95"/>
        <v>27.777777777777779</v>
      </c>
      <c r="BW591">
        <f t="shared" si="96"/>
        <v>45.833333333333329</v>
      </c>
    </row>
    <row r="592" spans="1:75" x14ac:dyDescent="0.2">
      <c r="A592" t="s">
        <v>170</v>
      </c>
      <c r="B592" t="s">
        <v>192</v>
      </c>
      <c r="C592" t="s">
        <v>106</v>
      </c>
      <c r="D592" t="s">
        <v>603</v>
      </c>
      <c r="E592" t="s">
        <v>608</v>
      </c>
      <c r="F592" t="s">
        <v>726</v>
      </c>
      <c r="G592">
        <v>2.2000000000000002</v>
      </c>
      <c r="H592">
        <v>17.2</v>
      </c>
      <c r="I592">
        <v>18.149999999999999</v>
      </c>
      <c r="J592">
        <v>3.95</v>
      </c>
      <c r="K592">
        <v>41.5</v>
      </c>
      <c r="L592">
        <v>16.06818182</v>
      </c>
      <c r="M592">
        <v>32</v>
      </c>
      <c r="N592">
        <v>36</v>
      </c>
      <c r="O592">
        <v>4</v>
      </c>
      <c r="P592">
        <v>45</v>
      </c>
      <c r="Q592">
        <v>13</v>
      </c>
      <c r="R592">
        <v>6.5</v>
      </c>
      <c r="S592">
        <v>60.1</v>
      </c>
      <c r="T592">
        <v>40.625</v>
      </c>
      <c r="U592">
        <v>25</v>
      </c>
      <c r="V592">
        <v>4</v>
      </c>
      <c r="W592">
        <v>5</v>
      </c>
      <c r="X592">
        <v>5</v>
      </c>
      <c r="Y592">
        <v>1</v>
      </c>
      <c r="Z592">
        <v>25</v>
      </c>
      <c r="AA592" t="s">
        <v>66</v>
      </c>
      <c r="AB592" t="s">
        <v>66</v>
      </c>
      <c r="AC592" t="s">
        <v>66</v>
      </c>
      <c r="AD592" t="s">
        <v>66</v>
      </c>
      <c r="AE592">
        <v>33</v>
      </c>
      <c r="AF592">
        <v>38</v>
      </c>
      <c r="AG592" t="s">
        <v>66</v>
      </c>
      <c r="AH592">
        <v>18</v>
      </c>
      <c r="AI592">
        <v>22</v>
      </c>
      <c r="AJ592" t="s">
        <v>66</v>
      </c>
      <c r="AK592">
        <v>12</v>
      </c>
      <c r="AL592">
        <v>12</v>
      </c>
      <c r="AM592">
        <v>15</v>
      </c>
      <c r="AN592">
        <v>17</v>
      </c>
      <c r="AO592">
        <v>13.33333333</v>
      </c>
      <c r="AP592">
        <v>15.15151515</v>
      </c>
      <c r="AQ592">
        <v>2.2000000000000002</v>
      </c>
      <c r="AR592">
        <v>2.2352941180000001</v>
      </c>
      <c r="AS592">
        <v>3.5294117999999999E-2</v>
      </c>
      <c r="AT592">
        <v>0</v>
      </c>
      <c r="AU592" t="s">
        <v>66</v>
      </c>
      <c r="AV592">
        <v>0</v>
      </c>
      <c r="AW592">
        <v>0</v>
      </c>
      <c r="AX592">
        <v>0</v>
      </c>
      <c r="AY592">
        <v>1</v>
      </c>
      <c r="AZ592">
        <v>1</v>
      </c>
      <c r="BA592">
        <v>1</v>
      </c>
      <c r="BB592" t="s">
        <v>66</v>
      </c>
      <c r="BC592" t="s">
        <v>66</v>
      </c>
      <c r="BD592" t="s">
        <v>66</v>
      </c>
      <c r="BE592" t="s">
        <v>66</v>
      </c>
      <c r="BF592">
        <v>0</v>
      </c>
      <c r="BG592" t="s">
        <v>66</v>
      </c>
      <c r="BH592" t="s">
        <v>66</v>
      </c>
      <c r="BI592">
        <v>68</v>
      </c>
      <c r="BJ592">
        <v>7.2</v>
      </c>
      <c r="BK592" t="s">
        <v>66</v>
      </c>
      <c r="BL592">
        <v>56</v>
      </c>
      <c r="BM592">
        <v>30</v>
      </c>
      <c r="BN592">
        <v>27</v>
      </c>
      <c r="BO592">
        <f t="shared" si="92"/>
        <v>28.5</v>
      </c>
      <c r="BP592">
        <v>4</v>
      </c>
      <c r="BQ592">
        <v>1</v>
      </c>
      <c r="BS592">
        <v>0</v>
      </c>
      <c r="BT592">
        <f t="shared" si="93"/>
        <v>52.941176470588239</v>
      </c>
      <c r="BU592">
        <f t="shared" si="94"/>
        <v>44.44444444444445</v>
      </c>
      <c r="BV592">
        <f t="shared" si="95"/>
        <v>41.071428571428569</v>
      </c>
      <c r="BW592">
        <f t="shared" si="96"/>
        <v>47.368421052631575</v>
      </c>
    </row>
    <row r="593" spans="1:75" x14ac:dyDescent="0.2">
      <c r="A593" t="s">
        <v>170</v>
      </c>
      <c r="B593" t="s">
        <v>192</v>
      </c>
      <c r="C593" t="s">
        <v>106</v>
      </c>
      <c r="D593" t="s">
        <v>603</v>
      </c>
      <c r="E593" t="s">
        <v>610</v>
      </c>
      <c r="F593" t="s">
        <v>727</v>
      </c>
      <c r="G593">
        <v>2.2000000000000002</v>
      </c>
      <c r="H593">
        <v>17.2</v>
      </c>
      <c r="I593">
        <v>18.149999999999999</v>
      </c>
      <c r="J593">
        <v>3.95</v>
      </c>
      <c r="K593">
        <v>41.5</v>
      </c>
      <c r="L593">
        <v>16.06818182</v>
      </c>
      <c r="M593">
        <v>23</v>
      </c>
      <c r="N593">
        <v>28</v>
      </c>
      <c r="O593">
        <v>5</v>
      </c>
      <c r="P593">
        <v>35</v>
      </c>
      <c r="Q593">
        <v>12</v>
      </c>
      <c r="R593">
        <v>6</v>
      </c>
      <c r="S593">
        <v>59.1</v>
      </c>
      <c r="T593">
        <v>52.173913040000002</v>
      </c>
      <c r="U593">
        <v>25</v>
      </c>
      <c r="V593">
        <v>3</v>
      </c>
      <c r="W593">
        <v>5</v>
      </c>
      <c r="X593">
        <v>5</v>
      </c>
      <c r="Y593">
        <v>2</v>
      </c>
      <c r="Z593">
        <v>66.666666669999998</v>
      </c>
      <c r="AA593" t="s">
        <v>66</v>
      </c>
      <c r="AB593" t="s">
        <v>66</v>
      </c>
      <c r="AC593" t="s">
        <v>66</v>
      </c>
      <c r="AD593" t="s">
        <v>66</v>
      </c>
      <c r="AE593">
        <v>26</v>
      </c>
      <c r="AF593">
        <v>33</v>
      </c>
      <c r="AG593" t="s">
        <v>66</v>
      </c>
      <c r="AH593">
        <v>14</v>
      </c>
      <c r="AI593">
        <v>19</v>
      </c>
      <c r="AJ593" t="s">
        <v>66</v>
      </c>
      <c r="AK593">
        <v>13</v>
      </c>
      <c r="AL593">
        <v>13</v>
      </c>
      <c r="AM593">
        <v>13.5</v>
      </c>
      <c r="AN593">
        <v>16</v>
      </c>
      <c r="AO593">
        <v>18.518518520000001</v>
      </c>
      <c r="AP593">
        <v>26.92307692</v>
      </c>
      <c r="AQ593">
        <v>1.9259259259999999</v>
      </c>
      <c r="AR593">
        <v>2.0625</v>
      </c>
      <c r="AS593">
        <v>0.13657407399999999</v>
      </c>
      <c r="AT593">
        <v>0</v>
      </c>
      <c r="AU593" t="s">
        <v>66</v>
      </c>
      <c r="AV593">
        <v>0</v>
      </c>
      <c r="AW593">
        <v>0</v>
      </c>
      <c r="AX593">
        <v>0</v>
      </c>
      <c r="AY593">
        <v>1</v>
      </c>
      <c r="AZ593">
        <v>1</v>
      </c>
      <c r="BA593">
        <v>1</v>
      </c>
      <c r="BB593" t="s">
        <v>66</v>
      </c>
      <c r="BC593" t="s">
        <v>66</v>
      </c>
      <c r="BD593" t="s">
        <v>66</v>
      </c>
      <c r="BE593" t="s">
        <v>66</v>
      </c>
      <c r="BF593">
        <v>0</v>
      </c>
      <c r="BG593" t="s">
        <v>66</v>
      </c>
      <c r="BH593" t="s">
        <v>66</v>
      </c>
      <c r="BI593">
        <v>60</v>
      </c>
      <c r="BJ593">
        <v>6.9</v>
      </c>
      <c r="BK593" t="s">
        <v>66</v>
      </c>
      <c r="BL593">
        <v>53</v>
      </c>
      <c r="BM593">
        <v>25</v>
      </c>
      <c r="BN593">
        <v>21</v>
      </c>
      <c r="BO593">
        <f t="shared" si="92"/>
        <v>23</v>
      </c>
      <c r="BP593">
        <v>4</v>
      </c>
      <c r="BQ593">
        <v>1</v>
      </c>
      <c r="BS593">
        <v>0</v>
      </c>
      <c r="BT593">
        <f t="shared" si="93"/>
        <v>61.666666666666671</v>
      </c>
      <c r="BU593">
        <f t="shared" si="94"/>
        <v>56.521739130434788</v>
      </c>
      <c r="BV593">
        <f t="shared" si="95"/>
        <v>50.943396226415096</v>
      </c>
      <c r="BW593">
        <f t="shared" si="96"/>
        <v>41.304347826086953</v>
      </c>
    </row>
    <row r="594" spans="1:75" x14ac:dyDescent="0.2">
      <c r="A594" t="s">
        <v>170</v>
      </c>
      <c r="B594" t="s">
        <v>192</v>
      </c>
      <c r="C594" t="s">
        <v>106</v>
      </c>
      <c r="D594" t="s">
        <v>603</v>
      </c>
      <c r="E594" t="s">
        <v>612</v>
      </c>
      <c r="F594" t="s">
        <v>728</v>
      </c>
      <c r="G594">
        <v>2.2000000000000002</v>
      </c>
      <c r="H594">
        <v>17.2</v>
      </c>
      <c r="I594">
        <v>18.149999999999999</v>
      </c>
      <c r="J594">
        <v>3.95</v>
      </c>
      <c r="K594">
        <v>41.5</v>
      </c>
      <c r="L594">
        <v>16.06818182</v>
      </c>
      <c r="M594">
        <v>48</v>
      </c>
      <c r="N594">
        <v>60</v>
      </c>
      <c r="O594">
        <v>12</v>
      </c>
      <c r="P594">
        <v>68</v>
      </c>
      <c r="Q594">
        <v>20</v>
      </c>
      <c r="R594">
        <v>10</v>
      </c>
      <c r="S594">
        <v>67.099999999999994</v>
      </c>
      <c r="T594">
        <v>41.666666669999998</v>
      </c>
      <c r="U594">
        <v>13.33333333</v>
      </c>
      <c r="V594">
        <v>5</v>
      </c>
      <c r="W594">
        <v>9</v>
      </c>
      <c r="X594">
        <v>8</v>
      </c>
      <c r="Y594">
        <v>3</v>
      </c>
      <c r="Z594">
        <v>60</v>
      </c>
      <c r="AA594" t="s">
        <v>66</v>
      </c>
      <c r="AB594" t="s">
        <v>66</v>
      </c>
      <c r="AC594" t="s">
        <v>66</v>
      </c>
      <c r="AD594" t="s">
        <v>66</v>
      </c>
      <c r="AE594">
        <v>48</v>
      </c>
      <c r="AF594">
        <v>57</v>
      </c>
      <c r="AG594" t="s">
        <v>66</v>
      </c>
      <c r="AH594">
        <v>34</v>
      </c>
      <c r="AI594">
        <v>37</v>
      </c>
      <c r="AJ594" t="s">
        <v>66</v>
      </c>
      <c r="AK594">
        <v>27</v>
      </c>
      <c r="AL594">
        <v>28</v>
      </c>
      <c r="AM594">
        <v>30.5</v>
      </c>
      <c r="AN594">
        <v>32.5</v>
      </c>
      <c r="AO594">
        <v>6.5573770490000003</v>
      </c>
      <c r="AP594">
        <v>18.75</v>
      </c>
      <c r="AQ594">
        <v>1.573770492</v>
      </c>
      <c r="AR594">
        <v>1.7538461540000001</v>
      </c>
      <c r="AS594">
        <v>0.180075662</v>
      </c>
      <c r="AT594">
        <v>0</v>
      </c>
      <c r="AU594" t="s">
        <v>66</v>
      </c>
      <c r="AV594">
        <v>0</v>
      </c>
      <c r="AW594">
        <v>0</v>
      </c>
      <c r="AX594">
        <v>0</v>
      </c>
      <c r="AY594">
        <v>1</v>
      </c>
      <c r="AZ594">
        <v>1</v>
      </c>
      <c r="BA594">
        <v>1</v>
      </c>
      <c r="BB594" t="s">
        <v>66</v>
      </c>
      <c r="BC594" t="s">
        <v>66</v>
      </c>
      <c r="BD594" t="s">
        <v>66</v>
      </c>
      <c r="BE594" t="s">
        <v>66</v>
      </c>
      <c r="BF594">
        <v>0</v>
      </c>
      <c r="BG594" t="s">
        <v>66</v>
      </c>
      <c r="BH594" t="s">
        <v>66</v>
      </c>
      <c r="BI594">
        <v>87</v>
      </c>
      <c r="BJ594">
        <v>10.6</v>
      </c>
      <c r="BK594" t="s">
        <v>66</v>
      </c>
      <c r="BL594">
        <v>70</v>
      </c>
      <c r="BM594">
        <v>47</v>
      </c>
      <c r="BN594">
        <v>39</v>
      </c>
      <c r="BO594">
        <f t="shared" si="92"/>
        <v>43</v>
      </c>
      <c r="BP594">
        <v>4</v>
      </c>
      <c r="BQ594">
        <v>1</v>
      </c>
      <c r="BS594">
        <v>0</v>
      </c>
      <c r="BT594">
        <f t="shared" si="93"/>
        <v>44.827586206896555</v>
      </c>
      <c r="BU594">
        <f t="shared" si="94"/>
        <v>52.830188679245282</v>
      </c>
      <c r="BV594">
        <f t="shared" si="95"/>
        <v>31.428571428571427</v>
      </c>
      <c r="BW594">
        <f t="shared" si="96"/>
        <v>29.069767441860467</v>
      </c>
    </row>
    <row r="595" spans="1:75" x14ac:dyDescent="0.2">
      <c r="A595" t="s">
        <v>170</v>
      </c>
      <c r="B595" t="s">
        <v>192</v>
      </c>
      <c r="C595" t="s">
        <v>106</v>
      </c>
      <c r="D595" t="s">
        <v>603</v>
      </c>
      <c r="E595" t="s">
        <v>614</v>
      </c>
      <c r="F595" t="s">
        <v>729</v>
      </c>
      <c r="G595">
        <v>2.2000000000000002</v>
      </c>
      <c r="H595">
        <v>17.2</v>
      </c>
      <c r="I595">
        <v>18.149999999999999</v>
      </c>
      <c r="J595">
        <v>3.95</v>
      </c>
      <c r="K595">
        <v>41.5</v>
      </c>
      <c r="L595">
        <v>16.06818182</v>
      </c>
      <c r="M595">
        <v>16</v>
      </c>
      <c r="N595">
        <v>23</v>
      </c>
      <c r="O595">
        <v>7</v>
      </c>
      <c r="P595">
        <v>25</v>
      </c>
      <c r="Q595">
        <v>9</v>
      </c>
      <c r="R595">
        <v>4.5</v>
      </c>
      <c r="S595">
        <v>56.1</v>
      </c>
      <c r="T595">
        <v>56.25</v>
      </c>
      <c r="U595">
        <v>8.6956521739999992</v>
      </c>
      <c r="V595">
        <v>3</v>
      </c>
      <c r="W595">
        <v>4</v>
      </c>
      <c r="X595">
        <v>4</v>
      </c>
      <c r="Y595">
        <v>1</v>
      </c>
      <c r="Z595">
        <v>33.333333330000002</v>
      </c>
      <c r="AA595" t="s">
        <v>66</v>
      </c>
      <c r="AB595" t="s">
        <v>66</v>
      </c>
      <c r="AC595" t="s">
        <v>66</v>
      </c>
      <c r="AD595" t="s">
        <v>66</v>
      </c>
      <c r="AE595">
        <v>20</v>
      </c>
      <c r="AF595">
        <v>19</v>
      </c>
      <c r="AG595" t="s">
        <v>66</v>
      </c>
      <c r="AH595">
        <v>13</v>
      </c>
      <c r="AI595">
        <v>14</v>
      </c>
      <c r="AJ595" t="s">
        <v>66</v>
      </c>
      <c r="AK595">
        <v>8</v>
      </c>
      <c r="AL595">
        <v>7</v>
      </c>
      <c r="AM595">
        <v>10.5</v>
      </c>
      <c r="AN595">
        <v>10.5</v>
      </c>
      <c r="AO595">
        <v>0</v>
      </c>
      <c r="AP595">
        <v>-5</v>
      </c>
      <c r="AQ595">
        <v>1.904761905</v>
      </c>
      <c r="AR595">
        <v>1.80952381</v>
      </c>
      <c r="AS595">
        <v>-9.5238094999999995E-2</v>
      </c>
      <c r="AT595">
        <v>0</v>
      </c>
      <c r="AU595" t="s">
        <v>66</v>
      </c>
      <c r="AV595">
        <v>0</v>
      </c>
      <c r="AW595">
        <v>0</v>
      </c>
      <c r="AX595">
        <v>0</v>
      </c>
      <c r="AY595">
        <v>1</v>
      </c>
      <c r="AZ595">
        <v>1</v>
      </c>
      <c r="BA595">
        <v>1</v>
      </c>
      <c r="BB595" t="s">
        <v>66</v>
      </c>
      <c r="BC595" t="s">
        <v>66</v>
      </c>
      <c r="BD595" t="s">
        <v>66</v>
      </c>
      <c r="BE595" t="s">
        <v>66</v>
      </c>
      <c r="BF595">
        <v>0</v>
      </c>
      <c r="BG595" t="s">
        <v>66</v>
      </c>
      <c r="BH595" t="s">
        <v>66</v>
      </c>
      <c r="BI595">
        <v>43</v>
      </c>
      <c r="BJ595">
        <v>5.3</v>
      </c>
      <c r="BK595" t="s">
        <v>66</v>
      </c>
      <c r="BL595">
        <v>34</v>
      </c>
      <c r="BM595">
        <v>21</v>
      </c>
      <c r="BN595">
        <v>20</v>
      </c>
      <c r="BO595">
        <f t="shared" si="92"/>
        <v>20.5</v>
      </c>
      <c r="BP595">
        <v>4</v>
      </c>
      <c r="BQ595">
        <v>1</v>
      </c>
      <c r="BS595">
        <v>0</v>
      </c>
      <c r="BT595">
        <f t="shared" si="93"/>
        <v>62.790697674418603</v>
      </c>
      <c r="BU595">
        <f t="shared" si="94"/>
        <v>43.396226415094333</v>
      </c>
      <c r="BV595">
        <f t="shared" si="95"/>
        <v>41.17647058823529</v>
      </c>
      <c r="BW595">
        <f t="shared" si="96"/>
        <v>48.780487804878049</v>
      </c>
    </row>
    <row r="596" spans="1:75" x14ac:dyDescent="0.2">
      <c r="A596" t="s">
        <v>170</v>
      </c>
      <c r="B596" t="s">
        <v>192</v>
      </c>
      <c r="C596" t="s">
        <v>106</v>
      </c>
      <c r="D596" t="s">
        <v>603</v>
      </c>
      <c r="E596" t="s">
        <v>616</v>
      </c>
      <c r="F596" t="s">
        <v>730</v>
      </c>
      <c r="G596">
        <v>2.2000000000000002</v>
      </c>
      <c r="H596">
        <v>17.2</v>
      </c>
      <c r="I596">
        <v>18.149999999999999</v>
      </c>
      <c r="J596">
        <v>3.95</v>
      </c>
      <c r="K596">
        <v>41.5</v>
      </c>
      <c r="L596">
        <v>16.06818182</v>
      </c>
      <c r="M596">
        <v>21</v>
      </c>
      <c r="N596">
        <v>24</v>
      </c>
      <c r="O596">
        <v>3</v>
      </c>
      <c r="P596">
        <v>25</v>
      </c>
      <c r="Q596">
        <v>4</v>
      </c>
      <c r="R596">
        <v>2</v>
      </c>
      <c r="S596">
        <v>51.1</v>
      </c>
      <c r="T596">
        <v>19.047619050000002</v>
      </c>
      <c r="U596">
        <v>4.1666666670000003</v>
      </c>
      <c r="V596">
        <v>3</v>
      </c>
      <c r="W596">
        <v>5</v>
      </c>
      <c r="X596">
        <v>4</v>
      </c>
      <c r="Y596">
        <v>1</v>
      </c>
      <c r="Z596">
        <v>33.333333330000002</v>
      </c>
      <c r="AA596" t="s">
        <v>66</v>
      </c>
      <c r="AB596" t="s">
        <v>66</v>
      </c>
      <c r="AC596" t="s">
        <v>66</v>
      </c>
      <c r="AD596" t="s">
        <v>66</v>
      </c>
      <c r="AE596">
        <v>20</v>
      </c>
      <c r="AF596">
        <v>19</v>
      </c>
      <c r="AG596" t="s">
        <v>66</v>
      </c>
      <c r="AH596">
        <v>12</v>
      </c>
      <c r="AI596">
        <v>15</v>
      </c>
      <c r="AJ596" t="s">
        <v>66</v>
      </c>
      <c r="AK596">
        <v>10</v>
      </c>
      <c r="AL596">
        <v>12</v>
      </c>
      <c r="AM596">
        <v>11</v>
      </c>
      <c r="AN596">
        <v>13.5</v>
      </c>
      <c r="AO596">
        <v>22.727272729999999</v>
      </c>
      <c r="AP596">
        <v>-5</v>
      </c>
      <c r="AQ596">
        <v>1.818181818</v>
      </c>
      <c r="AR596">
        <v>1.407407407</v>
      </c>
      <c r="AS596">
        <v>-0.41077441100000001</v>
      </c>
      <c r="AT596">
        <v>0</v>
      </c>
      <c r="AU596" t="s">
        <v>66</v>
      </c>
      <c r="AV596">
        <v>0</v>
      </c>
      <c r="AW596">
        <v>0</v>
      </c>
      <c r="AX596">
        <v>0</v>
      </c>
      <c r="AY596">
        <v>1</v>
      </c>
      <c r="AZ596">
        <v>1</v>
      </c>
      <c r="BA596">
        <v>1</v>
      </c>
      <c r="BB596" t="s">
        <v>66</v>
      </c>
      <c r="BC596" t="s">
        <v>66</v>
      </c>
      <c r="BD596" t="s">
        <v>66</v>
      </c>
      <c r="BE596" t="s">
        <v>66</v>
      </c>
      <c r="BF596">
        <v>0</v>
      </c>
      <c r="BG596" t="s">
        <v>66</v>
      </c>
      <c r="BH596" t="s">
        <v>66</v>
      </c>
      <c r="BI596">
        <v>39</v>
      </c>
      <c r="BJ596">
        <v>6.3</v>
      </c>
      <c r="BK596" t="s">
        <v>66</v>
      </c>
      <c r="BL596">
        <v>27</v>
      </c>
      <c r="BM596">
        <v>25</v>
      </c>
      <c r="BN596">
        <v>14</v>
      </c>
      <c r="BO596">
        <f t="shared" si="92"/>
        <v>19.5</v>
      </c>
      <c r="BP596">
        <v>4</v>
      </c>
      <c r="BQ596">
        <v>1</v>
      </c>
      <c r="BS596">
        <v>0</v>
      </c>
      <c r="BT596">
        <f t="shared" si="93"/>
        <v>46.153846153846153</v>
      </c>
      <c r="BU596">
        <f t="shared" si="94"/>
        <v>52.380952380952387</v>
      </c>
      <c r="BV596">
        <f t="shared" si="95"/>
        <v>25.925925925925924</v>
      </c>
      <c r="BW596">
        <f t="shared" si="96"/>
        <v>43.589743589743591</v>
      </c>
    </row>
    <row r="597" spans="1:75" x14ac:dyDescent="0.2">
      <c r="A597" t="s">
        <v>170</v>
      </c>
      <c r="B597" t="s">
        <v>192</v>
      </c>
      <c r="C597" t="s">
        <v>106</v>
      </c>
      <c r="D597" t="s">
        <v>603</v>
      </c>
      <c r="E597" t="s">
        <v>618</v>
      </c>
      <c r="F597" t="s">
        <v>731</v>
      </c>
      <c r="G597">
        <v>2.2000000000000002</v>
      </c>
      <c r="H597">
        <v>17.2</v>
      </c>
      <c r="I597">
        <v>18.149999999999999</v>
      </c>
      <c r="J597">
        <v>3.95</v>
      </c>
      <c r="K597">
        <v>41.5</v>
      </c>
      <c r="L597">
        <v>16.06818182</v>
      </c>
      <c r="M597">
        <v>23</v>
      </c>
      <c r="N597">
        <v>31</v>
      </c>
      <c r="O597">
        <v>8</v>
      </c>
      <c r="P597">
        <v>31</v>
      </c>
      <c r="Q597">
        <v>8</v>
      </c>
      <c r="R597">
        <v>4</v>
      </c>
      <c r="S597">
        <v>55.1</v>
      </c>
      <c r="T597">
        <v>34.782608699999997</v>
      </c>
      <c r="U597">
        <v>0</v>
      </c>
      <c r="V597">
        <v>2</v>
      </c>
      <c r="W597">
        <v>5</v>
      </c>
      <c r="X597">
        <v>4</v>
      </c>
      <c r="Y597">
        <v>2</v>
      </c>
      <c r="Z597">
        <v>100</v>
      </c>
      <c r="AA597" t="s">
        <v>66</v>
      </c>
      <c r="AB597" t="s">
        <v>66</v>
      </c>
      <c r="AC597" t="s">
        <v>66</v>
      </c>
      <c r="AD597" t="s">
        <v>66</v>
      </c>
      <c r="AE597">
        <v>25</v>
      </c>
      <c r="AF597">
        <v>27</v>
      </c>
      <c r="AG597" t="s">
        <v>66</v>
      </c>
      <c r="AH597">
        <v>16</v>
      </c>
      <c r="AI597">
        <v>20</v>
      </c>
      <c r="AJ597" t="s">
        <v>66</v>
      </c>
      <c r="AK597">
        <v>12</v>
      </c>
      <c r="AL597">
        <v>13</v>
      </c>
      <c r="AM597">
        <v>14</v>
      </c>
      <c r="AN597">
        <v>16.5</v>
      </c>
      <c r="AO597">
        <v>17.85714286</v>
      </c>
      <c r="AP597">
        <v>8</v>
      </c>
      <c r="AQ597">
        <v>1.7857142859999999</v>
      </c>
      <c r="AR597">
        <v>1.636363636</v>
      </c>
      <c r="AS597">
        <v>-0.14935065</v>
      </c>
      <c r="AT597">
        <v>0</v>
      </c>
      <c r="AU597" t="s">
        <v>66</v>
      </c>
      <c r="AV597">
        <v>0</v>
      </c>
      <c r="AW597">
        <v>0</v>
      </c>
      <c r="AX597">
        <v>0</v>
      </c>
      <c r="AY597">
        <v>1</v>
      </c>
      <c r="AZ597">
        <v>1</v>
      </c>
      <c r="BA597">
        <v>1</v>
      </c>
      <c r="BB597" t="s">
        <v>66</v>
      </c>
      <c r="BC597" t="s">
        <v>66</v>
      </c>
      <c r="BD597" t="s">
        <v>66</v>
      </c>
      <c r="BE597" t="s">
        <v>66</v>
      </c>
      <c r="BF597">
        <v>0</v>
      </c>
      <c r="BG597" t="s">
        <v>66</v>
      </c>
      <c r="BH597" t="s">
        <v>66</v>
      </c>
      <c r="BI597">
        <v>46</v>
      </c>
      <c r="BJ597">
        <v>5</v>
      </c>
      <c r="BK597" t="s">
        <v>66</v>
      </c>
      <c r="BL597">
        <v>36</v>
      </c>
      <c r="BM597">
        <v>26</v>
      </c>
      <c r="BN597">
        <v>14</v>
      </c>
      <c r="BO597">
        <f t="shared" si="92"/>
        <v>20</v>
      </c>
      <c r="BP597">
        <v>4</v>
      </c>
      <c r="BQ597">
        <v>1</v>
      </c>
      <c r="BS597">
        <v>0</v>
      </c>
      <c r="BT597">
        <f t="shared" si="93"/>
        <v>50</v>
      </c>
      <c r="BU597">
        <f t="shared" si="94"/>
        <v>60</v>
      </c>
      <c r="BV597">
        <f t="shared" si="95"/>
        <v>30.555555555555557</v>
      </c>
      <c r="BW597">
        <f t="shared" si="96"/>
        <v>30</v>
      </c>
    </row>
    <row r="598" spans="1:75" x14ac:dyDescent="0.2">
      <c r="A598" t="s">
        <v>170</v>
      </c>
      <c r="B598" t="s">
        <v>192</v>
      </c>
      <c r="C598" t="s">
        <v>106</v>
      </c>
      <c r="D598" t="s">
        <v>603</v>
      </c>
      <c r="E598" t="s">
        <v>620</v>
      </c>
      <c r="F598" t="s">
        <v>732</v>
      </c>
      <c r="G598">
        <v>2.2000000000000002</v>
      </c>
      <c r="H598">
        <v>17.2</v>
      </c>
      <c r="I598">
        <v>18.149999999999999</v>
      </c>
      <c r="J598">
        <v>3.95</v>
      </c>
      <c r="K598">
        <v>41.5</v>
      </c>
      <c r="L598">
        <v>16.06818182</v>
      </c>
      <c r="M598">
        <v>31</v>
      </c>
      <c r="N598">
        <v>34</v>
      </c>
      <c r="O598">
        <v>3</v>
      </c>
      <c r="P598">
        <v>39</v>
      </c>
      <c r="Q598">
        <v>8</v>
      </c>
      <c r="R598">
        <v>4</v>
      </c>
      <c r="S598">
        <v>55.1</v>
      </c>
      <c r="T598">
        <v>25.80645161</v>
      </c>
      <c r="U598">
        <v>14.70588235</v>
      </c>
      <c r="V598">
        <v>3</v>
      </c>
      <c r="W598">
        <v>6</v>
      </c>
      <c r="X598">
        <v>6</v>
      </c>
      <c r="Y598">
        <v>3</v>
      </c>
      <c r="Z598">
        <v>100</v>
      </c>
      <c r="AA598" t="s">
        <v>66</v>
      </c>
      <c r="AB598" t="s">
        <v>66</v>
      </c>
      <c r="AC598" t="s">
        <v>66</v>
      </c>
      <c r="AD598" t="s">
        <v>66</v>
      </c>
      <c r="AE598">
        <v>30</v>
      </c>
      <c r="AF598">
        <v>30</v>
      </c>
      <c r="AG598" t="s">
        <v>66</v>
      </c>
      <c r="AH598">
        <v>17</v>
      </c>
      <c r="AI598">
        <v>18</v>
      </c>
      <c r="AJ598" t="s">
        <v>66</v>
      </c>
      <c r="AK598">
        <v>14</v>
      </c>
      <c r="AL598">
        <v>15</v>
      </c>
      <c r="AM598">
        <v>15.5</v>
      </c>
      <c r="AN598">
        <v>16.5</v>
      </c>
      <c r="AO598">
        <v>6.451612903</v>
      </c>
      <c r="AP598">
        <v>0</v>
      </c>
      <c r="AQ598">
        <v>1.935483871</v>
      </c>
      <c r="AR598">
        <v>1.818181818</v>
      </c>
      <c r="AS598">
        <v>-0.117302053</v>
      </c>
      <c r="AT598">
        <v>0</v>
      </c>
      <c r="AU598" t="s">
        <v>66</v>
      </c>
      <c r="AV598">
        <v>0</v>
      </c>
      <c r="AW598">
        <v>0</v>
      </c>
      <c r="AX598">
        <v>0</v>
      </c>
      <c r="AY598">
        <v>1</v>
      </c>
      <c r="AZ598">
        <v>1</v>
      </c>
      <c r="BA598">
        <v>1</v>
      </c>
      <c r="BB598" t="s">
        <v>66</v>
      </c>
      <c r="BC598" t="s">
        <v>66</v>
      </c>
      <c r="BD598" t="s">
        <v>66</v>
      </c>
      <c r="BE598" t="s">
        <v>66</v>
      </c>
      <c r="BF598">
        <v>0</v>
      </c>
      <c r="BG598" t="s">
        <v>66</v>
      </c>
      <c r="BH598" t="s">
        <v>66</v>
      </c>
      <c r="BI598">
        <v>60</v>
      </c>
      <c r="BJ598">
        <v>7.2</v>
      </c>
      <c r="BK598" t="s">
        <v>66</v>
      </c>
      <c r="BL598">
        <v>50</v>
      </c>
      <c r="BM598">
        <v>27</v>
      </c>
      <c r="BN598">
        <v>12</v>
      </c>
      <c r="BO598">
        <f t="shared" si="92"/>
        <v>19.5</v>
      </c>
      <c r="BP598">
        <v>4</v>
      </c>
      <c r="BQ598">
        <v>1</v>
      </c>
      <c r="BS598">
        <v>0</v>
      </c>
      <c r="BT598">
        <f t="shared" si="93"/>
        <v>48.333333333333336</v>
      </c>
      <c r="BU598">
        <f t="shared" si="94"/>
        <v>58.333333333333336</v>
      </c>
      <c r="BV598">
        <f t="shared" si="95"/>
        <v>40</v>
      </c>
      <c r="BW598">
        <f t="shared" si="96"/>
        <v>20.512820512820511</v>
      </c>
    </row>
    <row r="599" spans="1:75" x14ac:dyDescent="0.2">
      <c r="A599" t="s">
        <v>170</v>
      </c>
      <c r="B599" t="s">
        <v>192</v>
      </c>
      <c r="C599" t="s">
        <v>106</v>
      </c>
      <c r="D599" t="s">
        <v>603</v>
      </c>
      <c r="E599" t="s">
        <v>622</v>
      </c>
      <c r="F599" t="s">
        <v>733</v>
      </c>
      <c r="G599">
        <v>2.2000000000000002</v>
      </c>
      <c r="H599">
        <v>17.2</v>
      </c>
      <c r="I599">
        <v>18.149999999999999</v>
      </c>
      <c r="J599">
        <v>3.95</v>
      </c>
      <c r="K599">
        <v>41.5</v>
      </c>
      <c r="L599">
        <v>16.06818182</v>
      </c>
      <c r="M599">
        <v>13</v>
      </c>
      <c r="N599">
        <v>20</v>
      </c>
      <c r="O599">
        <v>7</v>
      </c>
      <c r="P599">
        <v>21</v>
      </c>
      <c r="Q599">
        <v>8</v>
      </c>
      <c r="R599">
        <v>4</v>
      </c>
      <c r="S599">
        <v>55.1</v>
      </c>
      <c r="T599">
        <v>61.53846154</v>
      </c>
      <c r="U599">
        <v>5</v>
      </c>
      <c r="V599">
        <v>1</v>
      </c>
      <c r="W599">
        <v>4</v>
      </c>
      <c r="X599">
        <v>3</v>
      </c>
      <c r="Y599">
        <v>2</v>
      </c>
      <c r="Z599">
        <v>200</v>
      </c>
      <c r="AA599" t="s">
        <v>66</v>
      </c>
      <c r="AB599" t="s">
        <v>66</v>
      </c>
      <c r="AC599" t="s">
        <v>66</v>
      </c>
      <c r="AD599" t="s">
        <v>66</v>
      </c>
      <c r="AE599">
        <v>16</v>
      </c>
      <c r="AF599">
        <v>15</v>
      </c>
      <c r="AG599" t="s">
        <v>66</v>
      </c>
      <c r="AH599">
        <v>8</v>
      </c>
      <c r="AI599">
        <v>8</v>
      </c>
      <c r="AJ599" t="s">
        <v>66</v>
      </c>
      <c r="AK599">
        <v>5</v>
      </c>
      <c r="AL599">
        <v>3</v>
      </c>
      <c r="AM599">
        <v>6.5</v>
      </c>
      <c r="AN599">
        <v>5.5</v>
      </c>
      <c r="AO599">
        <v>-15.38461538</v>
      </c>
      <c r="AP599">
        <v>-6.25</v>
      </c>
      <c r="AQ599">
        <v>2.461538462</v>
      </c>
      <c r="AR599">
        <v>2.7272727269999999</v>
      </c>
      <c r="AS599">
        <v>0.26573426500000003</v>
      </c>
      <c r="AT599">
        <v>0</v>
      </c>
      <c r="AU599" t="s">
        <v>66</v>
      </c>
      <c r="AV599">
        <v>0</v>
      </c>
      <c r="AW599">
        <v>0</v>
      </c>
      <c r="AX599">
        <v>0</v>
      </c>
      <c r="AY599">
        <v>1</v>
      </c>
      <c r="AZ599">
        <v>1</v>
      </c>
      <c r="BA599">
        <v>1</v>
      </c>
      <c r="BB599" t="s">
        <v>66</v>
      </c>
      <c r="BC599" t="s">
        <v>66</v>
      </c>
      <c r="BD599" t="s">
        <v>66</v>
      </c>
      <c r="BE599" t="s">
        <v>66</v>
      </c>
      <c r="BF599">
        <v>0</v>
      </c>
      <c r="BG599" t="s">
        <v>66</v>
      </c>
      <c r="BH599" t="s">
        <v>66</v>
      </c>
      <c r="BI599">
        <v>39</v>
      </c>
      <c r="BJ599">
        <v>3.4</v>
      </c>
      <c r="BK599" t="s">
        <v>66</v>
      </c>
      <c r="BL599">
        <v>30</v>
      </c>
      <c r="BM599">
        <v>11</v>
      </c>
      <c r="BN599">
        <v>7</v>
      </c>
      <c r="BO599">
        <f t="shared" si="92"/>
        <v>9</v>
      </c>
      <c r="BP599">
        <v>4</v>
      </c>
      <c r="BQ599">
        <v>1</v>
      </c>
      <c r="BS599">
        <v>0</v>
      </c>
      <c r="BT599">
        <f t="shared" si="93"/>
        <v>66.666666666666657</v>
      </c>
      <c r="BU599">
        <f t="shared" si="94"/>
        <v>70.588235294117652</v>
      </c>
      <c r="BV599">
        <f t="shared" si="95"/>
        <v>46.666666666666664</v>
      </c>
      <c r="BW599">
        <f t="shared" si="96"/>
        <v>27.777777777777779</v>
      </c>
    </row>
    <row r="600" spans="1:75" x14ac:dyDescent="0.2">
      <c r="A600" t="s">
        <v>170</v>
      </c>
      <c r="B600" t="s">
        <v>192</v>
      </c>
      <c r="C600" t="s">
        <v>106</v>
      </c>
      <c r="D600" t="s">
        <v>603</v>
      </c>
      <c r="E600" t="s">
        <v>624</v>
      </c>
      <c r="F600" t="s">
        <v>734</v>
      </c>
      <c r="G600">
        <v>2.2000000000000002</v>
      </c>
      <c r="H600">
        <v>17.2</v>
      </c>
      <c r="I600">
        <v>18.149999999999999</v>
      </c>
      <c r="J600">
        <v>3.95</v>
      </c>
      <c r="K600">
        <v>41.5</v>
      </c>
      <c r="L600">
        <v>16.06818182</v>
      </c>
      <c r="M600">
        <v>41</v>
      </c>
      <c r="N600">
        <v>52</v>
      </c>
      <c r="O600">
        <v>11</v>
      </c>
      <c r="P600">
        <v>59</v>
      </c>
      <c r="Q600">
        <v>18</v>
      </c>
      <c r="R600">
        <v>9</v>
      </c>
      <c r="S600">
        <v>65.099999999999994</v>
      </c>
      <c r="T600">
        <v>43.902439020000003</v>
      </c>
      <c r="U600">
        <v>13.46153846</v>
      </c>
      <c r="V600">
        <v>4</v>
      </c>
      <c r="W600">
        <v>9</v>
      </c>
      <c r="X600">
        <v>8</v>
      </c>
      <c r="Y600">
        <v>4</v>
      </c>
      <c r="Z600">
        <v>100</v>
      </c>
      <c r="AA600" t="s">
        <v>66</v>
      </c>
      <c r="AB600" t="s">
        <v>66</v>
      </c>
      <c r="AC600" t="s">
        <v>66</v>
      </c>
      <c r="AD600" t="s">
        <v>66</v>
      </c>
      <c r="AE600">
        <v>41</v>
      </c>
      <c r="AF600">
        <v>46</v>
      </c>
      <c r="AG600" t="s">
        <v>66</v>
      </c>
      <c r="AH600">
        <v>33</v>
      </c>
      <c r="AI600">
        <v>37</v>
      </c>
      <c r="AJ600" t="s">
        <v>66</v>
      </c>
      <c r="AK600">
        <v>24</v>
      </c>
      <c r="AL600">
        <v>23</v>
      </c>
      <c r="AM600">
        <v>28.5</v>
      </c>
      <c r="AN600">
        <v>30</v>
      </c>
      <c r="AO600">
        <v>5.263157895</v>
      </c>
      <c r="AP600">
        <v>12.195121950000001</v>
      </c>
      <c r="AQ600">
        <v>1.438596491</v>
      </c>
      <c r="AR600">
        <v>1.5333333330000001</v>
      </c>
      <c r="AS600">
        <v>9.4736842000000002E-2</v>
      </c>
      <c r="AT600">
        <v>0</v>
      </c>
      <c r="AU600" t="s">
        <v>66</v>
      </c>
      <c r="AV600">
        <v>0</v>
      </c>
      <c r="AW600">
        <v>0</v>
      </c>
      <c r="AX600">
        <v>0</v>
      </c>
      <c r="AY600">
        <v>1</v>
      </c>
      <c r="AZ600">
        <v>1</v>
      </c>
      <c r="BA600">
        <v>1</v>
      </c>
      <c r="BB600" t="s">
        <v>66</v>
      </c>
      <c r="BC600" t="s">
        <v>66</v>
      </c>
      <c r="BD600" t="s">
        <v>66</v>
      </c>
      <c r="BE600" t="s">
        <v>66</v>
      </c>
      <c r="BF600">
        <v>0</v>
      </c>
      <c r="BG600" t="s">
        <v>66</v>
      </c>
      <c r="BH600" t="s">
        <v>66</v>
      </c>
      <c r="BI600">
        <v>89</v>
      </c>
      <c r="BJ600">
        <v>9.5</v>
      </c>
      <c r="BK600" t="s">
        <v>66</v>
      </c>
      <c r="BL600">
        <v>79</v>
      </c>
      <c r="BM600">
        <v>16</v>
      </c>
      <c r="BN600">
        <v>20</v>
      </c>
      <c r="BO600">
        <f t="shared" si="92"/>
        <v>18</v>
      </c>
      <c r="BP600">
        <v>4</v>
      </c>
      <c r="BQ600">
        <v>1</v>
      </c>
      <c r="BS600">
        <v>0</v>
      </c>
      <c r="BT600">
        <f t="shared" si="93"/>
        <v>53.932584269662918</v>
      </c>
      <c r="BU600">
        <f t="shared" si="94"/>
        <v>57.894736842105267</v>
      </c>
      <c r="BV600">
        <f t="shared" si="95"/>
        <v>48.101265822784811</v>
      </c>
      <c r="BW600">
        <f t="shared" si="96"/>
        <v>-58.333333333333336</v>
      </c>
    </row>
    <row r="601" spans="1:75" x14ac:dyDescent="0.2">
      <c r="A601" t="s">
        <v>170</v>
      </c>
      <c r="B601" t="s">
        <v>192</v>
      </c>
      <c r="C601" t="s">
        <v>106</v>
      </c>
      <c r="D601" t="s">
        <v>603</v>
      </c>
      <c r="E601" t="s">
        <v>626</v>
      </c>
      <c r="F601" t="s">
        <v>735</v>
      </c>
      <c r="G601">
        <v>2.2000000000000002</v>
      </c>
      <c r="H601">
        <v>17.2</v>
      </c>
      <c r="I601">
        <v>18.149999999999999</v>
      </c>
      <c r="J601">
        <v>3.95</v>
      </c>
      <c r="K601">
        <v>41.5</v>
      </c>
      <c r="L601">
        <v>16.06818182</v>
      </c>
      <c r="M601">
        <v>13</v>
      </c>
      <c r="N601">
        <v>14</v>
      </c>
      <c r="O601">
        <v>1</v>
      </c>
      <c r="P601">
        <v>20</v>
      </c>
      <c r="Q601">
        <v>7</v>
      </c>
      <c r="R601">
        <v>3.5</v>
      </c>
      <c r="S601">
        <v>54.1</v>
      </c>
      <c r="T601">
        <v>53.84615385</v>
      </c>
      <c r="U601">
        <v>42.857142860000003</v>
      </c>
      <c r="V601">
        <v>2</v>
      </c>
      <c r="W601">
        <v>2</v>
      </c>
      <c r="X601">
        <v>3</v>
      </c>
      <c r="Y601">
        <v>1</v>
      </c>
      <c r="Z601">
        <v>50</v>
      </c>
      <c r="AA601" t="s">
        <v>66</v>
      </c>
      <c r="AB601" t="s">
        <v>66</v>
      </c>
      <c r="AC601" t="s">
        <v>66</v>
      </c>
      <c r="AD601" t="s">
        <v>66</v>
      </c>
      <c r="AE601">
        <v>12</v>
      </c>
      <c r="AF601">
        <v>15</v>
      </c>
      <c r="AG601" t="s">
        <v>66</v>
      </c>
      <c r="AH601">
        <v>5</v>
      </c>
      <c r="AI601">
        <v>10</v>
      </c>
      <c r="AJ601" t="s">
        <v>66</v>
      </c>
      <c r="AK601">
        <v>4</v>
      </c>
      <c r="AL601">
        <v>8</v>
      </c>
      <c r="AM601">
        <v>4.5</v>
      </c>
      <c r="AN601">
        <v>9</v>
      </c>
      <c r="AO601">
        <v>100</v>
      </c>
      <c r="AP601">
        <v>25</v>
      </c>
      <c r="AQ601">
        <v>2.6666666669999999</v>
      </c>
      <c r="AR601">
        <v>1.6666666670000001</v>
      </c>
      <c r="AS601">
        <v>-1</v>
      </c>
      <c r="AT601">
        <v>0</v>
      </c>
      <c r="AU601" t="s">
        <v>66</v>
      </c>
      <c r="AV601">
        <v>0</v>
      </c>
      <c r="AW601">
        <v>0</v>
      </c>
      <c r="AX601">
        <v>0</v>
      </c>
      <c r="AY601">
        <v>1</v>
      </c>
      <c r="AZ601">
        <v>1</v>
      </c>
      <c r="BA601">
        <v>1</v>
      </c>
      <c r="BB601" t="s">
        <v>66</v>
      </c>
      <c r="BC601" t="s">
        <v>66</v>
      </c>
      <c r="BD601" t="s">
        <v>66</v>
      </c>
      <c r="BE601" t="s">
        <v>66</v>
      </c>
      <c r="BF601">
        <v>0</v>
      </c>
      <c r="BG601" t="s">
        <v>66</v>
      </c>
      <c r="BH601" t="s">
        <v>66</v>
      </c>
      <c r="BI601">
        <v>27</v>
      </c>
      <c r="BJ601">
        <v>6.3</v>
      </c>
      <c r="BK601" t="s">
        <v>66</v>
      </c>
      <c r="BL601">
        <v>21</v>
      </c>
      <c r="BM601">
        <v>16</v>
      </c>
      <c r="BN601">
        <v>12</v>
      </c>
      <c r="BO601">
        <f t="shared" si="92"/>
        <v>14</v>
      </c>
      <c r="BP601">
        <v>4</v>
      </c>
      <c r="BQ601">
        <v>1</v>
      </c>
      <c r="BS601">
        <v>0</v>
      </c>
      <c r="BT601">
        <f t="shared" si="93"/>
        <v>51.851851851851848</v>
      </c>
      <c r="BU601">
        <f t="shared" si="94"/>
        <v>68.253968253968253</v>
      </c>
      <c r="BV601">
        <f t="shared" si="95"/>
        <v>42.857142857142854</v>
      </c>
      <c r="BW601">
        <f t="shared" si="96"/>
        <v>67.857142857142861</v>
      </c>
    </row>
    <row r="602" spans="1:75" x14ac:dyDescent="0.2">
      <c r="A602" t="s">
        <v>170</v>
      </c>
      <c r="B602" t="s">
        <v>192</v>
      </c>
      <c r="C602" t="s">
        <v>106</v>
      </c>
      <c r="D602" t="s">
        <v>603</v>
      </c>
      <c r="E602" t="s">
        <v>628</v>
      </c>
      <c r="F602" t="s">
        <v>736</v>
      </c>
      <c r="G602">
        <v>2.2000000000000002</v>
      </c>
      <c r="H602">
        <v>17.2</v>
      </c>
      <c r="I602">
        <v>18.149999999999999</v>
      </c>
      <c r="J602">
        <v>3.95</v>
      </c>
      <c r="K602">
        <v>41.5</v>
      </c>
      <c r="L602">
        <v>16.06818182</v>
      </c>
      <c r="M602">
        <v>28</v>
      </c>
      <c r="N602">
        <v>30</v>
      </c>
      <c r="O602">
        <v>2</v>
      </c>
      <c r="P602">
        <v>33</v>
      </c>
      <c r="Q602">
        <v>5</v>
      </c>
      <c r="R602">
        <v>2.5</v>
      </c>
      <c r="S602">
        <v>52.1</v>
      </c>
      <c r="T602">
        <v>17.85714286</v>
      </c>
      <c r="U602">
        <v>10</v>
      </c>
      <c r="V602">
        <v>3</v>
      </c>
      <c r="W602">
        <v>5</v>
      </c>
      <c r="X602">
        <v>6</v>
      </c>
      <c r="Y602">
        <v>3</v>
      </c>
      <c r="Z602">
        <v>100</v>
      </c>
      <c r="AA602" t="s">
        <v>66</v>
      </c>
      <c r="AB602" t="s">
        <v>66</v>
      </c>
      <c r="AC602" t="s">
        <v>66</v>
      </c>
      <c r="AD602" t="s">
        <v>66</v>
      </c>
      <c r="AE602">
        <v>24</v>
      </c>
      <c r="AF602">
        <v>27</v>
      </c>
      <c r="AG602" t="s">
        <v>66</v>
      </c>
      <c r="AH602">
        <v>25</v>
      </c>
      <c r="AI602">
        <v>20</v>
      </c>
      <c r="AJ602" t="s">
        <v>66</v>
      </c>
      <c r="AK602">
        <v>18</v>
      </c>
      <c r="AL602">
        <v>14</v>
      </c>
      <c r="AM602">
        <v>21.5</v>
      </c>
      <c r="AN602">
        <v>17</v>
      </c>
      <c r="AO602">
        <v>-20.93023256</v>
      </c>
      <c r="AP602">
        <v>12.5</v>
      </c>
      <c r="AQ602">
        <v>1.11627907</v>
      </c>
      <c r="AR602">
        <v>1.588235294</v>
      </c>
      <c r="AS602">
        <v>0.47195622399999998</v>
      </c>
      <c r="AT602">
        <v>0</v>
      </c>
      <c r="AU602" t="s">
        <v>66</v>
      </c>
      <c r="AV602">
        <v>0</v>
      </c>
      <c r="AW602">
        <v>0</v>
      </c>
      <c r="AX602">
        <v>0</v>
      </c>
      <c r="AY602">
        <v>1</v>
      </c>
      <c r="AZ602">
        <v>1</v>
      </c>
      <c r="BA602">
        <v>1</v>
      </c>
      <c r="BB602" t="s">
        <v>66</v>
      </c>
      <c r="BC602" t="s">
        <v>66</v>
      </c>
      <c r="BD602" t="s">
        <v>66</v>
      </c>
      <c r="BE602" t="s">
        <v>66</v>
      </c>
      <c r="BF602">
        <v>0</v>
      </c>
      <c r="BG602" t="s">
        <v>66</v>
      </c>
      <c r="BH602" t="s">
        <v>66</v>
      </c>
      <c r="BI602">
        <v>46</v>
      </c>
      <c r="BJ602">
        <v>6</v>
      </c>
      <c r="BK602" t="s">
        <v>66</v>
      </c>
      <c r="BL602">
        <v>41</v>
      </c>
      <c r="BM602">
        <v>26</v>
      </c>
      <c r="BN602">
        <v>13</v>
      </c>
      <c r="BO602">
        <f t="shared" si="92"/>
        <v>19.5</v>
      </c>
      <c r="BP602">
        <v>4</v>
      </c>
      <c r="BQ602">
        <v>1</v>
      </c>
      <c r="BS602">
        <v>0</v>
      </c>
      <c r="BT602">
        <f t="shared" si="93"/>
        <v>39.130434782608695</v>
      </c>
      <c r="BU602">
        <f t="shared" si="94"/>
        <v>50</v>
      </c>
      <c r="BV602">
        <f t="shared" si="95"/>
        <v>41.463414634146339</v>
      </c>
      <c r="BW602">
        <f t="shared" si="96"/>
        <v>-10.256410256410255</v>
      </c>
    </row>
    <row r="603" spans="1:75" x14ac:dyDescent="0.2">
      <c r="A603" t="s">
        <v>170</v>
      </c>
      <c r="B603" t="s">
        <v>192</v>
      </c>
      <c r="C603" t="s">
        <v>106</v>
      </c>
      <c r="D603" t="s">
        <v>603</v>
      </c>
      <c r="E603" t="s">
        <v>630</v>
      </c>
      <c r="F603" t="s">
        <v>737</v>
      </c>
      <c r="G603">
        <v>2.2000000000000002</v>
      </c>
      <c r="H603">
        <v>17.2</v>
      </c>
      <c r="I603">
        <v>18.149999999999999</v>
      </c>
      <c r="J603">
        <v>3.95</v>
      </c>
      <c r="K603">
        <v>41.5</v>
      </c>
      <c r="L603">
        <v>16.06818182</v>
      </c>
      <c r="M603">
        <v>11</v>
      </c>
      <c r="N603">
        <v>16</v>
      </c>
      <c r="O603">
        <v>5</v>
      </c>
      <c r="P603">
        <v>19</v>
      </c>
      <c r="Q603">
        <v>8</v>
      </c>
      <c r="R603">
        <v>4</v>
      </c>
      <c r="S603">
        <v>55.1</v>
      </c>
      <c r="T603">
        <v>72.727272729999996</v>
      </c>
      <c r="U603">
        <v>18.75</v>
      </c>
      <c r="V603">
        <v>1</v>
      </c>
      <c r="W603">
        <v>3</v>
      </c>
      <c r="X603">
        <v>3</v>
      </c>
      <c r="Y603">
        <v>2</v>
      </c>
      <c r="Z603">
        <v>200</v>
      </c>
      <c r="AA603" t="s">
        <v>66</v>
      </c>
      <c r="AB603" t="s">
        <v>66</v>
      </c>
      <c r="AC603" t="s">
        <v>66</v>
      </c>
      <c r="AD603" t="s">
        <v>66</v>
      </c>
      <c r="AE603">
        <v>12</v>
      </c>
      <c r="AF603">
        <v>14</v>
      </c>
      <c r="AG603" t="s">
        <v>66</v>
      </c>
      <c r="AH603">
        <v>8</v>
      </c>
      <c r="AI603">
        <v>8</v>
      </c>
      <c r="AJ603" t="s">
        <v>66</v>
      </c>
      <c r="AK603">
        <v>3</v>
      </c>
      <c r="AL603">
        <v>6</v>
      </c>
      <c r="AM603">
        <v>5.5</v>
      </c>
      <c r="AN603">
        <v>7</v>
      </c>
      <c r="AO603">
        <v>27.272727270000001</v>
      </c>
      <c r="AP603">
        <v>16.666666670000001</v>
      </c>
      <c r="AQ603">
        <v>2.1818181820000002</v>
      </c>
      <c r="AR603">
        <v>2</v>
      </c>
      <c r="AS603">
        <v>-0.18181818199999999</v>
      </c>
      <c r="AT603">
        <v>0</v>
      </c>
      <c r="AU603" t="s">
        <v>66</v>
      </c>
      <c r="AV603">
        <v>0</v>
      </c>
      <c r="AW603">
        <v>0</v>
      </c>
      <c r="AX603">
        <v>0</v>
      </c>
      <c r="AY603">
        <v>1</v>
      </c>
      <c r="AZ603">
        <v>1</v>
      </c>
      <c r="BA603">
        <v>1</v>
      </c>
      <c r="BB603" t="s">
        <v>66</v>
      </c>
      <c r="BC603" t="s">
        <v>66</v>
      </c>
      <c r="BD603" t="s">
        <v>66</v>
      </c>
      <c r="BE603" t="s">
        <v>66</v>
      </c>
      <c r="BF603">
        <v>0</v>
      </c>
      <c r="BG603" t="s">
        <v>66</v>
      </c>
      <c r="BH603" t="s">
        <v>66</v>
      </c>
      <c r="BI603">
        <v>28</v>
      </c>
      <c r="BJ603">
        <v>4.8</v>
      </c>
      <c r="BK603" t="s">
        <v>66</v>
      </c>
      <c r="BL603">
        <v>22</v>
      </c>
      <c r="BM603">
        <v>15</v>
      </c>
      <c r="BN603">
        <v>8</v>
      </c>
      <c r="BO603">
        <f t="shared" si="92"/>
        <v>11.5</v>
      </c>
      <c r="BP603">
        <v>4</v>
      </c>
      <c r="BQ603">
        <v>1</v>
      </c>
      <c r="BS603">
        <v>0</v>
      </c>
      <c r="BT603">
        <f t="shared" si="93"/>
        <v>60.714285714285708</v>
      </c>
      <c r="BU603">
        <f t="shared" si="94"/>
        <v>79.166666666666657</v>
      </c>
      <c r="BV603">
        <f t="shared" si="95"/>
        <v>45.454545454545453</v>
      </c>
      <c r="BW603">
        <f t="shared" si="96"/>
        <v>52.173913043478258</v>
      </c>
    </row>
    <row r="604" spans="1:75" x14ac:dyDescent="0.2">
      <c r="A604" t="s">
        <v>170</v>
      </c>
      <c r="B604" t="s">
        <v>192</v>
      </c>
      <c r="C604" t="s">
        <v>106</v>
      </c>
      <c r="D604" t="s">
        <v>603</v>
      </c>
      <c r="E604" t="s">
        <v>632</v>
      </c>
      <c r="F604" t="s">
        <v>738</v>
      </c>
      <c r="G604">
        <v>2.2000000000000002</v>
      </c>
      <c r="H604">
        <v>17.2</v>
      </c>
      <c r="I604">
        <v>18.149999999999999</v>
      </c>
      <c r="J604">
        <v>3.95</v>
      </c>
      <c r="K604">
        <v>41.5</v>
      </c>
      <c r="L604">
        <v>16.06818182</v>
      </c>
      <c r="M604">
        <v>9</v>
      </c>
      <c r="N604">
        <v>11</v>
      </c>
      <c r="O604">
        <v>2</v>
      </c>
      <c r="P604">
        <v>11</v>
      </c>
      <c r="Q604">
        <v>2</v>
      </c>
      <c r="R604">
        <v>1</v>
      </c>
      <c r="S604">
        <v>49.1</v>
      </c>
      <c r="T604">
        <v>22.222222219999999</v>
      </c>
      <c r="U604">
        <v>0</v>
      </c>
      <c r="V604">
        <v>1</v>
      </c>
      <c r="W604">
        <v>2</v>
      </c>
      <c r="X604">
        <v>2</v>
      </c>
      <c r="Y604">
        <v>1</v>
      </c>
      <c r="Z604">
        <v>100</v>
      </c>
      <c r="AA604" t="s">
        <v>66</v>
      </c>
      <c r="AB604" t="s">
        <v>66</v>
      </c>
      <c r="AC604" t="s">
        <v>66</v>
      </c>
      <c r="AD604" t="s">
        <v>66</v>
      </c>
      <c r="AE604">
        <v>8</v>
      </c>
      <c r="AF604">
        <v>6</v>
      </c>
      <c r="AG604" t="s">
        <v>66</v>
      </c>
      <c r="AH604">
        <v>4</v>
      </c>
      <c r="AI604">
        <v>7</v>
      </c>
      <c r="AJ604" t="s">
        <v>66</v>
      </c>
      <c r="AK604">
        <v>2</v>
      </c>
      <c r="AL604">
        <v>4</v>
      </c>
      <c r="AM604">
        <v>3</v>
      </c>
      <c r="AN604">
        <v>5.5</v>
      </c>
      <c r="AO604">
        <v>83.333333330000002</v>
      </c>
      <c r="AP604">
        <v>-25</v>
      </c>
      <c r="AQ604">
        <v>2.6666666669999999</v>
      </c>
      <c r="AR604">
        <v>1.0909090910000001</v>
      </c>
      <c r="AS604">
        <v>-1.575757576</v>
      </c>
      <c r="AT604">
        <v>0</v>
      </c>
      <c r="AU604" t="s">
        <v>66</v>
      </c>
      <c r="AV604">
        <v>0</v>
      </c>
      <c r="AW604">
        <v>0</v>
      </c>
      <c r="AX604">
        <v>0</v>
      </c>
      <c r="AY604">
        <v>1</v>
      </c>
      <c r="AZ604">
        <v>1</v>
      </c>
      <c r="BA604">
        <v>1</v>
      </c>
      <c r="BB604" t="s">
        <v>66</v>
      </c>
      <c r="BC604" t="s">
        <v>66</v>
      </c>
      <c r="BD604" t="s">
        <v>66</v>
      </c>
      <c r="BE604" t="s">
        <v>66</v>
      </c>
      <c r="BF604">
        <v>0</v>
      </c>
      <c r="BG604" t="s">
        <v>66</v>
      </c>
      <c r="BH604" t="s">
        <v>66</v>
      </c>
      <c r="BI604">
        <v>20</v>
      </c>
      <c r="BJ604">
        <v>2.2000000000000002</v>
      </c>
      <c r="BK604" t="s">
        <v>66</v>
      </c>
      <c r="BL604">
        <v>13</v>
      </c>
      <c r="BM604">
        <v>11</v>
      </c>
      <c r="BN604">
        <v>8</v>
      </c>
      <c r="BO604">
        <f t="shared" si="92"/>
        <v>9.5</v>
      </c>
      <c r="BP604">
        <v>3</v>
      </c>
      <c r="BQ604">
        <v>1</v>
      </c>
      <c r="BS604">
        <v>0</v>
      </c>
      <c r="BT604">
        <f t="shared" si="93"/>
        <v>55.000000000000007</v>
      </c>
      <c r="BU604">
        <f t="shared" si="94"/>
        <v>54.545454545454554</v>
      </c>
      <c r="BV604">
        <f t="shared" si="95"/>
        <v>38.461538461538467</v>
      </c>
      <c r="BW604">
        <f t="shared" si="96"/>
        <v>68.421052631578945</v>
      </c>
    </row>
    <row r="605" spans="1:75" x14ac:dyDescent="0.2">
      <c r="A605" t="s">
        <v>170</v>
      </c>
      <c r="B605" t="s">
        <v>192</v>
      </c>
      <c r="C605" t="s">
        <v>106</v>
      </c>
      <c r="D605" t="s">
        <v>603</v>
      </c>
      <c r="E605" t="s">
        <v>634</v>
      </c>
      <c r="F605" t="s">
        <v>739</v>
      </c>
      <c r="G605">
        <v>2.2000000000000002</v>
      </c>
      <c r="H605">
        <v>17.2</v>
      </c>
      <c r="I605">
        <v>18.149999999999999</v>
      </c>
      <c r="J605">
        <v>3.95</v>
      </c>
      <c r="K605">
        <v>41.5</v>
      </c>
      <c r="L605">
        <v>16.06818182</v>
      </c>
      <c r="M605">
        <v>34</v>
      </c>
      <c r="N605">
        <v>45</v>
      </c>
      <c r="O605">
        <v>11</v>
      </c>
      <c r="P605">
        <v>51</v>
      </c>
      <c r="Q605">
        <v>17</v>
      </c>
      <c r="R605">
        <v>8.5</v>
      </c>
      <c r="S605">
        <v>64.099999999999994</v>
      </c>
      <c r="T605">
        <v>50</v>
      </c>
      <c r="U605">
        <v>13.33333333</v>
      </c>
      <c r="V605">
        <v>4</v>
      </c>
      <c r="W605">
        <v>5</v>
      </c>
      <c r="X605">
        <v>7</v>
      </c>
      <c r="Y605">
        <v>3</v>
      </c>
      <c r="Z605">
        <v>75</v>
      </c>
      <c r="AA605" t="s">
        <v>66</v>
      </c>
      <c r="AB605" t="s">
        <v>66</v>
      </c>
      <c r="AC605" t="s">
        <v>66</v>
      </c>
      <c r="AD605" t="s">
        <v>66</v>
      </c>
      <c r="AE605">
        <v>36</v>
      </c>
      <c r="AF605">
        <v>45</v>
      </c>
      <c r="AG605" t="s">
        <v>66</v>
      </c>
      <c r="AH605">
        <v>21</v>
      </c>
      <c r="AI605">
        <v>23</v>
      </c>
      <c r="AJ605" t="s">
        <v>66</v>
      </c>
      <c r="AK605">
        <v>14</v>
      </c>
      <c r="AL605">
        <v>17</v>
      </c>
      <c r="AM605">
        <v>17.5</v>
      </c>
      <c r="AN605">
        <v>20</v>
      </c>
      <c r="AO605">
        <v>14.28571429</v>
      </c>
      <c r="AP605">
        <v>25</v>
      </c>
      <c r="AQ605">
        <v>2.0571428570000001</v>
      </c>
      <c r="AR605">
        <v>2.25</v>
      </c>
      <c r="AS605">
        <v>0.19285714300000001</v>
      </c>
      <c r="AT605">
        <v>0</v>
      </c>
      <c r="AU605" t="s">
        <v>66</v>
      </c>
      <c r="AV605">
        <v>0</v>
      </c>
      <c r="AW605">
        <v>0</v>
      </c>
      <c r="AX605">
        <v>0</v>
      </c>
      <c r="AY605">
        <v>1</v>
      </c>
      <c r="AZ605">
        <v>1</v>
      </c>
      <c r="BA605">
        <v>1</v>
      </c>
      <c r="BB605" t="s">
        <v>66</v>
      </c>
      <c r="BC605" t="s">
        <v>66</v>
      </c>
      <c r="BD605" t="s">
        <v>66</v>
      </c>
      <c r="BE605" t="s">
        <v>66</v>
      </c>
      <c r="BF605">
        <v>0</v>
      </c>
      <c r="BG605" t="s">
        <v>66</v>
      </c>
      <c r="BH605" t="s">
        <v>66</v>
      </c>
      <c r="BI605">
        <v>73</v>
      </c>
      <c r="BJ605">
        <v>7.6</v>
      </c>
      <c r="BK605" t="s">
        <v>66</v>
      </c>
      <c r="BL605">
        <v>66</v>
      </c>
      <c r="BM605">
        <v>31</v>
      </c>
      <c r="BN605">
        <v>15</v>
      </c>
      <c r="BO605">
        <f t="shared" si="92"/>
        <v>23</v>
      </c>
      <c r="BP605">
        <v>4</v>
      </c>
      <c r="BQ605">
        <v>1</v>
      </c>
      <c r="BS605">
        <v>0</v>
      </c>
      <c r="BT605">
        <f t="shared" si="93"/>
        <v>53.424657534246577</v>
      </c>
      <c r="BU605">
        <f t="shared" si="94"/>
        <v>47.368421052631575</v>
      </c>
      <c r="BV605">
        <f t="shared" si="95"/>
        <v>45.454545454545453</v>
      </c>
      <c r="BW605">
        <f t="shared" si="96"/>
        <v>23.913043478260871</v>
      </c>
    </row>
    <row r="606" spans="1:75" x14ac:dyDescent="0.2">
      <c r="A606" t="s">
        <v>170</v>
      </c>
      <c r="B606" t="s">
        <v>192</v>
      </c>
      <c r="C606" t="s">
        <v>106</v>
      </c>
      <c r="D606" t="s">
        <v>603</v>
      </c>
      <c r="E606" t="s">
        <v>636</v>
      </c>
      <c r="F606" t="s">
        <v>740</v>
      </c>
      <c r="G606">
        <v>2.2000000000000002</v>
      </c>
      <c r="H606">
        <v>17.2</v>
      </c>
      <c r="I606">
        <v>18.149999999999999</v>
      </c>
      <c r="J606">
        <v>3.95</v>
      </c>
      <c r="K606">
        <v>41.5</v>
      </c>
      <c r="L606">
        <v>16.06818182</v>
      </c>
      <c r="M606">
        <v>52</v>
      </c>
      <c r="N606">
        <v>65</v>
      </c>
      <c r="O606">
        <v>13</v>
      </c>
      <c r="P606">
        <v>78</v>
      </c>
      <c r="Q606">
        <v>26</v>
      </c>
      <c r="R606">
        <v>13</v>
      </c>
      <c r="S606">
        <v>73.099999999999994</v>
      </c>
      <c r="T606">
        <v>50</v>
      </c>
      <c r="U606">
        <v>20</v>
      </c>
      <c r="V606">
        <v>6</v>
      </c>
      <c r="W606">
        <v>9</v>
      </c>
      <c r="X606">
        <v>11</v>
      </c>
      <c r="Y606">
        <v>5</v>
      </c>
      <c r="Z606">
        <v>83.333333330000002</v>
      </c>
      <c r="AA606" t="s">
        <v>66</v>
      </c>
      <c r="AB606" t="s">
        <v>66</v>
      </c>
      <c r="AC606" t="s">
        <v>66</v>
      </c>
      <c r="AD606" t="s">
        <v>66</v>
      </c>
      <c r="AE606">
        <v>61</v>
      </c>
      <c r="AF606">
        <v>70</v>
      </c>
      <c r="AG606" t="s">
        <v>66</v>
      </c>
      <c r="AH606">
        <v>31</v>
      </c>
      <c r="AI606">
        <v>37</v>
      </c>
      <c r="AJ606" t="s">
        <v>66</v>
      </c>
      <c r="AK606">
        <v>23</v>
      </c>
      <c r="AL606">
        <v>34</v>
      </c>
      <c r="AM606">
        <v>27</v>
      </c>
      <c r="AN606">
        <v>35.5</v>
      </c>
      <c r="AO606">
        <v>31.481481479999999</v>
      </c>
      <c r="AP606">
        <v>14.75409836</v>
      </c>
      <c r="AQ606">
        <v>2.2592592589999998</v>
      </c>
      <c r="AR606">
        <v>1.9718309860000001</v>
      </c>
      <c r="AS606">
        <v>-0.28742827300000001</v>
      </c>
      <c r="AT606">
        <v>0</v>
      </c>
      <c r="AU606" t="s">
        <v>66</v>
      </c>
      <c r="AV606">
        <v>3</v>
      </c>
      <c r="AW606">
        <v>0</v>
      </c>
      <c r="AX606">
        <v>0</v>
      </c>
      <c r="AY606">
        <v>1</v>
      </c>
      <c r="AZ606">
        <v>1</v>
      </c>
      <c r="BA606">
        <v>1</v>
      </c>
      <c r="BB606" t="s">
        <v>66</v>
      </c>
      <c r="BC606" t="s">
        <v>66</v>
      </c>
      <c r="BD606" t="s">
        <v>66</v>
      </c>
      <c r="BE606" t="s">
        <v>66</v>
      </c>
      <c r="BF606">
        <v>0</v>
      </c>
      <c r="BG606" t="s">
        <v>66</v>
      </c>
      <c r="BH606" t="s">
        <v>66</v>
      </c>
      <c r="BI606">
        <v>118</v>
      </c>
      <c r="BJ606">
        <v>15</v>
      </c>
      <c r="BK606" t="s">
        <v>66</v>
      </c>
      <c r="BL606">
        <v>105</v>
      </c>
      <c r="BM606">
        <v>34</v>
      </c>
      <c r="BN606">
        <v>33</v>
      </c>
      <c r="BO606">
        <f t="shared" si="92"/>
        <v>33.5</v>
      </c>
      <c r="BP606">
        <v>4</v>
      </c>
      <c r="BQ606">
        <v>1</v>
      </c>
      <c r="BS606">
        <v>0</v>
      </c>
      <c r="BT606">
        <f t="shared" si="93"/>
        <v>55.932203389830505</v>
      </c>
      <c r="BU606">
        <f t="shared" si="94"/>
        <v>60</v>
      </c>
      <c r="BV606">
        <f t="shared" si="95"/>
        <v>41.904761904761905</v>
      </c>
      <c r="BW606">
        <f t="shared" si="96"/>
        <v>19.402985074626866</v>
      </c>
    </row>
    <row r="607" spans="1:75" x14ac:dyDescent="0.2">
      <c r="A607" t="s">
        <v>170</v>
      </c>
      <c r="B607" t="s">
        <v>192</v>
      </c>
      <c r="C607" t="s">
        <v>106</v>
      </c>
      <c r="D607" t="s">
        <v>603</v>
      </c>
      <c r="E607" t="s">
        <v>638</v>
      </c>
      <c r="F607" t="s">
        <v>741</v>
      </c>
      <c r="G607">
        <v>2.2000000000000002</v>
      </c>
      <c r="H607">
        <v>17.2</v>
      </c>
      <c r="I607">
        <v>18.149999999999999</v>
      </c>
      <c r="J607">
        <v>3.95</v>
      </c>
      <c r="K607">
        <v>41.5</v>
      </c>
      <c r="L607">
        <v>16.06818182</v>
      </c>
      <c r="M607">
        <v>23</v>
      </c>
      <c r="N607">
        <v>30</v>
      </c>
      <c r="O607">
        <v>7</v>
      </c>
      <c r="P607">
        <v>23</v>
      </c>
      <c r="Q607">
        <v>0</v>
      </c>
      <c r="R607">
        <v>1E-3</v>
      </c>
      <c r="S607">
        <v>47.1</v>
      </c>
      <c r="T607">
        <v>0</v>
      </c>
      <c r="U607">
        <v>-23.333333329999999</v>
      </c>
      <c r="V607">
        <v>3</v>
      </c>
      <c r="W607">
        <v>4</v>
      </c>
      <c r="X607">
        <v>4</v>
      </c>
      <c r="Y607">
        <v>1</v>
      </c>
      <c r="Z607">
        <v>33.333333330000002</v>
      </c>
      <c r="AA607" t="s">
        <v>66</v>
      </c>
      <c r="AB607" t="s">
        <v>66</v>
      </c>
      <c r="AC607" t="s">
        <v>66</v>
      </c>
      <c r="AD607" t="s">
        <v>66</v>
      </c>
      <c r="AE607">
        <v>25</v>
      </c>
      <c r="AF607">
        <v>19</v>
      </c>
      <c r="AG607" t="s">
        <v>66</v>
      </c>
      <c r="AH607">
        <v>10</v>
      </c>
      <c r="AI607">
        <v>13</v>
      </c>
      <c r="AJ607" t="s">
        <v>66</v>
      </c>
      <c r="AK607">
        <v>9</v>
      </c>
      <c r="AL607">
        <v>10</v>
      </c>
      <c r="AM607">
        <v>9.5</v>
      </c>
      <c r="AN607">
        <v>11.5</v>
      </c>
      <c r="AO607">
        <v>21.05263158</v>
      </c>
      <c r="AP607">
        <v>-24</v>
      </c>
      <c r="AQ607">
        <v>2.6315789469999999</v>
      </c>
      <c r="AR607">
        <v>1.6521739129999999</v>
      </c>
      <c r="AS607">
        <v>-0.97940503400000001</v>
      </c>
      <c r="AT607">
        <v>0</v>
      </c>
      <c r="AU607" t="s">
        <v>66</v>
      </c>
      <c r="AV607">
        <v>0</v>
      </c>
      <c r="AW607">
        <v>0</v>
      </c>
      <c r="AX607">
        <v>0</v>
      </c>
      <c r="AY607">
        <v>1</v>
      </c>
      <c r="AZ607">
        <v>1</v>
      </c>
      <c r="BA607">
        <v>1</v>
      </c>
      <c r="BB607" t="s">
        <v>66</v>
      </c>
      <c r="BC607" t="s">
        <v>66</v>
      </c>
      <c r="BD607" t="s">
        <v>66</v>
      </c>
      <c r="BE607" t="s">
        <v>66</v>
      </c>
      <c r="BF607">
        <v>0</v>
      </c>
      <c r="BG607" t="s">
        <v>66</v>
      </c>
      <c r="BH607" t="s">
        <v>66</v>
      </c>
      <c r="BI607">
        <v>55</v>
      </c>
      <c r="BJ607">
        <v>5.9</v>
      </c>
      <c r="BK607" t="s">
        <v>66</v>
      </c>
      <c r="BL607">
        <v>41</v>
      </c>
      <c r="BM607">
        <v>21</v>
      </c>
      <c r="BN607">
        <v>11</v>
      </c>
      <c r="BO607">
        <f t="shared" si="92"/>
        <v>16</v>
      </c>
      <c r="BP607">
        <v>4</v>
      </c>
      <c r="BQ607">
        <v>1</v>
      </c>
      <c r="BS607">
        <v>0</v>
      </c>
      <c r="BT607">
        <f t="shared" si="93"/>
        <v>58.18181818181818</v>
      </c>
      <c r="BU607">
        <f t="shared" si="94"/>
        <v>49.152542372881356</v>
      </c>
      <c r="BV607">
        <f t="shared" si="95"/>
        <v>39.024390243902438</v>
      </c>
      <c r="BW607">
        <f t="shared" si="96"/>
        <v>40.625</v>
      </c>
    </row>
    <row r="608" spans="1:75" x14ac:dyDescent="0.2">
      <c r="A608" t="s">
        <v>170</v>
      </c>
      <c r="B608" t="s">
        <v>192</v>
      </c>
      <c r="C608" t="s">
        <v>106</v>
      </c>
      <c r="D608" t="s">
        <v>603</v>
      </c>
      <c r="E608" t="s">
        <v>640</v>
      </c>
      <c r="F608" t="s">
        <v>742</v>
      </c>
      <c r="G608">
        <v>2.2000000000000002</v>
      </c>
      <c r="H608">
        <v>17.2</v>
      </c>
      <c r="I608">
        <v>18.149999999999999</v>
      </c>
      <c r="J608">
        <v>3.95</v>
      </c>
      <c r="K608">
        <v>41.5</v>
      </c>
      <c r="L608">
        <v>16.06818182</v>
      </c>
      <c r="M608">
        <v>20</v>
      </c>
      <c r="N608">
        <v>25</v>
      </c>
      <c r="O608">
        <v>5</v>
      </c>
      <c r="P608">
        <v>25</v>
      </c>
      <c r="Q608">
        <v>5</v>
      </c>
      <c r="R608">
        <v>2.5</v>
      </c>
      <c r="S608">
        <v>52.1</v>
      </c>
      <c r="T608">
        <v>25</v>
      </c>
      <c r="U608">
        <v>0</v>
      </c>
      <c r="V608">
        <v>2</v>
      </c>
      <c r="W608">
        <v>8</v>
      </c>
      <c r="X608">
        <v>5</v>
      </c>
      <c r="Y608">
        <v>3</v>
      </c>
      <c r="Z608">
        <v>150</v>
      </c>
      <c r="AA608" t="s">
        <v>66</v>
      </c>
      <c r="AB608" t="s">
        <v>66</v>
      </c>
      <c r="AC608" t="s">
        <v>66</v>
      </c>
      <c r="AD608" t="s">
        <v>66</v>
      </c>
      <c r="AE608">
        <v>21</v>
      </c>
      <c r="AF608">
        <v>18</v>
      </c>
      <c r="AG608" t="s">
        <v>66</v>
      </c>
      <c r="AH608">
        <v>12</v>
      </c>
      <c r="AI608">
        <v>12</v>
      </c>
      <c r="AJ608" t="s">
        <v>66</v>
      </c>
      <c r="AK608">
        <v>9</v>
      </c>
      <c r="AL608">
        <v>10</v>
      </c>
      <c r="AM608">
        <v>10.5</v>
      </c>
      <c r="AN608">
        <v>11</v>
      </c>
      <c r="AO608">
        <v>4.7619047620000003</v>
      </c>
      <c r="AP608">
        <v>-14.28571429</v>
      </c>
      <c r="AQ608">
        <v>2</v>
      </c>
      <c r="AR608">
        <v>1.636363636</v>
      </c>
      <c r="AS608">
        <v>-0.36363636399999999</v>
      </c>
      <c r="AT608">
        <v>0</v>
      </c>
      <c r="AU608" t="s">
        <v>66</v>
      </c>
      <c r="AV608">
        <v>0</v>
      </c>
      <c r="AW608">
        <v>0</v>
      </c>
      <c r="AX608">
        <v>0</v>
      </c>
      <c r="AY608">
        <v>1</v>
      </c>
      <c r="AZ608">
        <v>1</v>
      </c>
      <c r="BA608">
        <v>1</v>
      </c>
      <c r="BB608" t="s">
        <v>66</v>
      </c>
      <c r="BC608" t="s">
        <v>66</v>
      </c>
      <c r="BD608" t="s">
        <v>66</v>
      </c>
      <c r="BE608" t="s">
        <v>66</v>
      </c>
      <c r="BF608">
        <v>0</v>
      </c>
      <c r="BG608" t="s">
        <v>66</v>
      </c>
      <c r="BH608" t="s">
        <v>66</v>
      </c>
      <c r="BI608">
        <v>37</v>
      </c>
      <c r="BJ608">
        <v>4.4000000000000004</v>
      </c>
      <c r="BK608" t="s">
        <v>66</v>
      </c>
      <c r="BL608">
        <v>25</v>
      </c>
      <c r="BM608">
        <v>20</v>
      </c>
      <c r="BN608">
        <v>9</v>
      </c>
      <c r="BO608">
        <f t="shared" ref="BO608:BO639" si="97">AVERAGE(BM608,BN608)</f>
        <v>14.5</v>
      </c>
      <c r="BP608">
        <v>4</v>
      </c>
      <c r="BQ608">
        <v>1</v>
      </c>
      <c r="BS608">
        <v>0</v>
      </c>
      <c r="BT608">
        <f t="shared" si="93"/>
        <v>45.945945945945951</v>
      </c>
      <c r="BU608">
        <f t="shared" si="94"/>
        <v>54.545454545454554</v>
      </c>
      <c r="BV608">
        <f t="shared" si="95"/>
        <v>16</v>
      </c>
      <c r="BW608">
        <f t="shared" si="96"/>
        <v>27.586206896551722</v>
      </c>
    </row>
    <row r="609" spans="1:75" x14ac:dyDescent="0.2">
      <c r="A609" t="s">
        <v>170</v>
      </c>
      <c r="B609" t="s">
        <v>192</v>
      </c>
      <c r="C609" t="s">
        <v>106</v>
      </c>
      <c r="D609" t="s">
        <v>603</v>
      </c>
      <c r="E609" t="s">
        <v>642</v>
      </c>
      <c r="F609" t="s">
        <v>743</v>
      </c>
      <c r="G609">
        <v>2.2000000000000002</v>
      </c>
      <c r="H609">
        <v>17.2</v>
      </c>
      <c r="I609">
        <v>18.149999999999999</v>
      </c>
      <c r="J609">
        <v>3.95</v>
      </c>
      <c r="K609">
        <v>41.5</v>
      </c>
      <c r="L609">
        <v>16.06818182</v>
      </c>
      <c r="M609">
        <v>23</v>
      </c>
      <c r="N609">
        <v>31</v>
      </c>
      <c r="O609">
        <v>8</v>
      </c>
      <c r="P609">
        <v>33</v>
      </c>
      <c r="Q609">
        <v>10</v>
      </c>
      <c r="R609">
        <v>5</v>
      </c>
      <c r="S609">
        <v>57.1</v>
      </c>
      <c r="T609">
        <v>43.47826087</v>
      </c>
      <c r="U609">
        <v>6.451612903</v>
      </c>
      <c r="V609">
        <v>3</v>
      </c>
      <c r="W609">
        <v>4</v>
      </c>
      <c r="X609">
        <v>5</v>
      </c>
      <c r="Y609">
        <v>2</v>
      </c>
      <c r="Z609">
        <v>66.666666669999998</v>
      </c>
      <c r="AA609" t="s">
        <v>66</v>
      </c>
      <c r="AB609" t="s">
        <v>66</v>
      </c>
      <c r="AC609" t="s">
        <v>66</v>
      </c>
      <c r="AD609" t="s">
        <v>66</v>
      </c>
      <c r="AE609">
        <v>23</v>
      </c>
      <c r="AF609">
        <v>26</v>
      </c>
      <c r="AG609" t="s">
        <v>66</v>
      </c>
      <c r="AH609">
        <v>16</v>
      </c>
      <c r="AI609">
        <v>17</v>
      </c>
      <c r="AJ609" t="s">
        <v>66</v>
      </c>
      <c r="AK609">
        <v>9</v>
      </c>
      <c r="AL609">
        <v>12</v>
      </c>
      <c r="AM609">
        <v>12.5</v>
      </c>
      <c r="AN609">
        <v>14.5</v>
      </c>
      <c r="AO609">
        <v>16</v>
      </c>
      <c r="AP609">
        <v>13.043478260000001</v>
      </c>
      <c r="AQ609">
        <v>1.84</v>
      </c>
      <c r="AR609">
        <v>1.7931034480000001</v>
      </c>
      <c r="AS609">
        <v>-4.6896552000000001E-2</v>
      </c>
      <c r="AT609">
        <v>0</v>
      </c>
      <c r="AU609" t="s">
        <v>66</v>
      </c>
      <c r="AV609">
        <v>0</v>
      </c>
      <c r="AW609">
        <v>0</v>
      </c>
      <c r="AX609">
        <v>0</v>
      </c>
      <c r="AY609">
        <v>1</v>
      </c>
      <c r="AZ609">
        <v>1</v>
      </c>
      <c r="BA609">
        <v>1</v>
      </c>
      <c r="BB609" t="s">
        <v>66</v>
      </c>
      <c r="BC609" t="s">
        <v>66</v>
      </c>
      <c r="BD609" t="s">
        <v>66</v>
      </c>
      <c r="BE609" t="s">
        <v>66</v>
      </c>
      <c r="BF609">
        <v>0</v>
      </c>
      <c r="BG609" t="s">
        <v>66</v>
      </c>
      <c r="BH609" t="s">
        <v>66</v>
      </c>
      <c r="BI609">
        <v>24</v>
      </c>
      <c r="BJ609">
        <v>4.7</v>
      </c>
      <c r="BK609" t="s">
        <v>66</v>
      </c>
      <c r="BL609">
        <v>35</v>
      </c>
      <c r="BM609">
        <v>20</v>
      </c>
      <c r="BN609">
        <v>13</v>
      </c>
      <c r="BO609">
        <f t="shared" si="97"/>
        <v>16.5</v>
      </c>
      <c r="BP609">
        <v>4</v>
      </c>
      <c r="BQ609">
        <v>1</v>
      </c>
      <c r="BS609">
        <v>0</v>
      </c>
      <c r="BT609">
        <f t="shared" si="93"/>
        <v>4.1666666666666661</v>
      </c>
      <c r="BU609">
        <f t="shared" si="94"/>
        <v>36.170212765957451</v>
      </c>
      <c r="BV609">
        <f t="shared" si="95"/>
        <v>34.285714285714285</v>
      </c>
      <c r="BW609">
        <f t="shared" si="96"/>
        <v>24.242424242424242</v>
      </c>
    </row>
    <row r="610" spans="1:75" x14ac:dyDescent="0.2">
      <c r="A610" t="s">
        <v>213</v>
      </c>
      <c r="B610" t="s">
        <v>235</v>
      </c>
      <c r="C610" t="s">
        <v>106</v>
      </c>
      <c r="D610" t="s">
        <v>603</v>
      </c>
      <c r="E610" t="s">
        <v>622</v>
      </c>
      <c r="F610" t="s">
        <v>773</v>
      </c>
      <c r="G610">
        <v>8.65</v>
      </c>
      <c r="H610">
        <v>13.05</v>
      </c>
      <c r="I610">
        <v>14.95</v>
      </c>
      <c r="J610">
        <v>14.4</v>
      </c>
      <c r="K610">
        <v>51.05</v>
      </c>
      <c r="L610">
        <v>3.2369942200000001</v>
      </c>
      <c r="M610">
        <v>22</v>
      </c>
      <c r="N610">
        <v>28</v>
      </c>
      <c r="O610">
        <v>6</v>
      </c>
      <c r="P610">
        <v>35</v>
      </c>
      <c r="Q610">
        <v>13</v>
      </c>
      <c r="R610">
        <v>6.5</v>
      </c>
      <c r="S610">
        <v>60.1</v>
      </c>
      <c r="T610">
        <v>59.090909089999997</v>
      </c>
      <c r="U610">
        <v>25</v>
      </c>
      <c r="V610">
        <v>3</v>
      </c>
      <c r="W610">
        <v>5</v>
      </c>
      <c r="X610">
        <v>5</v>
      </c>
      <c r="Y610">
        <v>2</v>
      </c>
      <c r="Z610">
        <v>66.666666669999998</v>
      </c>
      <c r="AA610" t="s">
        <v>66</v>
      </c>
      <c r="AB610" t="s">
        <v>66</v>
      </c>
      <c r="AC610" t="s">
        <v>66</v>
      </c>
      <c r="AD610" t="s">
        <v>66</v>
      </c>
      <c r="AE610">
        <v>26</v>
      </c>
      <c r="AF610">
        <v>32</v>
      </c>
      <c r="AG610" t="s">
        <v>66</v>
      </c>
      <c r="AH610">
        <v>13</v>
      </c>
      <c r="AI610">
        <v>17</v>
      </c>
      <c r="AJ610" t="s">
        <v>66</v>
      </c>
      <c r="AK610">
        <v>9</v>
      </c>
      <c r="AL610">
        <v>15</v>
      </c>
      <c r="AM610">
        <v>11</v>
      </c>
      <c r="AN610">
        <v>16</v>
      </c>
      <c r="AO610">
        <v>45.454545449999998</v>
      </c>
      <c r="AP610">
        <v>23.07692308</v>
      </c>
      <c r="AQ610">
        <v>2.363636364</v>
      </c>
      <c r="AR610">
        <v>2</v>
      </c>
      <c r="AS610">
        <v>-0.36363636399999999</v>
      </c>
      <c r="AT610">
        <v>0</v>
      </c>
      <c r="AU610" t="s">
        <v>66</v>
      </c>
      <c r="AV610">
        <v>0</v>
      </c>
      <c r="AW610">
        <v>0</v>
      </c>
      <c r="AX610">
        <v>0</v>
      </c>
      <c r="AY610">
        <v>1</v>
      </c>
      <c r="AZ610">
        <v>1</v>
      </c>
      <c r="BA610">
        <v>1</v>
      </c>
      <c r="BB610" t="s">
        <v>66</v>
      </c>
      <c r="BC610" t="s">
        <v>66</v>
      </c>
      <c r="BD610" t="s">
        <v>66</v>
      </c>
      <c r="BE610" t="s">
        <v>66</v>
      </c>
      <c r="BF610">
        <v>0</v>
      </c>
      <c r="BG610" t="s">
        <v>66</v>
      </c>
      <c r="BH610" t="s">
        <v>66</v>
      </c>
      <c r="BI610" t="s">
        <v>66</v>
      </c>
      <c r="BJ610" t="s">
        <v>66</v>
      </c>
      <c r="BK610" t="s">
        <v>66</v>
      </c>
      <c r="BL610" t="s">
        <v>66</v>
      </c>
      <c r="BM610" t="s">
        <v>66</v>
      </c>
      <c r="BN610" t="s">
        <v>66</v>
      </c>
      <c r="BO610" t="s">
        <v>66</v>
      </c>
      <c r="BP610" t="s">
        <v>66</v>
      </c>
      <c r="BQ610">
        <v>0</v>
      </c>
      <c r="BS610">
        <v>0</v>
      </c>
      <c r="BT610" t="s">
        <v>66</v>
      </c>
      <c r="BU610" t="s">
        <v>66</v>
      </c>
      <c r="BV610" t="s">
        <v>66</v>
      </c>
      <c r="BW610" t="s">
        <v>66</v>
      </c>
    </row>
    <row r="611" spans="1:75" x14ac:dyDescent="0.2">
      <c r="A611" t="s">
        <v>213</v>
      </c>
      <c r="B611" t="s">
        <v>235</v>
      </c>
      <c r="C611" t="s">
        <v>106</v>
      </c>
      <c r="D611" t="s">
        <v>603</v>
      </c>
      <c r="E611" t="s">
        <v>604</v>
      </c>
      <c r="F611" t="s">
        <v>764</v>
      </c>
      <c r="G611">
        <v>8.65</v>
      </c>
      <c r="H611">
        <v>13.05</v>
      </c>
      <c r="I611">
        <v>14.95</v>
      </c>
      <c r="J611">
        <v>14.4</v>
      </c>
      <c r="K611">
        <v>51.05</v>
      </c>
      <c r="L611">
        <v>3.2369942200000001</v>
      </c>
      <c r="M611">
        <v>20</v>
      </c>
      <c r="N611">
        <v>23</v>
      </c>
      <c r="O611">
        <v>3</v>
      </c>
      <c r="P611">
        <v>28</v>
      </c>
      <c r="Q611">
        <v>8</v>
      </c>
      <c r="R611">
        <v>4</v>
      </c>
      <c r="S611">
        <v>55.1</v>
      </c>
      <c r="T611">
        <v>40</v>
      </c>
      <c r="U611">
        <v>21.739130429999999</v>
      </c>
      <c r="V611">
        <v>2</v>
      </c>
      <c r="W611">
        <v>4</v>
      </c>
      <c r="X611">
        <v>4</v>
      </c>
      <c r="Y611">
        <v>2</v>
      </c>
      <c r="Z611">
        <v>100</v>
      </c>
      <c r="AA611" t="s">
        <v>66</v>
      </c>
      <c r="AB611" t="s">
        <v>66</v>
      </c>
      <c r="AC611" t="s">
        <v>66</v>
      </c>
      <c r="AD611" t="s">
        <v>66</v>
      </c>
      <c r="AE611">
        <v>18</v>
      </c>
      <c r="AF611">
        <v>21</v>
      </c>
      <c r="AG611" t="s">
        <v>66</v>
      </c>
      <c r="AH611">
        <v>7</v>
      </c>
      <c r="AI611">
        <v>12</v>
      </c>
      <c r="AJ611" t="s">
        <v>66</v>
      </c>
      <c r="AK611">
        <v>6</v>
      </c>
      <c r="AL611">
        <v>9</v>
      </c>
      <c r="AM611">
        <v>6.5</v>
      </c>
      <c r="AN611">
        <v>10.5</v>
      </c>
      <c r="AO611">
        <v>61.53846154</v>
      </c>
      <c r="AP611">
        <v>16.666666670000001</v>
      </c>
      <c r="AQ611">
        <v>2.769230769</v>
      </c>
      <c r="AR611">
        <v>2</v>
      </c>
      <c r="AS611">
        <v>-0.76923076899999998</v>
      </c>
      <c r="AT611">
        <v>0</v>
      </c>
      <c r="AU611" t="s">
        <v>66</v>
      </c>
      <c r="AV611">
        <v>0</v>
      </c>
      <c r="AW611">
        <v>0</v>
      </c>
      <c r="AX611">
        <v>0</v>
      </c>
      <c r="AY611">
        <v>1</v>
      </c>
      <c r="AZ611">
        <v>1</v>
      </c>
      <c r="BA611">
        <v>1</v>
      </c>
      <c r="BB611" t="s">
        <v>66</v>
      </c>
      <c r="BC611" t="s">
        <v>66</v>
      </c>
      <c r="BD611" t="s">
        <v>66</v>
      </c>
      <c r="BE611" t="s">
        <v>66</v>
      </c>
      <c r="BF611">
        <v>0</v>
      </c>
      <c r="BG611" t="s">
        <v>66</v>
      </c>
      <c r="BH611" t="s">
        <v>66</v>
      </c>
      <c r="BI611">
        <v>35</v>
      </c>
      <c r="BJ611">
        <v>4.5999999999999996</v>
      </c>
      <c r="BK611" t="s">
        <v>66</v>
      </c>
      <c r="BL611">
        <v>28</v>
      </c>
      <c r="BM611">
        <v>19</v>
      </c>
      <c r="BN611">
        <v>9</v>
      </c>
      <c r="BO611">
        <f t="shared" ref="BO611:BO649" si="98">AVERAGE(BM611,BN611)</f>
        <v>14</v>
      </c>
      <c r="BP611">
        <v>3</v>
      </c>
      <c r="BQ611">
        <v>1</v>
      </c>
      <c r="BS611">
        <v>0</v>
      </c>
      <c r="BT611">
        <f t="shared" ref="BT611:BT649" si="99">(BI611-M611)/BI611*100</f>
        <v>42.857142857142854</v>
      </c>
      <c r="BU611">
        <f t="shared" ref="BU611:BU649" si="100">(BJ611-V611)/BJ611*100</f>
        <v>56.521739130434781</v>
      </c>
      <c r="BV611">
        <f t="shared" ref="BV611:BV649" si="101">(BL611-AE611)/BL611*100</f>
        <v>35.714285714285715</v>
      </c>
      <c r="BW611">
        <f t="shared" ref="BW611:BW649" si="102">(BO611-AM611)/BO611*100</f>
        <v>53.571428571428569</v>
      </c>
    </row>
    <row r="612" spans="1:75" x14ac:dyDescent="0.2">
      <c r="A612" t="s">
        <v>213</v>
      </c>
      <c r="B612" t="s">
        <v>235</v>
      </c>
      <c r="C612" t="s">
        <v>106</v>
      </c>
      <c r="D612" t="s">
        <v>603</v>
      </c>
      <c r="E612" t="s">
        <v>606</v>
      </c>
      <c r="F612" t="s">
        <v>765</v>
      </c>
      <c r="G612">
        <v>8.65</v>
      </c>
      <c r="H612">
        <v>13.05</v>
      </c>
      <c r="I612">
        <v>14.95</v>
      </c>
      <c r="J612">
        <v>14.4</v>
      </c>
      <c r="K612">
        <v>51.05</v>
      </c>
      <c r="L612">
        <v>3.2369942200000001</v>
      </c>
      <c r="M612">
        <v>32</v>
      </c>
      <c r="N612">
        <v>36</v>
      </c>
      <c r="O612">
        <v>4</v>
      </c>
      <c r="P612">
        <v>43</v>
      </c>
      <c r="Q612">
        <v>11</v>
      </c>
      <c r="R612">
        <v>5.5</v>
      </c>
      <c r="S612">
        <v>58.1</v>
      </c>
      <c r="T612">
        <v>34.375</v>
      </c>
      <c r="U612">
        <v>19.444444440000002</v>
      </c>
      <c r="V612">
        <v>4</v>
      </c>
      <c r="W612">
        <v>6</v>
      </c>
      <c r="X612">
        <v>7</v>
      </c>
      <c r="Y612">
        <v>3</v>
      </c>
      <c r="Z612">
        <v>75</v>
      </c>
      <c r="AA612" t="s">
        <v>66</v>
      </c>
      <c r="AB612" t="s">
        <v>66</v>
      </c>
      <c r="AC612" t="s">
        <v>66</v>
      </c>
      <c r="AD612" t="s">
        <v>66</v>
      </c>
      <c r="AE612">
        <v>32</v>
      </c>
      <c r="AF612">
        <v>36</v>
      </c>
      <c r="AG612" t="s">
        <v>66</v>
      </c>
      <c r="AH612">
        <v>18</v>
      </c>
      <c r="AI612">
        <v>24</v>
      </c>
      <c r="AJ612" t="s">
        <v>66</v>
      </c>
      <c r="AK612">
        <v>16</v>
      </c>
      <c r="AL612">
        <v>15</v>
      </c>
      <c r="AM612">
        <v>17</v>
      </c>
      <c r="AN612">
        <v>19.5</v>
      </c>
      <c r="AO612">
        <v>14.70588235</v>
      </c>
      <c r="AP612">
        <v>12.5</v>
      </c>
      <c r="AQ612">
        <v>1.8823529409999999</v>
      </c>
      <c r="AR612">
        <v>1.846153846</v>
      </c>
      <c r="AS612">
        <v>-3.6199095000000001E-2</v>
      </c>
      <c r="AT612">
        <v>0</v>
      </c>
      <c r="AU612" t="s">
        <v>66</v>
      </c>
      <c r="AV612">
        <v>0</v>
      </c>
      <c r="AW612">
        <v>0</v>
      </c>
      <c r="AX612">
        <v>0</v>
      </c>
      <c r="AY612">
        <v>1</v>
      </c>
      <c r="AZ612">
        <v>1</v>
      </c>
      <c r="BA612">
        <v>1</v>
      </c>
      <c r="BB612" t="s">
        <v>66</v>
      </c>
      <c r="BC612" t="s">
        <v>66</v>
      </c>
      <c r="BD612" t="s">
        <v>66</v>
      </c>
      <c r="BE612" t="s">
        <v>66</v>
      </c>
      <c r="BF612">
        <v>0</v>
      </c>
      <c r="BG612" t="s">
        <v>66</v>
      </c>
      <c r="BH612" t="s">
        <v>66</v>
      </c>
      <c r="BI612">
        <v>49</v>
      </c>
      <c r="BJ612">
        <v>8.6</v>
      </c>
      <c r="BK612" t="s">
        <v>66</v>
      </c>
      <c r="BL612">
        <v>41</v>
      </c>
      <c r="BM612">
        <v>30</v>
      </c>
      <c r="BN612">
        <v>16</v>
      </c>
      <c r="BO612">
        <f t="shared" si="98"/>
        <v>23</v>
      </c>
      <c r="BP612">
        <v>3</v>
      </c>
      <c r="BQ612">
        <v>1</v>
      </c>
      <c r="BS612">
        <v>0</v>
      </c>
      <c r="BT612">
        <f t="shared" si="99"/>
        <v>34.693877551020407</v>
      </c>
      <c r="BU612">
        <f t="shared" si="100"/>
        <v>53.488372093023251</v>
      </c>
      <c r="BV612">
        <f t="shared" si="101"/>
        <v>21.951219512195124</v>
      </c>
      <c r="BW612">
        <f t="shared" si="102"/>
        <v>26.086956521739129</v>
      </c>
    </row>
    <row r="613" spans="1:75" x14ac:dyDescent="0.2">
      <c r="A613" t="s">
        <v>213</v>
      </c>
      <c r="B613" t="s">
        <v>235</v>
      </c>
      <c r="C613" t="s">
        <v>106</v>
      </c>
      <c r="D613" t="s">
        <v>603</v>
      </c>
      <c r="E613" t="s">
        <v>608</v>
      </c>
      <c r="F613" t="s">
        <v>766</v>
      </c>
      <c r="G613">
        <v>8.65</v>
      </c>
      <c r="H613">
        <v>13.05</v>
      </c>
      <c r="I613">
        <v>14.95</v>
      </c>
      <c r="J613">
        <v>14.4</v>
      </c>
      <c r="K613">
        <v>51.05</v>
      </c>
      <c r="L613">
        <v>3.2369942200000001</v>
      </c>
      <c r="M613">
        <v>23</v>
      </c>
      <c r="N613">
        <v>31</v>
      </c>
      <c r="O613">
        <v>8</v>
      </c>
      <c r="P613">
        <v>37</v>
      </c>
      <c r="Q613">
        <v>14</v>
      </c>
      <c r="R613">
        <v>7</v>
      </c>
      <c r="S613">
        <v>61.1</v>
      </c>
      <c r="T613">
        <v>60.869565219999998</v>
      </c>
      <c r="U613">
        <v>19.354838709999999</v>
      </c>
      <c r="V613">
        <v>5</v>
      </c>
      <c r="W613">
        <v>4</v>
      </c>
      <c r="X613">
        <v>6</v>
      </c>
      <c r="Y613">
        <v>1</v>
      </c>
      <c r="Z613">
        <v>20</v>
      </c>
      <c r="AA613" t="s">
        <v>66</v>
      </c>
      <c r="AB613" t="s">
        <v>66</v>
      </c>
      <c r="AC613" t="s">
        <v>66</v>
      </c>
      <c r="AD613" t="s">
        <v>66</v>
      </c>
      <c r="AE613">
        <v>26</v>
      </c>
      <c r="AF613">
        <v>33</v>
      </c>
      <c r="AG613" t="s">
        <v>66</v>
      </c>
      <c r="AH613">
        <v>14</v>
      </c>
      <c r="AI613">
        <v>20</v>
      </c>
      <c r="AJ613" t="s">
        <v>66</v>
      </c>
      <c r="AK613">
        <v>12</v>
      </c>
      <c r="AL613">
        <v>16</v>
      </c>
      <c r="AM613">
        <v>13</v>
      </c>
      <c r="AN613">
        <v>18</v>
      </c>
      <c r="AO613">
        <v>38.46153846</v>
      </c>
      <c r="AP613">
        <v>26.92307692</v>
      </c>
      <c r="AQ613">
        <v>2</v>
      </c>
      <c r="AR613">
        <v>1.8333333329999999</v>
      </c>
      <c r="AS613">
        <v>-0.16666666699999999</v>
      </c>
      <c r="AT613">
        <v>0</v>
      </c>
      <c r="AU613" t="s">
        <v>66</v>
      </c>
      <c r="AV613">
        <v>0</v>
      </c>
      <c r="AW613">
        <v>0</v>
      </c>
      <c r="AX613">
        <v>0</v>
      </c>
      <c r="AY613">
        <v>1</v>
      </c>
      <c r="AZ613">
        <v>1</v>
      </c>
      <c r="BA613">
        <v>1</v>
      </c>
      <c r="BB613" t="s">
        <v>66</v>
      </c>
      <c r="BC613" t="s">
        <v>66</v>
      </c>
      <c r="BD613" t="s">
        <v>66</v>
      </c>
      <c r="BE613" t="s">
        <v>66</v>
      </c>
      <c r="BF613">
        <v>0</v>
      </c>
      <c r="BG613" t="s">
        <v>66</v>
      </c>
      <c r="BH613" t="s">
        <v>66</v>
      </c>
      <c r="BI613">
        <v>40</v>
      </c>
      <c r="BJ613">
        <v>7</v>
      </c>
      <c r="BK613" t="s">
        <v>66</v>
      </c>
      <c r="BL613">
        <v>36</v>
      </c>
      <c r="BM613">
        <v>29</v>
      </c>
      <c r="BN613">
        <v>20</v>
      </c>
      <c r="BO613">
        <f t="shared" si="98"/>
        <v>24.5</v>
      </c>
      <c r="BP613">
        <v>3</v>
      </c>
      <c r="BQ613">
        <v>1</v>
      </c>
      <c r="BS613">
        <v>0</v>
      </c>
      <c r="BT613">
        <f t="shared" si="99"/>
        <v>42.5</v>
      </c>
      <c r="BU613">
        <f t="shared" si="100"/>
        <v>28.571428571428569</v>
      </c>
      <c r="BV613">
        <f t="shared" si="101"/>
        <v>27.777777777777779</v>
      </c>
      <c r="BW613">
        <f t="shared" si="102"/>
        <v>46.938775510204081</v>
      </c>
    </row>
    <row r="614" spans="1:75" x14ac:dyDescent="0.2">
      <c r="A614" t="s">
        <v>213</v>
      </c>
      <c r="B614" t="s">
        <v>235</v>
      </c>
      <c r="C614" t="s">
        <v>106</v>
      </c>
      <c r="D614" t="s">
        <v>603</v>
      </c>
      <c r="E614" t="s">
        <v>610</v>
      </c>
      <c r="F614" t="s">
        <v>767</v>
      </c>
      <c r="G614">
        <v>8.65</v>
      </c>
      <c r="H614">
        <v>13.05</v>
      </c>
      <c r="I614">
        <v>14.95</v>
      </c>
      <c r="J614">
        <v>14.4</v>
      </c>
      <c r="K614">
        <v>51.05</v>
      </c>
      <c r="L614">
        <v>3.2369942200000001</v>
      </c>
      <c r="M614">
        <v>33</v>
      </c>
      <c r="N614">
        <v>41</v>
      </c>
      <c r="O614">
        <v>8</v>
      </c>
      <c r="P614">
        <v>48</v>
      </c>
      <c r="Q614">
        <v>15</v>
      </c>
      <c r="R614">
        <v>7.5</v>
      </c>
      <c r="S614">
        <v>62.1</v>
      </c>
      <c r="T614">
        <v>45.454545449999998</v>
      </c>
      <c r="U614">
        <v>17.073170730000001</v>
      </c>
      <c r="V614">
        <v>4</v>
      </c>
      <c r="W614">
        <v>4</v>
      </c>
      <c r="X614">
        <v>6</v>
      </c>
      <c r="Y614">
        <v>2</v>
      </c>
      <c r="Z614">
        <v>50</v>
      </c>
      <c r="AA614" t="s">
        <v>66</v>
      </c>
      <c r="AB614" t="s">
        <v>66</v>
      </c>
      <c r="AC614" t="s">
        <v>66</v>
      </c>
      <c r="AD614" t="s">
        <v>66</v>
      </c>
      <c r="AE614">
        <v>34</v>
      </c>
      <c r="AF614">
        <v>43</v>
      </c>
      <c r="AG614" t="s">
        <v>66</v>
      </c>
      <c r="AH614">
        <v>19</v>
      </c>
      <c r="AI614">
        <v>28</v>
      </c>
      <c r="AJ614" t="s">
        <v>66</v>
      </c>
      <c r="AK614">
        <v>17</v>
      </c>
      <c r="AL614">
        <v>23</v>
      </c>
      <c r="AM614">
        <v>18</v>
      </c>
      <c r="AN614">
        <v>25.5</v>
      </c>
      <c r="AO614">
        <v>41.666666669999998</v>
      </c>
      <c r="AP614">
        <v>26.470588240000001</v>
      </c>
      <c r="AQ614">
        <v>1.888888889</v>
      </c>
      <c r="AR614">
        <v>1.6862745100000001</v>
      </c>
      <c r="AS614">
        <v>-0.20261437900000001</v>
      </c>
      <c r="AT614">
        <v>0</v>
      </c>
      <c r="AU614" t="s">
        <v>66</v>
      </c>
      <c r="AV614">
        <v>0</v>
      </c>
      <c r="AW614">
        <v>0</v>
      </c>
      <c r="AX614">
        <v>0</v>
      </c>
      <c r="AY614">
        <v>1</v>
      </c>
      <c r="AZ614">
        <v>1</v>
      </c>
      <c r="BA614">
        <v>1</v>
      </c>
      <c r="BB614" t="s">
        <v>66</v>
      </c>
      <c r="BC614" t="s">
        <v>66</v>
      </c>
      <c r="BD614" t="s">
        <v>66</v>
      </c>
      <c r="BE614" t="s">
        <v>66</v>
      </c>
      <c r="BF614">
        <v>0</v>
      </c>
      <c r="BG614" t="s">
        <v>66</v>
      </c>
      <c r="BH614" t="s">
        <v>66</v>
      </c>
      <c r="BI614">
        <v>58</v>
      </c>
      <c r="BJ614">
        <v>7.5</v>
      </c>
      <c r="BK614" t="s">
        <v>66</v>
      </c>
      <c r="BL614">
        <v>52</v>
      </c>
      <c r="BM614">
        <v>25</v>
      </c>
      <c r="BN614">
        <v>18</v>
      </c>
      <c r="BO614">
        <f t="shared" si="98"/>
        <v>21.5</v>
      </c>
      <c r="BP614">
        <v>4</v>
      </c>
      <c r="BQ614">
        <v>1</v>
      </c>
      <c r="BS614">
        <v>0</v>
      </c>
      <c r="BT614">
        <f t="shared" si="99"/>
        <v>43.103448275862064</v>
      </c>
      <c r="BU614">
        <f t="shared" si="100"/>
        <v>46.666666666666664</v>
      </c>
      <c r="BV614">
        <f t="shared" si="101"/>
        <v>34.615384615384613</v>
      </c>
      <c r="BW614">
        <f t="shared" si="102"/>
        <v>16.279069767441861</v>
      </c>
    </row>
    <row r="615" spans="1:75" x14ac:dyDescent="0.2">
      <c r="A615" t="s">
        <v>213</v>
      </c>
      <c r="B615" t="s">
        <v>235</v>
      </c>
      <c r="C615" t="s">
        <v>106</v>
      </c>
      <c r="D615" t="s">
        <v>603</v>
      </c>
      <c r="E615" t="s">
        <v>614</v>
      </c>
      <c r="F615" t="s">
        <v>769</v>
      </c>
      <c r="G615">
        <v>8.65</v>
      </c>
      <c r="H615">
        <v>13.05</v>
      </c>
      <c r="I615">
        <v>14.95</v>
      </c>
      <c r="J615">
        <v>14.4</v>
      </c>
      <c r="K615">
        <v>51.05</v>
      </c>
      <c r="L615">
        <v>3.2369942200000001</v>
      </c>
      <c r="M615">
        <v>26</v>
      </c>
      <c r="N615">
        <v>35</v>
      </c>
      <c r="O615">
        <v>9</v>
      </c>
      <c r="P615">
        <v>46</v>
      </c>
      <c r="Q615">
        <v>20</v>
      </c>
      <c r="R615">
        <v>10</v>
      </c>
      <c r="S615">
        <v>67.099999999999994</v>
      </c>
      <c r="T615">
        <v>76.92307692</v>
      </c>
      <c r="U615">
        <v>31.428571430000002</v>
      </c>
      <c r="V615">
        <v>4</v>
      </c>
      <c r="W615">
        <v>4</v>
      </c>
      <c r="X615">
        <v>14</v>
      </c>
      <c r="Y615">
        <v>10</v>
      </c>
      <c r="Z615">
        <v>250</v>
      </c>
      <c r="AA615" t="s">
        <v>66</v>
      </c>
      <c r="AB615" t="s">
        <v>66</v>
      </c>
      <c r="AC615" t="s">
        <v>66</v>
      </c>
      <c r="AD615" t="s">
        <v>66</v>
      </c>
      <c r="AE615">
        <v>28</v>
      </c>
      <c r="AF615">
        <v>40</v>
      </c>
      <c r="AG615" t="s">
        <v>66</v>
      </c>
      <c r="AH615">
        <v>25</v>
      </c>
      <c r="AI615">
        <v>28</v>
      </c>
      <c r="AJ615" t="s">
        <v>66</v>
      </c>
      <c r="AK615">
        <v>14</v>
      </c>
      <c r="AL615">
        <v>25</v>
      </c>
      <c r="AM615">
        <v>19.5</v>
      </c>
      <c r="AN615">
        <v>26.5</v>
      </c>
      <c r="AO615">
        <v>35.897435899999998</v>
      </c>
      <c r="AP615">
        <v>42.857142860000003</v>
      </c>
      <c r="AQ615">
        <v>1.4358974360000001</v>
      </c>
      <c r="AR615">
        <v>1.5094339619999999</v>
      </c>
      <c r="AS615">
        <v>7.3536526000000005E-2</v>
      </c>
      <c r="AT615">
        <v>0</v>
      </c>
      <c r="AU615" t="s">
        <v>66</v>
      </c>
      <c r="AV615">
        <v>0</v>
      </c>
      <c r="AW615">
        <v>0</v>
      </c>
      <c r="AX615">
        <v>0</v>
      </c>
      <c r="AY615">
        <v>1</v>
      </c>
      <c r="AZ615">
        <v>1</v>
      </c>
      <c r="BA615">
        <v>1</v>
      </c>
      <c r="BB615" t="s">
        <v>66</v>
      </c>
      <c r="BC615" t="s">
        <v>66</v>
      </c>
      <c r="BD615" t="s">
        <v>66</v>
      </c>
      <c r="BE615" t="s">
        <v>66</v>
      </c>
      <c r="BF615">
        <v>0</v>
      </c>
      <c r="BG615" t="s">
        <v>66</v>
      </c>
      <c r="BH615" t="s">
        <v>66</v>
      </c>
      <c r="BI615">
        <v>44</v>
      </c>
      <c r="BJ615">
        <v>8.6</v>
      </c>
      <c r="BK615" t="s">
        <v>66</v>
      </c>
      <c r="BL615">
        <v>40</v>
      </c>
      <c r="BM615">
        <v>23</v>
      </c>
      <c r="BN615">
        <v>8</v>
      </c>
      <c r="BO615">
        <f t="shared" si="98"/>
        <v>15.5</v>
      </c>
      <c r="BP615">
        <v>4</v>
      </c>
      <c r="BQ615">
        <v>1</v>
      </c>
      <c r="BS615">
        <v>0</v>
      </c>
      <c r="BT615">
        <f t="shared" si="99"/>
        <v>40.909090909090914</v>
      </c>
      <c r="BU615">
        <f t="shared" si="100"/>
        <v>53.488372093023251</v>
      </c>
      <c r="BV615">
        <f t="shared" si="101"/>
        <v>30</v>
      </c>
      <c r="BW615">
        <f t="shared" si="102"/>
        <v>-25.806451612903224</v>
      </c>
    </row>
    <row r="616" spans="1:75" x14ac:dyDescent="0.2">
      <c r="A616" t="s">
        <v>213</v>
      </c>
      <c r="B616" t="s">
        <v>235</v>
      </c>
      <c r="C616" t="s">
        <v>106</v>
      </c>
      <c r="D616" t="s">
        <v>603</v>
      </c>
      <c r="E616" t="s">
        <v>616</v>
      </c>
      <c r="F616" t="s">
        <v>770</v>
      </c>
      <c r="G616">
        <v>8.65</v>
      </c>
      <c r="H616">
        <v>13.05</v>
      </c>
      <c r="I616">
        <v>14.95</v>
      </c>
      <c r="J616">
        <v>14.4</v>
      </c>
      <c r="K616">
        <v>51.05</v>
      </c>
      <c r="L616">
        <v>3.2369942200000001</v>
      </c>
      <c r="M616">
        <v>16</v>
      </c>
      <c r="N616">
        <v>18</v>
      </c>
      <c r="O616">
        <v>2</v>
      </c>
      <c r="P616">
        <v>23</v>
      </c>
      <c r="Q616">
        <v>7</v>
      </c>
      <c r="R616">
        <v>3.5</v>
      </c>
      <c r="S616">
        <v>54.1</v>
      </c>
      <c r="T616">
        <v>43.75</v>
      </c>
      <c r="U616">
        <v>27.777777780000001</v>
      </c>
      <c r="V616">
        <v>5</v>
      </c>
      <c r="W616">
        <v>3</v>
      </c>
      <c r="X616">
        <v>4</v>
      </c>
      <c r="Y616">
        <v>-1</v>
      </c>
      <c r="Z616">
        <v>-20</v>
      </c>
      <c r="AA616" t="s">
        <v>66</v>
      </c>
      <c r="AB616" t="s">
        <v>66</v>
      </c>
      <c r="AC616" t="s">
        <v>66</v>
      </c>
      <c r="AD616" t="s">
        <v>66</v>
      </c>
      <c r="AE616">
        <v>13</v>
      </c>
      <c r="AF616">
        <v>20</v>
      </c>
      <c r="AG616" t="s">
        <v>66</v>
      </c>
      <c r="AH616">
        <v>12</v>
      </c>
      <c r="AI616">
        <v>14</v>
      </c>
      <c r="AJ616" t="s">
        <v>66</v>
      </c>
      <c r="AK616">
        <v>8</v>
      </c>
      <c r="AL616">
        <v>12</v>
      </c>
      <c r="AM616">
        <v>10</v>
      </c>
      <c r="AN616">
        <v>13</v>
      </c>
      <c r="AO616">
        <v>30</v>
      </c>
      <c r="AP616">
        <v>53.84615385</v>
      </c>
      <c r="AQ616">
        <v>1.3</v>
      </c>
      <c r="AR616">
        <v>1.538461538</v>
      </c>
      <c r="AS616">
        <v>0.238461538</v>
      </c>
      <c r="AT616">
        <v>0</v>
      </c>
      <c r="AU616" t="s">
        <v>66</v>
      </c>
      <c r="AV616">
        <v>0</v>
      </c>
      <c r="AW616">
        <v>0</v>
      </c>
      <c r="AX616">
        <v>0</v>
      </c>
      <c r="AY616">
        <v>1</v>
      </c>
      <c r="AZ616">
        <v>1</v>
      </c>
      <c r="BA616">
        <v>1</v>
      </c>
      <c r="BB616" t="s">
        <v>66</v>
      </c>
      <c r="BC616" t="s">
        <v>66</v>
      </c>
      <c r="BD616" t="s">
        <v>66</v>
      </c>
      <c r="BE616" t="s">
        <v>66</v>
      </c>
      <c r="BF616">
        <v>0</v>
      </c>
      <c r="BG616" t="s">
        <v>66</v>
      </c>
      <c r="BH616" t="s">
        <v>66</v>
      </c>
      <c r="BI616">
        <v>34</v>
      </c>
      <c r="BJ616">
        <v>5.0999999999999996</v>
      </c>
      <c r="BK616" t="s">
        <v>66</v>
      </c>
      <c r="BL616">
        <v>21</v>
      </c>
      <c r="BM616">
        <v>25</v>
      </c>
      <c r="BN616">
        <v>13</v>
      </c>
      <c r="BO616">
        <f t="shared" si="98"/>
        <v>19</v>
      </c>
      <c r="BP616">
        <v>4</v>
      </c>
      <c r="BQ616">
        <v>1</v>
      </c>
      <c r="BS616">
        <v>0</v>
      </c>
      <c r="BT616">
        <f t="shared" si="99"/>
        <v>52.941176470588239</v>
      </c>
      <c r="BU616">
        <f t="shared" si="100"/>
        <v>1.9607843137254832</v>
      </c>
      <c r="BV616">
        <f t="shared" si="101"/>
        <v>38.095238095238095</v>
      </c>
      <c r="BW616">
        <f t="shared" si="102"/>
        <v>47.368421052631575</v>
      </c>
    </row>
    <row r="617" spans="1:75" x14ac:dyDescent="0.2">
      <c r="A617" t="s">
        <v>213</v>
      </c>
      <c r="B617" t="s">
        <v>235</v>
      </c>
      <c r="C617" t="s">
        <v>106</v>
      </c>
      <c r="D617" t="s">
        <v>603</v>
      </c>
      <c r="E617" t="s">
        <v>618</v>
      </c>
      <c r="F617" t="s">
        <v>771</v>
      </c>
      <c r="G617">
        <v>8.65</v>
      </c>
      <c r="H617">
        <v>13.05</v>
      </c>
      <c r="I617">
        <v>14.95</v>
      </c>
      <c r="J617">
        <v>14.4</v>
      </c>
      <c r="K617">
        <v>51.05</v>
      </c>
      <c r="L617">
        <v>3.2369942200000001</v>
      </c>
      <c r="M617">
        <v>12</v>
      </c>
      <c r="N617">
        <v>16</v>
      </c>
      <c r="O617">
        <v>4</v>
      </c>
      <c r="P617">
        <v>18</v>
      </c>
      <c r="Q617">
        <v>6</v>
      </c>
      <c r="R617">
        <v>3</v>
      </c>
      <c r="S617">
        <v>53.1</v>
      </c>
      <c r="T617">
        <v>50</v>
      </c>
      <c r="U617">
        <v>12.5</v>
      </c>
      <c r="V617">
        <v>3</v>
      </c>
      <c r="W617">
        <v>3</v>
      </c>
      <c r="X617">
        <v>3</v>
      </c>
      <c r="Y617">
        <v>0</v>
      </c>
      <c r="Z617">
        <v>0</v>
      </c>
      <c r="AA617" t="s">
        <v>66</v>
      </c>
      <c r="AB617" t="s">
        <v>66</v>
      </c>
      <c r="AC617" t="s">
        <v>66</v>
      </c>
      <c r="AD617" t="s">
        <v>66</v>
      </c>
      <c r="AE617">
        <v>12</v>
      </c>
      <c r="AF617">
        <v>14</v>
      </c>
      <c r="AG617" t="s">
        <v>66</v>
      </c>
      <c r="AH617">
        <v>7</v>
      </c>
      <c r="AI617">
        <v>11</v>
      </c>
      <c r="AJ617" t="s">
        <v>66</v>
      </c>
      <c r="AK617">
        <v>5</v>
      </c>
      <c r="AL617">
        <v>9</v>
      </c>
      <c r="AM617">
        <v>6</v>
      </c>
      <c r="AN617">
        <v>10</v>
      </c>
      <c r="AO617">
        <v>66.666666669999998</v>
      </c>
      <c r="AP617">
        <v>16.666666670000001</v>
      </c>
      <c r="AQ617">
        <v>2</v>
      </c>
      <c r="AR617">
        <v>1.4</v>
      </c>
      <c r="AS617">
        <v>-0.6</v>
      </c>
      <c r="AT617">
        <v>0</v>
      </c>
      <c r="AU617" t="s">
        <v>66</v>
      </c>
      <c r="AV617">
        <v>0</v>
      </c>
      <c r="AW617">
        <v>0</v>
      </c>
      <c r="AX617">
        <v>0</v>
      </c>
      <c r="AY617">
        <v>1</v>
      </c>
      <c r="AZ617">
        <v>1</v>
      </c>
      <c r="BA617">
        <v>1</v>
      </c>
      <c r="BB617" t="s">
        <v>66</v>
      </c>
      <c r="BC617" t="s">
        <v>66</v>
      </c>
      <c r="BD617" t="s">
        <v>66</v>
      </c>
      <c r="BE617" t="s">
        <v>66</v>
      </c>
      <c r="BF617">
        <v>0</v>
      </c>
      <c r="BG617" t="s">
        <v>66</v>
      </c>
      <c r="BH617" t="s">
        <v>66</v>
      </c>
      <c r="BI617">
        <v>29</v>
      </c>
      <c r="BJ617">
        <v>4.2</v>
      </c>
      <c r="BK617" t="s">
        <v>66</v>
      </c>
      <c r="BL617">
        <v>26</v>
      </c>
      <c r="BM617">
        <v>15</v>
      </c>
      <c r="BN617">
        <v>11</v>
      </c>
      <c r="BO617">
        <f t="shared" si="98"/>
        <v>13</v>
      </c>
      <c r="BP617">
        <v>4</v>
      </c>
      <c r="BQ617">
        <v>1</v>
      </c>
      <c r="BS617">
        <v>0</v>
      </c>
      <c r="BT617">
        <f t="shared" si="99"/>
        <v>58.620689655172406</v>
      </c>
      <c r="BU617">
        <f t="shared" si="100"/>
        <v>28.571428571428577</v>
      </c>
      <c r="BV617">
        <f t="shared" si="101"/>
        <v>53.846153846153847</v>
      </c>
      <c r="BW617">
        <f t="shared" si="102"/>
        <v>53.846153846153847</v>
      </c>
    </row>
    <row r="618" spans="1:75" x14ac:dyDescent="0.2">
      <c r="A618" t="s">
        <v>213</v>
      </c>
      <c r="B618" t="s">
        <v>235</v>
      </c>
      <c r="C618" t="s">
        <v>106</v>
      </c>
      <c r="D618" t="s">
        <v>603</v>
      </c>
      <c r="E618" t="s">
        <v>620</v>
      </c>
      <c r="F618" t="s">
        <v>772</v>
      </c>
      <c r="G618">
        <v>8.65</v>
      </c>
      <c r="H618">
        <v>13.05</v>
      </c>
      <c r="I618">
        <v>14.95</v>
      </c>
      <c r="J618">
        <v>14.4</v>
      </c>
      <c r="K618">
        <v>51.05</v>
      </c>
      <c r="L618">
        <v>3.2369942200000001</v>
      </c>
      <c r="M618">
        <v>17</v>
      </c>
      <c r="N618">
        <v>18</v>
      </c>
      <c r="O618">
        <v>1</v>
      </c>
      <c r="P618">
        <v>23</v>
      </c>
      <c r="Q618">
        <v>6</v>
      </c>
      <c r="R618">
        <v>3</v>
      </c>
      <c r="S618">
        <v>53.1</v>
      </c>
      <c r="T618">
        <v>35.294117649999997</v>
      </c>
      <c r="U618">
        <v>27.777777780000001</v>
      </c>
      <c r="V618">
        <v>5</v>
      </c>
      <c r="W618">
        <v>3</v>
      </c>
      <c r="X618">
        <v>4</v>
      </c>
      <c r="Y618">
        <v>-1</v>
      </c>
      <c r="Z618">
        <v>-20</v>
      </c>
      <c r="AA618" t="s">
        <v>66</v>
      </c>
      <c r="AB618" t="s">
        <v>66</v>
      </c>
      <c r="AC618" t="s">
        <v>66</v>
      </c>
      <c r="AD618" t="s">
        <v>66</v>
      </c>
      <c r="AE618">
        <v>16</v>
      </c>
      <c r="AF618">
        <v>19</v>
      </c>
      <c r="AG618" t="s">
        <v>66</v>
      </c>
      <c r="AH618">
        <v>11</v>
      </c>
      <c r="AI618">
        <v>14</v>
      </c>
      <c r="AJ618" t="s">
        <v>66</v>
      </c>
      <c r="AK618">
        <v>8</v>
      </c>
      <c r="AL618">
        <v>13</v>
      </c>
      <c r="AM618">
        <v>9.5</v>
      </c>
      <c r="AN618">
        <v>13.5</v>
      </c>
      <c r="AO618">
        <v>42.10526316</v>
      </c>
      <c r="AP618">
        <v>18.75</v>
      </c>
      <c r="AQ618">
        <v>1.684210526</v>
      </c>
      <c r="AR618">
        <v>1.407407407</v>
      </c>
      <c r="AS618">
        <v>-0.27680311899999999</v>
      </c>
      <c r="AT618">
        <v>0</v>
      </c>
      <c r="AU618" t="s">
        <v>66</v>
      </c>
      <c r="AV618">
        <v>0</v>
      </c>
      <c r="AW618">
        <v>0</v>
      </c>
      <c r="AX618">
        <v>0</v>
      </c>
      <c r="AY618">
        <v>1</v>
      </c>
      <c r="AZ618">
        <v>1</v>
      </c>
      <c r="BA618">
        <v>1</v>
      </c>
      <c r="BB618" t="s">
        <v>66</v>
      </c>
      <c r="BC618" t="s">
        <v>66</v>
      </c>
      <c r="BD618" t="s">
        <v>66</v>
      </c>
      <c r="BE618" t="s">
        <v>66</v>
      </c>
      <c r="BF618">
        <v>0</v>
      </c>
      <c r="BG618" t="s">
        <v>66</v>
      </c>
      <c r="BH618" t="s">
        <v>66</v>
      </c>
      <c r="BI618">
        <v>42</v>
      </c>
      <c r="BJ618">
        <v>5</v>
      </c>
      <c r="BK618" t="s">
        <v>66</v>
      </c>
      <c r="BL618">
        <v>38</v>
      </c>
      <c r="BM618">
        <v>19</v>
      </c>
      <c r="BN618">
        <v>16</v>
      </c>
      <c r="BO618">
        <f t="shared" si="98"/>
        <v>17.5</v>
      </c>
      <c r="BP618">
        <v>4</v>
      </c>
      <c r="BQ618">
        <v>1</v>
      </c>
      <c r="BS618">
        <v>0</v>
      </c>
      <c r="BT618">
        <f t="shared" si="99"/>
        <v>59.523809523809526</v>
      </c>
      <c r="BU618">
        <f t="shared" si="100"/>
        <v>0</v>
      </c>
      <c r="BV618">
        <f t="shared" si="101"/>
        <v>57.894736842105267</v>
      </c>
      <c r="BW618">
        <f t="shared" si="102"/>
        <v>45.714285714285715</v>
      </c>
    </row>
    <row r="619" spans="1:75" x14ac:dyDescent="0.2">
      <c r="A619" t="s">
        <v>213</v>
      </c>
      <c r="B619" t="s">
        <v>235</v>
      </c>
      <c r="C619" t="s">
        <v>106</v>
      </c>
      <c r="D619" t="s">
        <v>603</v>
      </c>
      <c r="E619" t="s">
        <v>624</v>
      </c>
      <c r="F619" t="s">
        <v>774</v>
      </c>
      <c r="G619">
        <v>8.65</v>
      </c>
      <c r="H619">
        <v>13.05</v>
      </c>
      <c r="I619">
        <v>14.95</v>
      </c>
      <c r="J619">
        <v>14.4</v>
      </c>
      <c r="K619">
        <v>51.05</v>
      </c>
      <c r="L619">
        <v>3.2369942200000001</v>
      </c>
      <c r="M619">
        <v>45</v>
      </c>
      <c r="N619">
        <v>63</v>
      </c>
      <c r="O619">
        <v>18</v>
      </c>
      <c r="P619">
        <v>67</v>
      </c>
      <c r="Q619">
        <v>22</v>
      </c>
      <c r="R619">
        <v>11</v>
      </c>
      <c r="S619">
        <v>69.099999999999994</v>
      </c>
      <c r="T619">
        <v>48.888888889999997</v>
      </c>
      <c r="U619">
        <v>6.3492063490000001</v>
      </c>
      <c r="V619">
        <v>8</v>
      </c>
      <c r="W619">
        <v>8</v>
      </c>
      <c r="X619">
        <v>12</v>
      </c>
      <c r="Y619">
        <v>4</v>
      </c>
      <c r="Z619">
        <v>50</v>
      </c>
      <c r="AA619" t="s">
        <v>66</v>
      </c>
      <c r="AB619" t="s">
        <v>66</v>
      </c>
      <c r="AC619" t="s">
        <v>66</v>
      </c>
      <c r="AD619" t="s">
        <v>66</v>
      </c>
      <c r="AE619">
        <v>47</v>
      </c>
      <c r="AF619">
        <v>63</v>
      </c>
      <c r="AG619" t="s">
        <v>66</v>
      </c>
      <c r="AH619">
        <v>29</v>
      </c>
      <c r="AI619">
        <v>33</v>
      </c>
      <c r="AJ619" t="s">
        <v>66</v>
      </c>
      <c r="AK619">
        <v>17</v>
      </c>
      <c r="AL619">
        <v>27</v>
      </c>
      <c r="AM619">
        <v>23</v>
      </c>
      <c r="AN619">
        <v>30</v>
      </c>
      <c r="AO619">
        <v>30.434782609999999</v>
      </c>
      <c r="AP619">
        <v>34.04255319</v>
      </c>
      <c r="AQ619">
        <v>2.0434782610000002</v>
      </c>
      <c r="AR619">
        <v>2.1</v>
      </c>
      <c r="AS619">
        <v>5.6521739000000001E-2</v>
      </c>
      <c r="AT619">
        <v>0</v>
      </c>
      <c r="AU619" t="s">
        <v>66</v>
      </c>
      <c r="AV619">
        <v>0</v>
      </c>
      <c r="AW619">
        <v>0</v>
      </c>
      <c r="AX619">
        <v>0</v>
      </c>
      <c r="AY619">
        <v>1</v>
      </c>
      <c r="AZ619">
        <v>1</v>
      </c>
      <c r="BA619">
        <v>1</v>
      </c>
      <c r="BB619" t="s">
        <v>66</v>
      </c>
      <c r="BC619" t="s">
        <v>66</v>
      </c>
      <c r="BD619" t="s">
        <v>66</v>
      </c>
      <c r="BE619" t="s">
        <v>66</v>
      </c>
      <c r="BF619">
        <v>0</v>
      </c>
      <c r="BG619" t="s">
        <v>66</v>
      </c>
      <c r="BH619" t="s">
        <v>66</v>
      </c>
      <c r="BI619">
        <v>74</v>
      </c>
      <c r="BJ619">
        <v>15.2</v>
      </c>
      <c r="BK619" t="s">
        <v>66</v>
      </c>
      <c r="BL619">
        <v>7</v>
      </c>
      <c r="BM619">
        <v>37</v>
      </c>
      <c r="BN619">
        <v>46</v>
      </c>
      <c r="BO619">
        <f t="shared" si="98"/>
        <v>41.5</v>
      </c>
      <c r="BP619">
        <v>4</v>
      </c>
      <c r="BQ619">
        <v>1</v>
      </c>
      <c r="BS619">
        <v>0</v>
      </c>
      <c r="BT619">
        <f t="shared" si="99"/>
        <v>39.189189189189186</v>
      </c>
      <c r="BU619">
        <f t="shared" si="100"/>
        <v>47.368421052631575</v>
      </c>
      <c r="BV619">
        <f t="shared" si="101"/>
        <v>-571.42857142857144</v>
      </c>
      <c r="BW619">
        <f t="shared" si="102"/>
        <v>44.578313253012048</v>
      </c>
    </row>
    <row r="620" spans="1:75" x14ac:dyDescent="0.2">
      <c r="A620" t="s">
        <v>213</v>
      </c>
      <c r="B620" t="s">
        <v>235</v>
      </c>
      <c r="C620" t="s">
        <v>106</v>
      </c>
      <c r="D620" t="s">
        <v>603</v>
      </c>
      <c r="E620" t="s">
        <v>626</v>
      </c>
      <c r="F620" t="s">
        <v>775</v>
      </c>
      <c r="G620">
        <v>8.65</v>
      </c>
      <c r="H620">
        <v>13.05</v>
      </c>
      <c r="I620">
        <v>14.95</v>
      </c>
      <c r="J620">
        <v>14.4</v>
      </c>
      <c r="K620">
        <v>51.05</v>
      </c>
      <c r="L620">
        <v>3.2369942200000001</v>
      </c>
      <c r="M620">
        <v>34</v>
      </c>
      <c r="N620">
        <v>26</v>
      </c>
      <c r="O620">
        <v>-8</v>
      </c>
      <c r="P620">
        <v>34</v>
      </c>
      <c r="Q620">
        <v>0</v>
      </c>
      <c r="R620">
        <v>1E-3</v>
      </c>
      <c r="S620">
        <v>47.1</v>
      </c>
      <c r="T620">
        <v>0</v>
      </c>
      <c r="U620">
        <v>30.76923077</v>
      </c>
      <c r="V620">
        <v>4</v>
      </c>
      <c r="W620">
        <v>4</v>
      </c>
      <c r="X620">
        <v>6</v>
      </c>
      <c r="Y620">
        <v>2</v>
      </c>
      <c r="Z620">
        <v>50</v>
      </c>
      <c r="AA620" t="s">
        <v>66</v>
      </c>
      <c r="AB620" t="s">
        <v>66</v>
      </c>
      <c r="AC620" t="s">
        <v>66</v>
      </c>
      <c r="AD620" t="s">
        <v>66</v>
      </c>
      <c r="AE620">
        <v>23</v>
      </c>
      <c r="AF620">
        <v>31</v>
      </c>
      <c r="AG620" t="s">
        <v>66</v>
      </c>
      <c r="AH620">
        <v>21</v>
      </c>
      <c r="AI620">
        <v>24</v>
      </c>
      <c r="AJ620" t="s">
        <v>66</v>
      </c>
      <c r="AK620">
        <v>15</v>
      </c>
      <c r="AL620">
        <v>18</v>
      </c>
      <c r="AM620">
        <v>18</v>
      </c>
      <c r="AN620">
        <v>21</v>
      </c>
      <c r="AO620">
        <v>16.666666670000001</v>
      </c>
      <c r="AP620">
        <v>34.782608699999997</v>
      </c>
      <c r="AQ620">
        <v>1.2777777779999999</v>
      </c>
      <c r="AR620">
        <v>1.476190476</v>
      </c>
      <c r="AS620">
        <v>0.198412698</v>
      </c>
      <c r="AT620">
        <v>0</v>
      </c>
      <c r="AU620" t="s">
        <v>66</v>
      </c>
      <c r="AV620">
        <v>0</v>
      </c>
      <c r="AW620">
        <v>0</v>
      </c>
      <c r="AX620">
        <v>0</v>
      </c>
      <c r="AY620">
        <v>1</v>
      </c>
      <c r="AZ620">
        <v>1</v>
      </c>
      <c r="BA620">
        <v>1</v>
      </c>
      <c r="BB620" t="s">
        <v>66</v>
      </c>
      <c r="BC620" t="s">
        <v>66</v>
      </c>
      <c r="BD620" t="s">
        <v>66</v>
      </c>
      <c r="BE620" t="s">
        <v>66</v>
      </c>
      <c r="BF620">
        <v>0</v>
      </c>
      <c r="BG620" t="s">
        <v>66</v>
      </c>
      <c r="BH620" t="s">
        <v>66</v>
      </c>
      <c r="BI620">
        <v>57</v>
      </c>
      <c r="BJ620">
        <v>8.1999999999999993</v>
      </c>
      <c r="BK620" t="s">
        <v>66</v>
      </c>
      <c r="BL620">
        <v>49</v>
      </c>
      <c r="BM620">
        <v>40</v>
      </c>
      <c r="BN620">
        <v>14</v>
      </c>
      <c r="BO620">
        <f t="shared" si="98"/>
        <v>27</v>
      </c>
      <c r="BP620">
        <v>4</v>
      </c>
      <c r="BQ620">
        <v>1</v>
      </c>
      <c r="BS620">
        <v>0</v>
      </c>
      <c r="BT620">
        <f t="shared" si="99"/>
        <v>40.350877192982452</v>
      </c>
      <c r="BU620">
        <f t="shared" si="100"/>
        <v>51.219512195121951</v>
      </c>
      <c r="BV620">
        <f t="shared" si="101"/>
        <v>53.061224489795919</v>
      </c>
      <c r="BW620">
        <f t="shared" si="102"/>
        <v>33.333333333333329</v>
      </c>
    </row>
    <row r="621" spans="1:75" x14ac:dyDescent="0.2">
      <c r="A621" t="s">
        <v>213</v>
      </c>
      <c r="B621" t="s">
        <v>235</v>
      </c>
      <c r="C621" t="s">
        <v>106</v>
      </c>
      <c r="D621" t="s">
        <v>603</v>
      </c>
      <c r="E621" t="s">
        <v>628</v>
      </c>
      <c r="F621" t="s">
        <v>776</v>
      </c>
      <c r="G621">
        <v>8.65</v>
      </c>
      <c r="H621">
        <v>13.05</v>
      </c>
      <c r="I621">
        <v>14.95</v>
      </c>
      <c r="J621">
        <v>14.4</v>
      </c>
      <c r="K621">
        <v>51.05</v>
      </c>
      <c r="L621">
        <v>3.2369942200000001</v>
      </c>
      <c r="M621">
        <v>22</v>
      </c>
      <c r="N621">
        <v>27</v>
      </c>
      <c r="O621">
        <v>5</v>
      </c>
      <c r="P621">
        <v>31</v>
      </c>
      <c r="Q621">
        <v>9</v>
      </c>
      <c r="R621">
        <v>4.5</v>
      </c>
      <c r="S621">
        <v>56.1</v>
      </c>
      <c r="T621">
        <v>40.909090910000003</v>
      </c>
      <c r="U621">
        <v>14.81481481</v>
      </c>
      <c r="V621">
        <v>4</v>
      </c>
      <c r="W621">
        <v>4</v>
      </c>
      <c r="X621">
        <v>6</v>
      </c>
      <c r="Y621">
        <v>2</v>
      </c>
      <c r="Z621">
        <v>50</v>
      </c>
      <c r="AA621" t="s">
        <v>66</v>
      </c>
      <c r="AB621" t="s">
        <v>66</v>
      </c>
      <c r="AC621" t="s">
        <v>66</v>
      </c>
      <c r="AD621" t="s">
        <v>66</v>
      </c>
      <c r="AE621">
        <v>23</v>
      </c>
      <c r="AF621">
        <v>24</v>
      </c>
      <c r="AG621" t="s">
        <v>66</v>
      </c>
      <c r="AH621">
        <v>15</v>
      </c>
      <c r="AI621">
        <v>19</v>
      </c>
      <c r="AJ621" t="s">
        <v>66</v>
      </c>
      <c r="AK621">
        <v>10</v>
      </c>
      <c r="AL621">
        <v>14</v>
      </c>
      <c r="AM621">
        <v>12.5</v>
      </c>
      <c r="AN621">
        <v>16.5</v>
      </c>
      <c r="AO621">
        <v>32</v>
      </c>
      <c r="AP621">
        <v>4.3478260869999996</v>
      </c>
      <c r="AQ621">
        <v>1.84</v>
      </c>
      <c r="AR621">
        <v>1.4545454550000001</v>
      </c>
      <c r="AS621">
        <v>-0.38545454499999998</v>
      </c>
      <c r="AT621">
        <v>0</v>
      </c>
      <c r="AU621" t="s">
        <v>66</v>
      </c>
      <c r="AV621">
        <v>0</v>
      </c>
      <c r="AW621">
        <v>0</v>
      </c>
      <c r="AX621">
        <v>0</v>
      </c>
      <c r="AY621">
        <v>1</v>
      </c>
      <c r="AZ621">
        <v>1</v>
      </c>
      <c r="BA621">
        <v>1</v>
      </c>
      <c r="BB621" t="s">
        <v>66</v>
      </c>
      <c r="BC621" t="s">
        <v>66</v>
      </c>
      <c r="BD621" t="s">
        <v>66</v>
      </c>
      <c r="BE621" t="s">
        <v>66</v>
      </c>
      <c r="BF621">
        <v>0</v>
      </c>
      <c r="BG621" t="s">
        <v>66</v>
      </c>
      <c r="BH621" t="s">
        <v>66</v>
      </c>
      <c r="BI621">
        <v>39</v>
      </c>
      <c r="BJ621">
        <v>7.7</v>
      </c>
      <c r="BK621" t="s">
        <v>66</v>
      </c>
      <c r="BL621">
        <v>36</v>
      </c>
      <c r="BM621">
        <v>29</v>
      </c>
      <c r="BN621">
        <v>20</v>
      </c>
      <c r="BO621">
        <f t="shared" si="98"/>
        <v>24.5</v>
      </c>
      <c r="BP621">
        <v>4</v>
      </c>
      <c r="BQ621">
        <v>1</v>
      </c>
      <c r="BS621">
        <v>0</v>
      </c>
      <c r="BT621">
        <f t="shared" si="99"/>
        <v>43.589743589743591</v>
      </c>
      <c r="BU621">
        <f t="shared" si="100"/>
        <v>48.051948051948052</v>
      </c>
      <c r="BV621">
        <f t="shared" si="101"/>
        <v>36.111111111111107</v>
      </c>
      <c r="BW621">
        <f t="shared" si="102"/>
        <v>48.979591836734691</v>
      </c>
    </row>
    <row r="622" spans="1:75" x14ac:dyDescent="0.2">
      <c r="A622" t="s">
        <v>213</v>
      </c>
      <c r="B622" t="s">
        <v>235</v>
      </c>
      <c r="C622" t="s">
        <v>106</v>
      </c>
      <c r="D622" t="s">
        <v>603</v>
      </c>
      <c r="E622" t="s">
        <v>630</v>
      </c>
      <c r="F622" t="s">
        <v>777</v>
      </c>
      <c r="G622">
        <v>8.65</v>
      </c>
      <c r="H622">
        <v>13.05</v>
      </c>
      <c r="I622">
        <v>14.95</v>
      </c>
      <c r="J622">
        <v>14.4</v>
      </c>
      <c r="K622">
        <v>51.05</v>
      </c>
      <c r="L622">
        <v>3.2369942200000001</v>
      </c>
      <c r="M622">
        <v>30</v>
      </c>
      <c r="N622">
        <v>38</v>
      </c>
      <c r="O622">
        <v>8</v>
      </c>
      <c r="P622">
        <v>45</v>
      </c>
      <c r="Q622">
        <v>15</v>
      </c>
      <c r="R622">
        <v>7.5</v>
      </c>
      <c r="S622">
        <v>62.1</v>
      </c>
      <c r="T622">
        <v>50</v>
      </c>
      <c r="U622">
        <v>18.421052629999998</v>
      </c>
      <c r="V622">
        <v>5</v>
      </c>
      <c r="W622">
        <v>5</v>
      </c>
      <c r="X622">
        <v>5</v>
      </c>
      <c r="Y622">
        <v>0</v>
      </c>
      <c r="Z622">
        <v>0</v>
      </c>
      <c r="AA622" t="s">
        <v>66</v>
      </c>
      <c r="AB622" t="s">
        <v>66</v>
      </c>
      <c r="AC622" t="s">
        <v>66</v>
      </c>
      <c r="AD622" t="s">
        <v>66</v>
      </c>
      <c r="AE622">
        <v>35</v>
      </c>
      <c r="AF622">
        <v>40</v>
      </c>
      <c r="AG622" t="s">
        <v>66</v>
      </c>
      <c r="AH622">
        <v>19</v>
      </c>
      <c r="AI622">
        <v>18</v>
      </c>
      <c r="AJ622" t="s">
        <v>66</v>
      </c>
      <c r="AK622">
        <v>11</v>
      </c>
      <c r="AL622">
        <v>14</v>
      </c>
      <c r="AM622">
        <v>15</v>
      </c>
      <c r="AN622">
        <v>16</v>
      </c>
      <c r="AO622">
        <v>6.6666666670000003</v>
      </c>
      <c r="AP622">
        <v>14.28571429</v>
      </c>
      <c r="AQ622">
        <v>2.3333333330000001</v>
      </c>
      <c r="AR622">
        <v>2.5</v>
      </c>
      <c r="AS622">
        <v>0.16666666699999999</v>
      </c>
      <c r="AT622">
        <v>0</v>
      </c>
      <c r="AU622" t="s">
        <v>66</v>
      </c>
      <c r="AV622">
        <v>0</v>
      </c>
      <c r="AW622">
        <v>0</v>
      </c>
      <c r="AX622">
        <v>0</v>
      </c>
      <c r="AY622">
        <v>1</v>
      </c>
      <c r="AZ622">
        <v>1</v>
      </c>
      <c r="BA622">
        <v>1</v>
      </c>
      <c r="BB622" t="s">
        <v>66</v>
      </c>
      <c r="BC622" t="s">
        <v>66</v>
      </c>
      <c r="BD622" t="s">
        <v>66</v>
      </c>
      <c r="BE622" t="s">
        <v>66</v>
      </c>
      <c r="BF622">
        <v>0</v>
      </c>
      <c r="BG622" t="s">
        <v>66</v>
      </c>
      <c r="BH622" t="s">
        <v>66</v>
      </c>
      <c r="BI622">
        <v>49</v>
      </c>
      <c r="BJ622">
        <v>7.5</v>
      </c>
      <c r="BK622" t="s">
        <v>66</v>
      </c>
      <c r="BL622">
        <v>41</v>
      </c>
      <c r="BM622">
        <v>25</v>
      </c>
      <c r="BN622">
        <v>12</v>
      </c>
      <c r="BO622">
        <f t="shared" si="98"/>
        <v>18.5</v>
      </c>
      <c r="BP622">
        <v>3</v>
      </c>
      <c r="BQ622">
        <v>1</v>
      </c>
      <c r="BS622">
        <v>0</v>
      </c>
      <c r="BT622">
        <f t="shared" si="99"/>
        <v>38.775510204081634</v>
      </c>
      <c r="BU622">
        <f t="shared" si="100"/>
        <v>33.333333333333329</v>
      </c>
      <c r="BV622">
        <f t="shared" si="101"/>
        <v>14.634146341463413</v>
      </c>
      <c r="BW622">
        <f t="shared" si="102"/>
        <v>18.918918918918919</v>
      </c>
    </row>
    <row r="623" spans="1:75" x14ac:dyDescent="0.2">
      <c r="A623" t="s">
        <v>213</v>
      </c>
      <c r="B623" t="s">
        <v>235</v>
      </c>
      <c r="C623" t="s">
        <v>106</v>
      </c>
      <c r="D623" t="s">
        <v>603</v>
      </c>
      <c r="E623" t="s">
        <v>632</v>
      </c>
      <c r="F623" t="s">
        <v>778</v>
      </c>
      <c r="G623">
        <v>8.65</v>
      </c>
      <c r="H623">
        <v>13.05</v>
      </c>
      <c r="I623">
        <v>14.95</v>
      </c>
      <c r="J623">
        <v>14.4</v>
      </c>
      <c r="K623">
        <v>51.05</v>
      </c>
      <c r="L623">
        <v>3.2369942200000001</v>
      </c>
      <c r="M623">
        <v>15</v>
      </c>
      <c r="N623">
        <v>18</v>
      </c>
      <c r="O623">
        <v>3</v>
      </c>
      <c r="P623">
        <v>22</v>
      </c>
      <c r="Q623">
        <v>7</v>
      </c>
      <c r="R623">
        <v>3.5</v>
      </c>
      <c r="S623">
        <v>54.1</v>
      </c>
      <c r="T623">
        <v>46.666666669999998</v>
      </c>
      <c r="U623">
        <v>22.222222219999999</v>
      </c>
      <c r="V623">
        <v>2</v>
      </c>
      <c r="W623">
        <v>4</v>
      </c>
      <c r="X623">
        <v>3</v>
      </c>
      <c r="Y623">
        <v>1</v>
      </c>
      <c r="Z623">
        <v>50</v>
      </c>
      <c r="AA623" t="s">
        <v>66</v>
      </c>
      <c r="AB623" t="s">
        <v>66</v>
      </c>
      <c r="AC623" t="s">
        <v>66</v>
      </c>
      <c r="AD623" t="s">
        <v>66</v>
      </c>
      <c r="AE623">
        <v>14</v>
      </c>
      <c r="AF623">
        <v>16</v>
      </c>
      <c r="AG623" t="s">
        <v>66</v>
      </c>
      <c r="AH623">
        <v>8</v>
      </c>
      <c r="AI623">
        <v>9</v>
      </c>
      <c r="AJ623" t="s">
        <v>66</v>
      </c>
      <c r="AK623">
        <v>6</v>
      </c>
      <c r="AL623">
        <v>8</v>
      </c>
      <c r="AM623">
        <v>7</v>
      </c>
      <c r="AN623">
        <v>8.5</v>
      </c>
      <c r="AO623">
        <v>21.428571430000002</v>
      </c>
      <c r="AP623">
        <v>14.28571429</v>
      </c>
      <c r="AQ623">
        <v>2</v>
      </c>
      <c r="AR623">
        <v>1.8823529409999999</v>
      </c>
      <c r="AS623">
        <v>-0.117647059</v>
      </c>
      <c r="AT623">
        <v>0</v>
      </c>
      <c r="AU623" t="s">
        <v>66</v>
      </c>
      <c r="AV623">
        <v>0</v>
      </c>
      <c r="AW623">
        <v>0</v>
      </c>
      <c r="AX623">
        <v>0</v>
      </c>
      <c r="AY623">
        <v>1</v>
      </c>
      <c r="AZ623">
        <v>1</v>
      </c>
      <c r="BA623">
        <v>1</v>
      </c>
      <c r="BB623" t="s">
        <v>66</v>
      </c>
      <c r="BC623" t="s">
        <v>66</v>
      </c>
      <c r="BD623" t="s">
        <v>66</v>
      </c>
      <c r="BE623" t="s">
        <v>66</v>
      </c>
      <c r="BF623">
        <v>0</v>
      </c>
      <c r="BG623" t="s">
        <v>66</v>
      </c>
      <c r="BH623" t="s">
        <v>66</v>
      </c>
      <c r="BI623">
        <v>78</v>
      </c>
      <c r="BJ623">
        <v>7.1</v>
      </c>
      <c r="BK623" t="s">
        <v>66</v>
      </c>
      <c r="BL623">
        <f>78-27</f>
        <v>51</v>
      </c>
      <c r="BM623">
        <v>19</v>
      </c>
      <c r="BN623">
        <v>10</v>
      </c>
      <c r="BO623">
        <f t="shared" si="98"/>
        <v>14.5</v>
      </c>
      <c r="BP623">
        <v>4</v>
      </c>
      <c r="BQ623">
        <v>1</v>
      </c>
      <c r="BS623">
        <v>0</v>
      </c>
      <c r="BT623">
        <f t="shared" si="99"/>
        <v>80.769230769230774</v>
      </c>
      <c r="BU623">
        <f t="shared" si="100"/>
        <v>71.830985915492946</v>
      </c>
      <c r="BV623">
        <f t="shared" si="101"/>
        <v>72.549019607843135</v>
      </c>
      <c r="BW623">
        <f t="shared" si="102"/>
        <v>51.724137931034484</v>
      </c>
    </row>
    <row r="624" spans="1:75" x14ac:dyDescent="0.2">
      <c r="A624" t="s">
        <v>213</v>
      </c>
      <c r="B624" t="s">
        <v>235</v>
      </c>
      <c r="C624" t="s">
        <v>106</v>
      </c>
      <c r="D624" t="s">
        <v>603</v>
      </c>
      <c r="E624" t="s">
        <v>634</v>
      </c>
      <c r="F624" t="s">
        <v>779</v>
      </c>
      <c r="G624">
        <v>8.65</v>
      </c>
      <c r="H624">
        <v>13.05</v>
      </c>
      <c r="I624">
        <v>14.95</v>
      </c>
      <c r="J624">
        <v>14.4</v>
      </c>
      <c r="K624">
        <v>51.05</v>
      </c>
      <c r="L624">
        <v>3.2369942200000001</v>
      </c>
      <c r="M624">
        <v>18</v>
      </c>
      <c r="N624">
        <v>20</v>
      </c>
      <c r="O624">
        <v>2</v>
      </c>
      <c r="P624">
        <v>24</v>
      </c>
      <c r="Q624">
        <v>6</v>
      </c>
      <c r="R624">
        <v>3</v>
      </c>
      <c r="S624">
        <v>53.1</v>
      </c>
      <c r="T624">
        <v>33.333333330000002</v>
      </c>
      <c r="U624">
        <v>20</v>
      </c>
      <c r="V624">
        <v>3</v>
      </c>
      <c r="W624">
        <v>3</v>
      </c>
      <c r="X624">
        <v>3</v>
      </c>
      <c r="Y624">
        <v>0</v>
      </c>
      <c r="Z624">
        <v>0</v>
      </c>
      <c r="AA624" t="s">
        <v>66</v>
      </c>
      <c r="AB624" t="s">
        <v>66</v>
      </c>
      <c r="AC624" t="s">
        <v>66</v>
      </c>
      <c r="AD624" t="s">
        <v>66</v>
      </c>
      <c r="AE624">
        <v>18</v>
      </c>
      <c r="AF624">
        <v>20</v>
      </c>
      <c r="AG624" t="s">
        <v>66</v>
      </c>
      <c r="AH624">
        <v>10</v>
      </c>
      <c r="AI624">
        <v>13</v>
      </c>
      <c r="AJ624" t="s">
        <v>66</v>
      </c>
      <c r="AK624">
        <v>7</v>
      </c>
      <c r="AL624">
        <v>10</v>
      </c>
      <c r="AM624">
        <v>8.5</v>
      </c>
      <c r="AN624">
        <v>11.5</v>
      </c>
      <c r="AO624">
        <v>35.294117649999997</v>
      </c>
      <c r="AP624">
        <v>11.11111111</v>
      </c>
      <c r="AQ624">
        <v>2.1176470589999998</v>
      </c>
      <c r="AR624">
        <v>1.7391304350000001</v>
      </c>
      <c r="AS624">
        <v>-0.37851662400000002</v>
      </c>
      <c r="AT624">
        <v>0</v>
      </c>
      <c r="AU624" t="s">
        <v>66</v>
      </c>
      <c r="AV624">
        <v>0</v>
      </c>
      <c r="AW624">
        <v>1</v>
      </c>
      <c r="AX624">
        <v>0</v>
      </c>
      <c r="AY624">
        <v>1</v>
      </c>
      <c r="AZ624">
        <v>1</v>
      </c>
      <c r="BA624">
        <v>1</v>
      </c>
      <c r="BB624" t="s">
        <v>66</v>
      </c>
      <c r="BC624" t="s">
        <v>66</v>
      </c>
      <c r="BD624" t="s">
        <v>66</v>
      </c>
      <c r="BE624" t="s">
        <v>66</v>
      </c>
      <c r="BF624">
        <v>0</v>
      </c>
      <c r="BG624" t="s">
        <v>66</v>
      </c>
      <c r="BH624" t="s">
        <v>66</v>
      </c>
      <c r="BI624">
        <v>27</v>
      </c>
      <c r="BJ624">
        <v>5.4</v>
      </c>
      <c r="BK624" t="s">
        <v>66</v>
      </c>
      <c r="BL624">
        <v>17</v>
      </c>
      <c r="BM624">
        <v>14</v>
      </c>
      <c r="BN624">
        <v>7</v>
      </c>
      <c r="BO624">
        <f t="shared" si="98"/>
        <v>10.5</v>
      </c>
      <c r="BP624">
        <v>3</v>
      </c>
      <c r="BQ624">
        <v>1</v>
      </c>
      <c r="BS624">
        <v>0</v>
      </c>
      <c r="BT624">
        <f t="shared" si="99"/>
        <v>33.333333333333329</v>
      </c>
      <c r="BU624">
        <f t="shared" si="100"/>
        <v>44.44444444444445</v>
      </c>
      <c r="BV624">
        <f t="shared" si="101"/>
        <v>-5.8823529411764701</v>
      </c>
      <c r="BW624">
        <f t="shared" si="102"/>
        <v>19.047619047619047</v>
      </c>
    </row>
    <row r="625" spans="1:75" x14ac:dyDescent="0.2">
      <c r="A625" t="s">
        <v>213</v>
      </c>
      <c r="B625" t="s">
        <v>235</v>
      </c>
      <c r="C625" t="s">
        <v>106</v>
      </c>
      <c r="D625" t="s">
        <v>603</v>
      </c>
      <c r="E625" t="s">
        <v>636</v>
      </c>
      <c r="F625" t="s">
        <v>780</v>
      </c>
      <c r="G625">
        <v>8.65</v>
      </c>
      <c r="H625">
        <v>13.05</v>
      </c>
      <c r="I625">
        <v>14.95</v>
      </c>
      <c r="J625">
        <v>14.4</v>
      </c>
      <c r="K625">
        <v>51.05</v>
      </c>
      <c r="L625">
        <v>3.2369942200000001</v>
      </c>
      <c r="M625">
        <v>30</v>
      </c>
      <c r="N625">
        <v>35</v>
      </c>
      <c r="O625">
        <v>5</v>
      </c>
      <c r="P625">
        <v>41</v>
      </c>
      <c r="Q625">
        <v>11</v>
      </c>
      <c r="R625">
        <v>5.5</v>
      </c>
      <c r="S625">
        <v>58.1</v>
      </c>
      <c r="T625">
        <v>36.666666669999998</v>
      </c>
      <c r="U625">
        <v>17.14285714</v>
      </c>
      <c r="V625">
        <v>4</v>
      </c>
      <c r="W625">
        <v>4</v>
      </c>
      <c r="X625">
        <v>6</v>
      </c>
      <c r="Y625">
        <v>2</v>
      </c>
      <c r="Z625">
        <v>50</v>
      </c>
      <c r="AA625" t="s">
        <v>66</v>
      </c>
      <c r="AB625" t="s">
        <v>66</v>
      </c>
      <c r="AC625" t="s">
        <v>66</v>
      </c>
      <c r="AD625" t="s">
        <v>66</v>
      </c>
      <c r="AE625">
        <v>29</v>
      </c>
      <c r="AF625">
        <v>33</v>
      </c>
      <c r="AG625" t="s">
        <v>66</v>
      </c>
      <c r="AH625">
        <v>18</v>
      </c>
      <c r="AI625">
        <v>18</v>
      </c>
      <c r="AJ625" t="s">
        <v>66</v>
      </c>
      <c r="AK625">
        <v>12</v>
      </c>
      <c r="AL625">
        <v>15</v>
      </c>
      <c r="AM625">
        <v>15</v>
      </c>
      <c r="AN625">
        <v>16.5</v>
      </c>
      <c r="AO625">
        <v>10</v>
      </c>
      <c r="AP625">
        <v>13.79310345</v>
      </c>
      <c r="AQ625">
        <v>1.933333333</v>
      </c>
      <c r="AR625">
        <v>2</v>
      </c>
      <c r="AS625">
        <v>6.6666666999999999E-2</v>
      </c>
      <c r="AT625">
        <v>0</v>
      </c>
      <c r="AU625" t="s">
        <v>66</v>
      </c>
      <c r="AV625">
        <v>0</v>
      </c>
      <c r="AW625">
        <v>0</v>
      </c>
      <c r="AX625">
        <v>0</v>
      </c>
      <c r="AY625">
        <v>1</v>
      </c>
      <c r="AZ625">
        <v>1</v>
      </c>
      <c r="BA625">
        <v>1</v>
      </c>
      <c r="BB625" t="s">
        <v>66</v>
      </c>
      <c r="BC625" t="s">
        <v>66</v>
      </c>
      <c r="BD625" t="s">
        <v>66</v>
      </c>
      <c r="BE625" t="s">
        <v>66</v>
      </c>
      <c r="BF625">
        <v>0</v>
      </c>
      <c r="BG625" t="s">
        <v>66</v>
      </c>
      <c r="BH625" t="s">
        <v>66</v>
      </c>
      <c r="BI625">
        <v>55</v>
      </c>
      <c r="BJ625">
        <v>6.1</v>
      </c>
      <c r="BK625" t="s">
        <v>66</v>
      </c>
      <c r="BL625">
        <v>48</v>
      </c>
      <c r="BM625">
        <v>25</v>
      </c>
      <c r="BN625">
        <v>10</v>
      </c>
      <c r="BO625">
        <f t="shared" si="98"/>
        <v>17.5</v>
      </c>
      <c r="BP625">
        <v>4</v>
      </c>
      <c r="BQ625">
        <v>1</v>
      </c>
      <c r="BS625">
        <v>0</v>
      </c>
      <c r="BT625">
        <f t="shared" si="99"/>
        <v>45.454545454545453</v>
      </c>
      <c r="BU625">
        <f t="shared" si="100"/>
        <v>34.426229508196712</v>
      </c>
      <c r="BV625">
        <f t="shared" si="101"/>
        <v>39.583333333333329</v>
      </c>
      <c r="BW625">
        <f t="shared" si="102"/>
        <v>14.285714285714285</v>
      </c>
    </row>
    <row r="626" spans="1:75" x14ac:dyDescent="0.2">
      <c r="A626" t="s">
        <v>213</v>
      </c>
      <c r="B626" t="s">
        <v>235</v>
      </c>
      <c r="C626" t="s">
        <v>106</v>
      </c>
      <c r="D626" t="s">
        <v>603</v>
      </c>
      <c r="E626" t="s">
        <v>638</v>
      </c>
      <c r="F626" t="s">
        <v>781</v>
      </c>
      <c r="G626">
        <v>8.65</v>
      </c>
      <c r="H626">
        <v>13.05</v>
      </c>
      <c r="I626">
        <v>14.95</v>
      </c>
      <c r="J626">
        <v>14.4</v>
      </c>
      <c r="K626">
        <v>51.05</v>
      </c>
      <c r="L626">
        <v>3.2369942200000001</v>
      </c>
      <c r="M626">
        <v>18</v>
      </c>
      <c r="N626">
        <v>23</v>
      </c>
      <c r="O626">
        <v>5</v>
      </c>
      <c r="P626">
        <v>27</v>
      </c>
      <c r="Q626">
        <v>9</v>
      </c>
      <c r="R626">
        <v>4.5</v>
      </c>
      <c r="S626">
        <v>56.1</v>
      </c>
      <c r="T626">
        <v>50</v>
      </c>
      <c r="U626">
        <v>17.391304349999999</v>
      </c>
      <c r="V626">
        <v>3</v>
      </c>
      <c r="W626">
        <v>4</v>
      </c>
      <c r="X626">
        <v>5</v>
      </c>
      <c r="Y626">
        <v>2</v>
      </c>
      <c r="Z626">
        <v>66.666666669999998</v>
      </c>
      <c r="AA626" t="s">
        <v>66</v>
      </c>
      <c r="AB626" t="s">
        <v>66</v>
      </c>
      <c r="AC626" t="s">
        <v>66</v>
      </c>
      <c r="AD626" t="s">
        <v>66</v>
      </c>
      <c r="AE626">
        <v>20</v>
      </c>
      <c r="AF626">
        <v>24</v>
      </c>
      <c r="AG626" t="s">
        <v>66</v>
      </c>
      <c r="AH626">
        <v>13</v>
      </c>
      <c r="AI626">
        <v>17</v>
      </c>
      <c r="AJ626" t="s">
        <v>66</v>
      </c>
      <c r="AK626">
        <v>8</v>
      </c>
      <c r="AL626">
        <v>11</v>
      </c>
      <c r="AM626">
        <v>10.5</v>
      </c>
      <c r="AN626">
        <v>14</v>
      </c>
      <c r="AO626">
        <v>33.333333330000002</v>
      </c>
      <c r="AP626">
        <v>20</v>
      </c>
      <c r="AQ626">
        <v>1.904761905</v>
      </c>
      <c r="AR626">
        <v>1.7142857140000001</v>
      </c>
      <c r="AS626">
        <v>-0.19047619099999999</v>
      </c>
      <c r="AT626">
        <v>0</v>
      </c>
      <c r="AU626" t="s">
        <v>66</v>
      </c>
      <c r="AV626">
        <v>0</v>
      </c>
      <c r="AW626">
        <v>0</v>
      </c>
      <c r="AX626">
        <v>0</v>
      </c>
      <c r="AY626">
        <v>1</v>
      </c>
      <c r="AZ626">
        <v>1</v>
      </c>
      <c r="BA626">
        <v>1</v>
      </c>
      <c r="BB626" t="s">
        <v>66</v>
      </c>
      <c r="BC626" t="s">
        <v>66</v>
      </c>
      <c r="BD626" t="s">
        <v>66</v>
      </c>
      <c r="BE626" t="s">
        <v>66</v>
      </c>
      <c r="BF626">
        <v>0</v>
      </c>
      <c r="BG626" t="s">
        <v>66</v>
      </c>
      <c r="BH626" t="s">
        <v>66</v>
      </c>
      <c r="BI626">
        <v>37</v>
      </c>
      <c r="BJ626">
        <v>4.8</v>
      </c>
      <c r="BK626" t="s">
        <v>66</v>
      </c>
      <c r="BL626">
        <v>34</v>
      </c>
      <c r="BM626">
        <v>21</v>
      </c>
      <c r="BN626">
        <v>8</v>
      </c>
      <c r="BO626">
        <f t="shared" si="98"/>
        <v>14.5</v>
      </c>
      <c r="BP626">
        <v>3</v>
      </c>
      <c r="BQ626">
        <v>1</v>
      </c>
      <c r="BS626">
        <v>0</v>
      </c>
      <c r="BT626">
        <f t="shared" si="99"/>
        <v>51.351351351351347</v>
      </c>
      <c r="BU626">
        <f t="shared" si="100"/>
        <v>37.5</v>
      </c>
      <c r="BV626">
        <f t="shared" si="101"/>
        <v>41.17647058823529</v>
      </c>
      <c r="BW626">
        <f t="shared" si="102"/>
        <v>27.586206896551722</v>
      </c>
    </row>
    <row r="627" spans="1:75" x14ac:dyDescent="0.2">
      <c r="A627" t="s">
        <v>213</v>
      </c>
      <c r="B627" t="s">
        <v>235</v>
      </c>
      <c r="C627" t="s">
        <v>106</v>
      </c>
      <c r="D627" t="s">
        <v>603</v>
      </c>
      <c r="E627" t="s">
        <v>642</v>
      </c>
      <c r="F627" t="s">
        <v>783</v>
      </c>
      <c r="G627">
        <v>8.65</v>
      </c>
      <c r="H627">
        <v>13.05</v>
      </c>
      <c r="I627">
        <v>14.95</v>
      </c>
      <c r="J627">
        <v>14.4</v>
      </c>
      <c r="K627">
        <v>51.05</v>
      </c>
      <c r="L627">
        <v>3.2369942200000001</v>
      </c>
      <c r="M627">
        <v>29</v>
      </c>
      <c r="N627">
        <v>38</v>
      </c>
      <c r="O627">
        <v>9</v>
      </c>
      <c r="P627">
        <v>52</v>
      </c>
      <c r="Q627">
        <v>23</v>
      </c>
      <c r="R627">
        <v>11.5</v>
      </c>
      <c r="S627">
        <v>70.099999999999994</v>
      </c>
      <c r="T627">
        <v>79.310344830000005</v>
      </c>
      <c r="U627">
        <v>36.842105259999997</v>
      </c>
      <c r="V627">
        <v>5</v>
      </c>
      <c r="W627">
        <v>6</v>
      </c>
      <c r="X627">
        <v>8</v>
      </c>
      <c r="Y627">
        <v>3</v>
      </c>
      <c r="Z627">
        <v>60</v>
      </c>
      <c r="AA627" t="s">
        <v>66</v>
      </c>
      <c r="AB627" t="s">
        <v>66</v>
      </c>
      <c r="AC627" t="s">
        <v>66</v>
      </c>
      <c r="AD627" t="s">
        <v>66</v>
      </c>
      <c r="AE627">
        <v>33</v>
      </c>
      <c r="AF627">
        <v>47</v>
      </c>
      <c r="AG627" t="s">
        <v>66</v>
      </c>
      <c r="AH627">
        <v>25</v>
      </c>
      <c r="AI627">
        <v>32</v>
      </c>
      <c r="AJ627" t="s">
        <v>66</v>
      </c>
      <c r="AK627">
        <v>20</v>
      </c>
      <c r="AL627">
        <v>27</v>
      </c>
      <c r="AM627">
        <v>22.5</v>
      </c>
      <c r="AN627">
        <v>29.5</v>
      </c>
      <c r="AO627">
        <v>31.11111111</v>
      </c>
      <c r="AP627">
        <v>42.424242419999999</v>
      </c>
      <c r="AQ627">
        <v>1.4666666669999999</v>
      </c>
      <c r="AR627">
        <v>1.5932203389999999</v>
      </c>
      <c r="AS627">
        <v>0.12655367200000001</v>
      </c>
      <c r="AT627">
        <v>0</v>
      </c>
      <c r="AU627" t="s">
        <v>66</v>
      </c>
      <c r="AV627">
        <v>0</v>
      </c>
      <c r="AW627">
        <v>0</v>
      </c>
      <c r="AX627">
        <v>0</v>
      </c>
      <c r="AY627">
        <v>1</v>
      </c>
      <c r="AZ627">
        <v>1</v>
      </c>
      <c r="BA627">
        <v>1</v>
      </c>
      <c r="BB627" t="s">
        <v>66</v>
      </c>
      <c r="BC627" t="s">
        <v>66</v>
      </c>
      <c r="BD627" t="s">
        <v>66</v>
      </c>
      <c r="BE627" t="s">
        <v>66</v>
      </c>
      <c r="BF627">
        <v>0</v>
      </c>
      <c r="BG627" t="s">
        <v>66</v>
      </c>
      <c r="BH627" t="s">
        <v>66</v>
      </c>
      <c r="BI627">
        <v>76</v>
      </c>
      <c r="BJ627">
        <v>10.1</v>
      </c>
      <c r="BK627" t="s">
        <v>66</v>
      </c>
      <c r="BL627">
        <v>70</v>
      </c>
      <c r="BM627">
        <v>47</v>
      </c>
      <c r="BN627">
        <v>22</v>
      </c>
      <c r="BO627">
        <f t="shared" si="98"/>
        <v>34.5</v>
      </c>
      <c r="BP627">
        <v>4</v>
      </c>
      <c r="BQ627">
        <v>1</v>
      </c>
      <c r="BS627">
        <v>0</v>
      </c>
      <c r="BT627">
        <f t="shared" si="99"/>
        <v>61.842105263157897</v>
      </c>
      <c r="BU627">
        <f t="shared" si="100"/>
        <v>50.495049504950494</v>
      </c>
      <c r="BV627">
        <f t="shared" si="101"/>
        <v>52.857142857142861</v>
      </c>
      <c r="BW627">
        <f t="shared" si="102"/>
        <v>34.782608695652172</v>
      </c>
    </row>
    <row r="628" spans="1:75" x14ac:dyDescent="0.2">
      <c r="A628" t="s">
        <v>213</v>
      </c>
      <c r="B628" t="s">
        <v>235</v>
      </c>
      <c r="C628" t="s">
        <v>106</v>
      </c>
      <c r="D628" t="s">
        <v>603</v>
      </c>
      <c r="E628" t="s">
        <v>612</v>
      </c>
      <c r="F628" t="s">
        <v>768</v>
      </c>
      <c r="G628">
        <v>8.65</v>
      </c>
      <c r="H628">
        <v>13.05</v>
      </c>
      <c r="I628">
        <v>14.95</v>
      </c>
      <c r="J628">
        <v>14.4</v>
      </c>
      <c r="K628">
        <v>51.05</v>
      </c>
      <c r="L628">
        <v>3.2369942200000001</v>
      </c>
      <c r="M628">
        <v>25</v>
      </c>
      <c r="N628">
        <v>36</v>
      </c>
      <c r="O628">
        <v>11</v>
      </c>
      <c r="P628">
        <v>43</v>
      </c>
      <c r="Q628">
        <v>18</v>
      </c>
      <c r="R628">
        <v>9</v>
      </c>
      <c r="S628">
        <v>65.099999999999994</v>
      </c>
      <c r="T628">
        <v>72</v>
      </c>
      <c r="U628">
        <v>19.444444440000002</v>
      </c>
      <c r="V628">
        <v>5</v>
      </c>
      <c r="W628">
        <v>5</v>
      </c>
      <c r="X628">
        <v>7</v>
      </c>
      <c r="Y628">
        <v>2</v>
      </c>
      <c r="Z628">
        <v>40</v>
      </c>
      <c r="AA628" t="s">
        <v>66</v>
      </c>
      <c r="AB628" t="s">
        <v>66</v>
      </c>
      <c r="AC628" t="s">
        <v>66</v>
      </c>
      <c r="AD628" t="s">
        <v>66</v>
      </c>
      <c r="AE628">
        <v>30</v>
      </c>
      <c r="AF628">
        <v>33</v>
      </c>
      <c r="AG628" t="s">
        <v>66</v>
      </c>
      <c r="AH628">
        <v>18</v>
      </c>
      <c r="AI628">
        <v>29</v>
      </c>
      <c r="AJ628" t="s">
        <v>66</v>
      </c>
      <c r="AK628">
        <v>7</v>
      </c>
      <c r="AL628">
        <v>23</v>
      </c>
      <c r="AM628">
        <v>12.5</v>
      </c>
      <c r="AN628">
        <v>26</v>
      </c>
      <c r="AO628">
        <v>108</v>
      </c>
      <c r="AP628">
        <v>10</v>
      </c>
      <c r="AQ628">
        <v>2.4</v>
      </c>
      <c r="AR628">
        <v>1.269230769</v>
      </c>
      <c r="AS628">
        <v>-1.1307692309999999</v>
      </c>
      <c r="AT628">
        <v>0</v>
      </c>
      <c r="AU628" t="s">
        <v>66</v>
      </c>
      <c r="AV628">
        <v>0</v>
      </c>
      <c r="AW628">
        <v>0</v>
      </c>
      <c r="AX628">
        <v>1</v>
      </c>
      <c r="AY628">
        <v>1</v>
      </c>
      <c r="AZ628">
        <v>1</v>
      </c>
      <c r="BA628">
        <v>1</v>
      </c>
      <c r="BB628" t="s">
        <v>66</v>
      </c>
      <c r="BC628" t="s">
        <v>66</v>
      </c>
      <c r="BD628" t="s">
        <v>66</v>
      </c>
      <c r="BE628" t="s">
        <v>66</v>
      </c>
      <c r="BF628">
        <v>0</v>
      </c>
      <c r="BG628" t="s">
        <v>66</v>
      </c>
      <c r="BH628" t="s">
        <v>66</v>
      </c>
      <c r="BI628">
        <v>40</v>
      </c>
      <c r="BJ628">
        <v>7.5</v>
      </c>
      <c r="BK628" t="s">
        <v>66</v>
      </c>
      <c r="BL628">
        <v>34</v>
      </c>
      <c r="BM628">
        <v>34</v>
      </c>
      <c r="BN628">
        <v>23</v>
      </c>
      <c r="BO628">
        <f t="shared" si="98"/>
        <v>28.5</v>
      </c>
      <c r="BP628">
        <v>4</v>
      </c>
      <c r="BQ628">
        <v>1</v>
      </c>
      <c r="BS628">
        <v>0</v>
      </c>
      <c r="BT628">
        <f t="shared" si="99"/>
        <v>37.5</v>
      </c>
      <c r="BU628">
        <f t="shared" si="100"/>
        <v>33.333333333333329</v>
      </c>
      <c r="BV628">
        <f t="shared" si="101"/>
        <v>11.76470588235294</v>
      </c>
      <c r="BW628">
        <f t="shared" si="102"/>
        <v>56.140350877192979</v>
      </c>
    </row>
    <row r="629" spans="1:75" x14ac:dyDescent="0.2">
      <c r="A629" t="s">
        <v>213</v>
      </c>
      <c r="B629" t="s">
        <v>235</v>
      </c>
      <c r="C629" t="s">
        <v>106</v>
      </c>
      <c r="D629" t="s">
        <v>603</v>
      </c>
      <c r="E629" t="s">
        <v>640</v>
      </c>
      <c r="F629" t="s">
        <v>782</v>
      </c>
      <c r="G629">
        <v>8.65</v>
      </c>
      <c r="H629">
        <v>13.05</v>
      </c>
      <c r="I629">
        <v>14.95</v>
      </c>
      <c r="J629">
        <v>14.4</v>
      </c>
      <c r="K629">
        <v>51.05</v>
      </c>
      <c r="L629">
        <v>3.2369942200000001</v>
      </c>
      <c r="M629">
        <v>42</v>
      </c>
      <c r="N629">
        <v>52</v>
      </c>
      <c r="O629">
        <v>10</v>
      </c>
      <c r="P629">
        <v>64</v>
      </c>
      <c r="Q629">
        <v>22</v>
      </c>
      <c r="R629">
        <v>11</v>
      </c>
      <c r="S629">
        <v>69.099999999999994</v>
      </c>
      <c r="T629">
        <v>52.380952379999997</v>
      </c>
      <c r="U629">
        <v>23.07692308</v>
      </c>
      <c r="V629">
        <v>5</v>
      </c>
      <c r="W629">
        <v>8</v>
      </c>
      <c r="X629">
        <v>9</v>
      </c>
      <c r="Y629">
        <v>4</v>
      </c>
      <c r="Z629">
        <v>80</v>
      </c>
      <c r="AA629" t="s">
        <v>66</v>
      </c>
      <c r="AB629" t="s">
        <v>66</v>
      </c>
      <c r="AC629" t="s">
        <v>66</v>
      </c>
      <c r="AD629" t="s">
        <v>66</v>
      </c>
      <c r="AE629">
        <v>43</v>
      </c>
      <c r="AF629">
        <v>53</v>
      </c>
      <c r="AG629" t="s">
        <v>66</v>
      </c>
      <c r="AH629">
        <v>39</v>
      </c>
      <c r="AI629">
        <v>46</v>
      </c>
      <c r="AJ629" t="s">
        <v>66</v>
      </c>
      <c r="AK629">
        <v>26</v>
      </c>
      <c r="AL629">
        <v>30</v>
      </c>
      <c r="AM629">
        <v>32.5</v>
      </c>
      <c r="AN629">
        <v>38</v>
      </c>
      <c r="AO629">
        <v>16.92307692</v>
      </c>
      <c r="AP629">
        <v>23.25581395</v>
      </c>
      <c r="AQ629">
        <v>1.3230769229999999</v>
      </c>
      <c r="AR629">
        <v>1.3947368419999999</v>
      </c>
      <c r="AS629">
        <v>7.1659919000000002E-2</v>
      </c>
      <c r="AT629">
        <v>0</v>
      </c>
      <c r="AU629" t="s">
        <v>66</v>
      </c>
      <c r="AV629">
        <v>0</v>
      </c>
      <c r="AW629">
        <v>0</v>
      </c>
      <c r="AX629">
        <v>1</v>
      </c>
      <c r="AY629">
        <v>1</v>
      </c>
      <c r="AZ629">
        <v>1</v>
      </c>
      <c r="BA629">
        <v>1</v>
      </c>
      <c r="BB629" t="s">
        <v>66</v>
      </c>
      <c r="BC629" t="s">
        <v>66</v>
      </c>
      <c r="BD629" t="s">
        <v>66</v>
      </c>
      <c r="BE629" t="s">
        <v>66</v>
      </c>
      <c r="BF629">
        <v>0</v>
      </c>
      <c r="BG629" t="s">
        <v>66</v>
      </c>
      <c r="BH629" t="s">
        <v>66</v>
      </c>
      <c r="BI629">
        <v>65</v>
      </c>
      <c r="BJ629">
        <v>11.9</v>
      </c>
      <c r="BK629" t="s">
        <v>66</v>
      </c>
      <c r="BL629">
        <v>54</v>
      </c>
      <c r="BM629">
        <v>52</v>
      </c>
      <c r="BN629">
        <v>12</v>
      </c>
      <c r="BO629">
        <f t="shared" si="98"/>
        <v>32</v>
      </c>
      <c r="BP629">
        <v>3</v>
      </c>
      <c r="BQ629">
        <v>1</v>
      </c>
      <c r="BS629">
        <v>0</v>
      </c>
      <c r="BT629">
        <f t="shared" si="99"/>
        <v>35.384615384615387</v>
      </c>
      <c r="BU629">
        <f t="shared" si="100"/>
        <v>57.983193277310932</v>
      </c>
      <c r="BV629">
        <f t="shared" si="101"/>
        <v>20.37037037037037</v>
      </c>
      <c r="BW629">
        <f t="shared" si="102"/>
        <v>-1.5625</v>
      </c>
    </row>
    <row r="630" spans="1:75" x14ac:dyDescent="0.2">
      <c r="A630" t="s">
        <v>256</v>
      </c>
      <c r="B630" t="s">
        <v>278</v>
      </c>
      <c r="C630" t="s">
        <v>106</v>
      </c>
      <c r="D630" t="s">
        <v>603</v>
      </c>
      <c r="E630" t="s">
        <v>604</v>
      </c>
      <c r="F630" t="s">
        <v>804</v>
      </c>
      <c r="G630">
        <v>7</v>
      </c>
      <c r="H630">
        <v>1.9</v>
      </c>
      <c r="I630">
        <v>0.85</v>
      </c>
      <c r="J630">
        <v>1.1000000000000001</v>
      </c>
      <c r="K630">
        <v>10.85</v>
      </c>
      <c r="L630">
        <v>0.39285714300000002</v>
      </c>
      <c r="M630">
        <v>25</v>
      </c>
      <c r="N630">
        <v>26</v>
      </c>
      <c r="O630">
        <v>1</v>
      </c>
      <c r="P630">
        <v>27</v>
      </c>
      <c r="Q630">
        <v>2</v>
      </c>
      <c r="R630">
        <v>1</v>
      </c>
      <c r="S630">
        <v>49.1</v>
      </c>
      <c r="T630">
        <v>8</v>
      </c>
      <c r="U630">
        <v>3.846153846</v>
      </c>
      <c r="V630">
        <v>4</v>
      </c>
      <c r="W630">
        <v>4</v>
      </c>
      <c r="X630">
        <v>5</v>
      </c>
      <c r="Y630">
        <v>1</v>
      </c>
      <c r="Z630">
        <v>25</v>
      </c>
      <c r="AA630" t="s">
        <v>66</v>
      </c>
      <c r="AB630" t="s">
        <v>66</v>
      </c>
      <c r="AC630" t="s">
        <v>66</v>
      </c>
      <c r="AD630" t="s">
        <v>66</v>
      </c>
      <c r="AE630">
        <v>21</v>
      </c>
      <c r="AF630">
        <v>22</v>
      </c>
      <c r="AG630" t="s">
        <v>66</v>
      </c>
      <c r="AH630">
        <v>12</v>
      </c>
      <c r="AI630">
        <v>14</v>
      </c>
      <c r="AJ630" t="s">
        <v>66</v>
      </c>
      <c r="AK630">
        <v>7</v>
      </c>
      <c r="AL630">
        <v>9</v>
      </c>
      <c r="AM630">
        <v>9.5</v>
      </c>
      <c r="AN630">
        <v>11.5</v>
      </c>
      <c r="AO630">
        <v>21.05263158</v>
      </c>
      <c r="AP630">
        <v>4.7619047620000003</v>
      </c>
      <c r="AQ630">
        <v>2.2105263160000002</v>
      </c>
      <c r="AR630">
        <v>1.9130434780000001</v>
      </c>
      <c r="AS630">
        <v>-0.29748283800000003</v>
      </c>
      <c r="AT630">
        <v>0</v>
      </c>
      <c r="AU630" t="s">
        <v>66</v>
      </c>
      <c r="AV630">
        <v>0</v>
      </c>
      <c r="AW630">
        <v>0</v>
      </c>
      <c r="AX630">
        <v>0</v>
      </c>
      <c r="AY630">
        <v>1</v>
      </c>
      <c r="AZ630">
        <v>1</v>
      </c>
      <c r="BA630">
        <v>1</v>
      </c>
      <c r="BB630" t="s">
        <v>66</v>
      </c>
      <c r="BC630" t="s">
        <v>66</v>
      </c>
      <c r="BD630" t="s">
        <v>66</v>
      </c>
      <c r="BE630" t="s">
        <v>66</v>
      </c>
      <c r="BF630">
        <v>0</v>
      </c>
      <c r="BG630" t="s">
        <v>66</v>
      </c>
      <c r="BH630" t="s">
        <v>66</v>
      </c>
      <c r="BI630">
        <v>31</v>
      </c>
      <c r="BJ630">
        <v>6</v>
      </c>
      <c r="BK630" t="s">
        <v>66</v>
      </c>
      <c r="BL630">
        <v>23</v>
      </c>
      <c r="BM630">
        <v>13</v>
      </c>
      <c r="BN630">
        <v>9</v>
      </c>
      <c r="BO630">
        <f t="shared" si="98"/>
        <v>11</v>
      </c>
      <c r="BP630">
        <v>4</v>
      </c>
      <c r="BQ630">
        <v>1</v>
      </c>
      <c r="BS630">
        <v>0</v>
      </c>
      <c r="BT630">
        <f t="shared" si="99"/>
        <v>19.35483870967742</v>
      </c>
      <c r="BU630">
        <f t="shared" si="100"/>
        <v>33.333333333333329</v>
      </c>
      <c r="BV630">
        <f t="shared" si="101"/>
        <v>8.695652173913043</v>
      </c>
      <c r="BW630">
        <f t="shared" si="102"/>
        <v>13.636363636363635</v>
      </c>
    </row>
    <row r="631" spans="1:75" x14ac:dyDescent="0.2">
      <c r="A631" t="s">
        <v>256</v>
      </c>
      <c r="B631" t="s">
        <v>278</v>
      </c>
      <c r="C631" t="s">
        <v>106</v>
      </c>
      <c r="D631" t="s">
        <v>603</v>
      </c>
      <c r="E631" t="s">
        <v>606</v>
      </c>
      <c r="F631" t="s">
        <v>805</v>
      </c>
      <c r="G631">
        <v>7</v>
      </c>
      <c r="H631">
        <v>1.9</v>
      </c>
      <c r="I631">
        <v>0.85</v>
      </c>
      <c r="J631">
        <v>1.1000000000000001</v>
      </c>
      <c r="K631">
        <v>10.85</v>
      </c>
      <c r="L631">
        <v>0.39285714300000002</v>
      </c>
      <c r="M631">
        <v>40</v>
      </c>
      <c r="N631">
        <v>37</v>
      </c>
      <c r="O631">
        <v>-3</v>
      </c>
      <c r="P631">
        <v>42</v>
      </c>
      <c r="Q631">
        <v>2</v>
      </c>
      <c r="R631">
        <v>1</v>
      </c>
      <c r="S631">
        <v>49.1</v>
      </c>
      <c r="T631">
        <v>5</v>
      </c>
      <c r="U631">
        <v>13.513513509999999</v>
      </c>
      <c r="V631">
        <v>6</v>
      </c>
      <c r="W631">
        <v>7</v>
      </c>
      <c r="X631">
        <v>9</v>
      </c>
      <c r="Y631">
        <v>3</v>
      </c>
      <c r="Z631">
        <v>50</v>
      </c>
      <c r="AA631" t="s">
        <v>66</v>
      </c>
      <c r="AB631" t="s">
        <v>66</v>
      </c>
      <c r="AC631" t="s">
        <v>66</v>
      </c>
      <c r="AD631" t="s">
        <v>66</v>
      </c>
      <c r="AE631">
        <v>33</v>
      </c>
      <c r="AF631">
        <v>36</v>
      </c>
      <c r="AG631" t="s">
        <v>66</v>
      </c>
      <c r="AH631">
        <v>20</v>
      </c>
      <c r="AI631">
        <v>20</v>
      </c>
      <c r="AJ631" t="s">
        <v>66</v>
      </c>
      <c r="AK631">
        <v>14</v>
      </c>
      <c r="AL631">
        <v>16</v>
      </c>
      <c r="AM631">
        <v>17</v>
      </c>
      <c r="AN631">
        <v>18</v>
      </c>
      <c r="AO631">
        <v>5.8823529409999997</v>
      </c>
      <c r="AP631">
        <v>9.0909090910000003</v>
      </c>
      <c r="AQ631">
        <v>1.9411764709999999</v>
      </c>
      <c r="AR631">
        <v>2</v>
      </c>
      <c r="AS631">
        <v>5.8823528999999999E-2</v>
      </c>
      <c r="AT631">
        <v>0</v>
      </c>
      <c r="AU631" t="s">
        <v>66</v>
      </c>
      <c r="AV631">
        <v>0</v>
      </c>
      <c r="AW631">
        <v>0</v>
      </c>
      <c r="AX631">
        <v>0</v>
      </c>
      <c r="AY631">
        <v>1</v>
      </c>
      <c r="AZ631">
        <v>1</v>
      </c>
      <c r="BA631">
        <v>1</v>
      </c>
      <c r="BB631" t="s">
        <v>66</v>
      </c>
      <c r="BC631" t="s">
        <v>66</v>
      </c>
      <c r="BD631" t="s">
        <v>66</v>
      </c>
      <c r="BE631" t="s">
        <v>66</v>
      </c>
      <c r="BF631">
        <v>0</v>
      </c>
      <c r="BG631" t="s">
        <v>66</v>
      </c>
      <c r="BH631" t="s">
        <v>66</v>
      </c>
      <c r="BI631">
        <v>49</v>
      </c>
      <c r="BJ631">
        <v>7.5</v>
      </c>
      <c r="BK631" t="s">
        <v>66</v>
      </c>
      <c r="BL631">
        <v>42</v>
      </c>
      <c r="BM631">
        <v>32</v>
      </c>
      <c r="BN631">
        <v>26</v>
      </c>
      <c r="BO631">
        <f t="shared" si="98"/>
        <v>29</v>
      </c>
      <c r="BP631">
        <v>4</v>
      </c>
      <c r="BQ631">
        <v>1</v>
      </c>
      <c r="BS631">
        <v>0</v>
      </c>
      <c r="BT631">
        <f t="shared" si="99"/>
        <v>18.367346938775512</v>
      </c>
      <c r="BU631">
        <f t="shared" si="100"/>
        <v>20</v>
      </c>
      <c r="BV631">
        <f t="shared" si="101"/>
        <v>21.428571428571427</v>
      </c>
      <c r="BW631">
        <f t="shared" si="102"/>
        <v>41.379310344827587</v>
      </c>
    </row>
    <row r="632" spans="1:75" x14ac:dyDescent="0.2">
      <c r="A632" t="s">
        <v>256</v>
      </c>
      <c r="B632" t="s">
        <v>278</v>
      </c>
      <c r="C632" t="s">
        <v>106</v>
      </c>
      <c r="D632" t="s">
        <v>603</v>
      </c>
      <c r="E632" t="s">
        <v>608</v>
      </c>
      <c r="F632" t="s">
        <v>806</v>
      </c>
      <c r="G632">
        <v>7</v>
      </c>
      <c r="H632">
        <v>1.9</v>
      </c>
      <c r="I632">
        <v>0.85</v>
      </c>
      <c r="J632">
        <v>1.1000000000000001</v>
      </c>
      <c r="K632">
        <v>10.85</v>
      </c>
      <c r="L632">
        <v>0.39285714300000002</v>
      </c>
      <c r="M632">
        <v>30</v>
      </c>
      <c r="N632">
        <v>32</v>
      </c>
      <c r="O632">
        <v>2</v>
      </c>
      <c r="P632">
        <v>31</v>
      </c>
      <c r="Q632">
        <v>1</v>
      </c>
      <c r="R632">
        <v>0.5</v>
      </c>
      <c r="S632">
        <v>48.1</v>
      </c>
      <c r="T632">
        <v>3.3333333330000001</v>
      </c>
      <c r="U632">
        <v>-3.125</v>
      </c>
      <c r="V632">
        <v>4</v>
      </c>
      <c r="W632">
        <v>5</v>
      </c>
      <c r="X632">
        <v>5</v>
      </c>
      <c r="Y632">
        <v>1</v>
      </c>
      <c r="Z632">
        <v>25</v>
      </c>
      <c r="AA632" t="s">
        <v>66</v>
      </c>
      <c r="AB632" t="s">
        <v>66</v>
      </c>
      <c r="AC632" t="s">
        <v>66</v>
      </c>
      <c r="AD632" t="s">
        <v>66</v>
      </c>
      <c r="AE632">
        <v>23</v>
      </c>
      <c r="AF632">
        <v>24</v>
      </c>
      <c r="AG632" t="s">
        <v>66</v>
      </c>
      <c r="AH632">
        <v>15</v>
      </c>
      <c r="AI632">
        <v>15</v>
      </c>
      <c r="AJ632" t="s">
        <v>66</v>
      </c>
      <c r="AK632">
        <v>11</v>
      </c>
      <c r="AL632">
        <v>10</v>
      </c>
      <c r="AM632">
        <v>13</v>
      </c>
      <c r="AN632">
        <v>12.5</v>
      </c>
      <c r="AO632">
        <v>-3.846153846</v>
      </c>
      <c r="AP632">
        <v>4.3478260869999996</v>
      </c>
      <c r="AQ632">
        <v>1.769230769</v>
      </c>
      <c r="AR632">
        <v>1.92</v>
      </c>
      <c r="AS632">
        <v>0.150769231</v>
      </c>
      <c r="AT632">
        <v>0</v>
      </c>
      <c r="AU632" t="s">
        <v>66</v>
      </c>
      <c r="AV632">
        <v>0</v>
      </c>
      <c r="AW632">
        <v>2</v>
      </c>
      <c r="AX632">
        <v>0</v>
      </c>
      <c r="AY632">
        <v>1</v>
      </c>
      <c r="AZ632">
        <v>1</v>
      </c>
      <c r="BA632">
        <v>1</v>
      </c>
      <c r="BB632" t="s">
        <v>66</v>
      </c>
      <c r="BC632" t="s">
        <v>66</v>
      </c>
      <c r="BD632" t="s">
        <v>66</v>
      </c>
      <c r="BE632" t="s">
        <v>66</v>
      </c>
      <c r="BF632">
        <v>0</v>
      </c>
      <c r="BG632" t="s">
        <v>66</v>
      </c>
      <c r="BH632" t="s">
        <v>66</v>
      </c>
      <c r="BI632">
        <v>33</v>
      </c>
      <c r="BJ632">
        <v>6.7</v>
      </c>
      <c r="BK632" t="s">
        <v>66</v>
      </c>
      <c r="BL632">
        <v>25</v>
      </c>
      <c r="BM632">
        <v>15</v>
      </c>
      <c r="BN632">
        <v>7</v>
      </c>
      <c r="BO632">
        <f t="shared" si="98"/>
        <v>11</v>
      </c>
      <c r="BP632">
        <v>3</v>
      </c>
      <c r="BQ632">
        <v>1</v>
      </c>
      <c r="BS632">
        <v>0</v>
      </c>
      <c r="BT632">
        <f t="shared" si="99"/>
        <v>9.0909090909090917</v>
      </c>
      <c r="BU632">
        <f t="shared" si="100"/>
        <v>40.298507462686565</v>
      </c>
      <c r="BV632">
        <f t="shared" si="101"/>
        <v>8</v>
      </c>
      <c r="BW632">
        <f t="shared" si="102"/>
        <v>-18.181818181818183</v>
      </c>
    </row>
    <row r="633" spans="1:75" x14ac:dyDescent="0.2">
      <c r="A633" t="s">
        <v>256</v>
      </c>
      <c r="B633" t="s">
        <v>278</v>
      </c>
      <c r="C633" t="s">
        <v>106</v>
      </c>
      <c r="D633" t="s">
        <v>603</v>
      </c>
      <c r="E633" t="s">
        <v>610</v>
      </c>
      <c r="F633" t="s">
        <v>807</v>
      </c>
      <c r="G633">
        <v>7</v>
      </c>
      <c r="H633">
        <v>1.9</v>
      </c>
      <c r="I633">
        <v>0.85</v>
      </c>
      <c r="J633">
        <v>1.1000000000000001</v>
      </c>
      <c r="K633">
        <v>10.85</v>
      </c>
      <c r="L633">
        <v>0.39285714300000002</v>
      </c>
      <c r="M633">
        <v>29</v>
      </c>
      <c r="N633">
        <v>35</v>
      </c>
      <c r="O633">
        <v>6</v>
      </c>
      <c r="P633">
        <v>34</v>
      </c>
      <c r="Q633">
        <v>5</v>
      </c>
      <c r="R633">
        <v>2.5</v>
      </c>
      <c r="S633">
        <v>52.1</v>
      </c>
      <c r="T633">
        <v>17.241379309999999</v>
      </c>
      <c r="U633">
        <v>-2.8571428569999999</v>
      </c>
      <c r="V633">
        <v>4</v>
      </c>
      <c r="W633">
        <v>5</v>
      </c>
      <c r="X633">
        <v>5</v>
      </c>
      <c r="Y633">
        <v>1</v>
      </c>
      <c r="Z633">
        <v>25</v>
      </c>
      <c r="AA633" t="s">
        <v>66</v>
      </c>
      <c r="AB633" t="s">
        <v>66</v>
      </c>
      <c r="AC633" t="s">
        <v>66</v>
      </c>
      <c r="AD633" t="s">
        <v>66</v>
      </c>
      <c r="AE633">
        <v>28</v>
      </c>
      <c r="AF633">
        <v>26</v>
      </c>
      <c r="AG633" t="s">
        <v>66</v>
      </c>
      <c r="AH633">
        <v>13</v>
      </c>
      <c r="AI633">
        <v>15</v>
      </c>
      <c r="AJ633" t="s">
        <v>66</v>
      </c>
      <c r="AK633">
        <v>10</v>
      </c>
      <c r="AL633">
        <v>12</v>
      </c>
      <c r="AM633">
        <v>11.5</v>
      </c>
      <c r="AN633">
        <v>13.5</v>
      </c>
      <c r="AO633">
        <v>17.391304349999999</v>
      </c>
      <c r="AP633">
        <v>-7.1428571429999996</v>
      </c>
      <c r="AQ633">
        <v>2.434782609</v>
      </c>
      <c r="AR633">
        <v>1.9259259259999999</v>
      </c>
      <c r="AS633">
        <v>-0.50885668299999998</v>
      </c>
      <c r="AT633">
        <v>0</v>
      </c>
      <c r="AU633" t="s">
        <v>66</v>
      </c>
      <c r="AV633">
        <v>0</v>
      </c>
      <c r="AW633">
        <v>0</v>
      </c>
      <c r="AX633">
        <v>0</v>
      </c>
      <c r="AY633">
        <v>1</v>
      </c>
      <c r="AZ633">
        <v>1</v>
      </c>
      <c r="BA633">
        <v>1</v>
      </c>
      <c r="BB633" t="s">
        <v>66</v>
      </c>
      <c r="BC633" t="s">
        <v>66</v>
      </c>
      <c r="BD633" t="s">
        <v>66</v>
      </c>
      <c r="BE633" t="s">
        <v>66</v>
      </c>
      <c r="BF633">
        <v>0</v>
      </c>
      <c r="BG633" t="s">
        <v>66</v>
      </c>
      <c r="BH633" t="s">
        <v>66</v>
      </c>
      <c r="BI633">
        <v>33</v>
      </c>
      <c r="BJ633">
        <v>6.2</v>
      </c>
      <c r="BK633" t="s">
        <v>66</v>
      </c>
      <c r="BL633">
        <v>24</v>
      </c>
      <c r="BM633">
        <v>14</v>
      </c>
      <c r="BN633">
        <v>6</v>
      </c>
      <c r="BO633">
        <f t="shared" si="98"/>
        <v>10</v>
      </c>
      <c r="BP633">
        <v>3</v>
      </c>
      <c r="BQ633">
        <v>1</v>
      </c>
      <c r="BS633">
        <v>0</v>
      </c>
      <c r="BT633">
        <f t="shared" si="99"/>
        <v>12.121212121212121</v>
      </c>
      <c r="BU633">
        <f t="shared" si="100"/>
        <v>35.483870967741936</v>
      </c>
      <c r="BV633">
        <f t="shared" si="101"/>
        <v>-16.666666666666664</v>
      </c>
      <c r="BW633">
        <f t="shared" si="102"/>
        <v>-15</v>
      </c>
    </row>
    <row r="634" spans="1:75" x14ac:dyDescent="0.2">
      <c r="A634" t="s">
        <v>256</v>
      </c>
      <c r="B634" t="s">
        <v>278</v>
      </c>
      <c r="C634" t="s">
        <v>106</v>
      </c>
      <c r="D634" t="s">
        <v>603</v>
      </c>
      <c r="E634" t="s">
        <v>612</v>
      </c>
      <c r="F634" t="s">
        <v>808</v>
      </c>
      <c r="G634">
        <v>7</v>
      </c>
      <c r="H634">
        <v>1.9</v>
      </c>
      <c r="I634">
        <v>0.85</v>
      </c>
      <c r="J634">
        <v>1.1000000000000001</v>
      </c>
      <c r="K634">
        <v>10.85</v>
      </c>
      <c r="L634">
        <v>0.39285714300000002</v>
      </c>
      <c r="M634">
        <v>53</v>
      </c>
      <c r="N634">
        <v>56</v>
      </c>
      <c r="O634">
        <v>3</v>
      </c>
      <c r="P634">
        <v>57</v>
      </c>
      <c r="Q634">
        <v>4</v>
      </c>
      <c r="R634">
        <v>2</v>
      </c>
      <c r="S634">
        <v>51.1</v>
      </c>
      <c r="T634">
        <v>7.5471698109999998</v>
      </c>
      <c r="U634">
        <v>1.7857142859999999</v>
      </c>
      <c r="V634">
        <v>7</v>
      </c>
      <c r="W634">
        <v>7</v>
      </c>
      <c r="X634">
        <v>9</v>
      </c>
      <c r="Y634">
        <v>2</v>
      </c>
      <c r="Z634">
        <v>28.571428569999998</v>
      </c>
      <c r="AA634" t="s">
        <v>66</v>
      </c>
      <c r="AB634" t="s">
        <v>66</v>
      </c>
      <c r="AC634" t="s">
        <v>66</v>
      </c>
      <c r="AD634" t="s">
        <v>66</v>
      </c>
      <c r="AE634">
        <v>51</v>
      </c>
      <c r="AF634">
        <v>54</v>
      </c>
      <c r="AG634" t="s">
        <v>66</v>
      </c>
      <c r="AH634">
        <v>34</v>
      </c>
      <c r="AI634">
        <v>36</v>
      </c>
      <c r="AJ634" t="s">
        <v>66</v>
      </c>
      <c r="AK634">
        <v>19</v>
      </c>
      <c r="AL634">
        <v>27</v>
      </c>
      <c r="AM634">
        <v>26.5</v>
      </c>
      <c r="AN634">
        <v>31.5</v>
      </c>
      <c r="AO634">
        <v>18.86792453</v>
      </c>
      <c r="AP634">
        <v>5.8823529409999997</v>
      </c>
      <c r="AQ634">
        <v>1.9245283019999999</v>
      </c>
      <c r="AR634">
        <v>1.7142857140000001</v>
      </c>
      <c r="AS634">
        <v>-0.21024258800000001</v>
      </c>
      <c r="AT634">
        <v>0</v>
      </c>
      <c r="AU634" t="s">
        <v>66</v>
      </c>
      <c r="AV634">
        <v>0</v>
      </c>
      <c r="AW634">
        <v>0</v>
      </c>
      <c r="AX634">
        <v>0</v>
      </c>
      <c r="AY634">
        <v>1</v>
      </c>
      <c r="AZ634">
        <v>1</v>
      </c>
      <c r="BA634">
        <v>1</v>
      </c>
      <c r="BB634" t="s">
        <v>66</v>
      </c>
      <c r="BC634" t="s">
        <v>66</v>
      </c>
      <c r="BD634" t="s">
        <v>66</v>
      </c>
      <c r="BE634" t="s">
        <v>66</v>
      </c>
      <c r="BF634">
        <v>0</v>
      </c>
      <c r="BG634" t="s">
        <v>66</v>
      </c>
      <c r="BH634" t="s">
        <v>66</v>
      </c>
      <c r="BI634">
        <v>61</v>
      </c>
      <c r="BJ634">
        <v>10.4</v>
      </c>
      <c r="BK634" t="s">
        <v>66</v>
      </c>
      <c r="BL634">
        <v>57</v>
      </c>
      <c r="BM634">
        <v>47</v>
      </c>
      <c r="BN634">
        <v>30</v>
      </c>
      <c r="BO634">
        <f t="shared" si="98"/>
        <v>38.5</v>
      </c>
      <c r="BP634">
        <v>4</v>
      </c>
      <c r="BQ634">
        <v>1</v>
      </c>
      <c r="BS634">
        <v>0</v>
      </c>
      <c r="BT634">
        <f t="shared" si="99"/>
        <v>13.114754098360656</v>
      </c>
      <c r="BU634">
        <f t="shared" si="100"/>
        <v>32.692307692307693</v>
      </c>
      <c r="BV634">
        <f t="shared" si="101"/>
        <v>10.526315789473683</v>
      </c>
      <c r="BW634">
        <f t="shared" si="102"/>
        <v>31.168831168831169</v>
      </c>
    </row>
    <row r="635" spans="1:75" x14ac:dyDescent="0.2">
      <c r="A635" t="s">
        <v>256</v>
      </c>
      <c r="B635" t="s">
        <v>278</v>
      </c>
      <c r="C635" t="s">
        <v>106</v>
      </c>
      <c r="D635" t="s">
        <v>603</v>
      </c>
      <c r="E635" t="s">
        <v>614</v>
      </c>
      <c r="F635" t="s">
        <v>809</v>
      </c>
      <c r="G635">
        <v>7</v>
      </c>
      <c r="H635">
        <v>1.9</v>
      </c>
      <c r="I635">
        <v>0.85</v>
      </c>
      <c r="J635">
        <v>1.1000000000000001</v>
      </c>
      <c r="K635">
        <v>10.85</v>
      </c>
      <c r="L635">
        <v>0.39285714300000002</v>
      </c>
      <c r="M635">
        <v>49</v>
      </c>
      <c r="N635">
        <v>52</v>
      </c>
      <c r="O635">
        <v>3</v>
      </c>
      <c r="P635">
        <v>55</v>
      </c>
      <c r="Q635">
        <v>6</v>
      </c>
      <c r="R635">
        <v>3</v>
      </c>
      <c r="S635">
        <v>53.1</v>
      </c>
      <c r="T635">
        <v>12.244897959999999</v>
      </c>
      <c r="U635">
        <v>5.769230769</v>
      </c>
      <c r="V635">
        <v>6</v>
      </c>
      <c r="W635">
        <v>7</v>
      </c>
      <c r="X635">
        <v>8</v>
      </c>
      <c r="Y635">
        <v>2</v>
      </c>
      <c r="Z635">
        <v>33.333333330000002</v>
      </c>
      <c r="AA635" t="s">
        <v>66</v>
      </c>
      <c r="AB635" t="s">
        <v>66</v>
      </c>
      <c r="AC635" t="s">
        <v>66</v>
      </c>
      <c r="AD635" t="s">
        <v>66</v>
      </c>
      <c r="AE635">
        <v>42</v>
      </c>
      <c r="AF635">
        <v>47</v>
      </c>
      <c r="AG635" t="s">
        <v>66</v>
      </c>
      <c r="AH635">
        <v>31</v>
      </c>
      <c r="AI635">
        <v>28</v>
      </c>
      <c r="AJ635" t="s">
        <v>66</v>
      </c>
      <c r="AK635">
        <v>18</v>
      </c>
      <c r="AL635">
        <v>20</v>
      </c>
      <c r="AM635">
        <v>24.5</v>
      </c>
      <c r="AN635">
        <v>24</v>
      </c>
      <c r="AO635">
        <v>-2.0408163269999999</v>
      </c>
      <c r="AP635">
        <v>11.9047619</v>
      </c>
      <c r="AQ635">
        <v>1.7142857140000001</v>
      </c>
      <c r="AR635">
        <v>1.9583333329999999</v>
      </c>
      <c r="AS635">
        <v>0.24404761899999999</v>
      </c>
      <c r="AT635">
        <v>0</v>
      </c>
      <c r="AU635" t="s">
        <v>66</v>
      </c>
      <c r="AV635">
        <v>0</v>
      </c>
      <c r="AW635">
        <v>0</v>
      </c>
      <c r="AX635">
        <v>0</v>
      </c>
      <c r="AY635">
        <v>1</v>
      </c>
      <c r="AZ635">
        <v>1</v>
      </c>
      <c r="BA635">
        <v>1</v>
      </c>
      <c r="BB635" t="s">
        <v>66</v>
      </c>
      <c r="BC635" t="s">
        <v>66</v>
      </c>
      <c r="BD635" t="s">
        <v>66</v>
      </c>
      <c r="BE635" t="s">
        <v>66</v>
      </c>
      <c r="BF635">
        <v>0</v>
      </c>
      <c r="BG635" t="s">
        <v>66</v>
      </c>
      <c r="BH635" t="s">
        <v>66</v>
      </c>
      <c r="BI635">
        <v>58</v>
      </c>
      <c r="BJ635">
        <v>11.2</v>
      </c>
      <c r="BK635" t="s">
        <v>66</v>
      </c>
      <c r="BL635">
        <f>58-15</f>
        <v>43</v>
      </c>
      <c r="BM635">
        <v>25</v>
      </c>
      <c r="BN635">
        <v>14</v>
      </c>
      <c r="BO635">
        <f t="shared" si="98"/>
        <v>19.5</v>
      </c>
      <c r="BP635">
        <v>4</v>
      </c>
      <c r="BQ635">
        <v>1</v>
      </c>
      <c r="BS635">
        <v>0</v>
      </c>
      <c r="BT635">
        <f t="shared" si="99"/>
        <v>15.517241379310345</v>
      </c>
      <c r="BU635">
        <f t="shared" si="100"/>
        <v>46.428571428571423</v>
      </c>
      <c r="BV635">
        <f t="shared" si="101"/>
        <v>2.3255813953488373</v>
      </c>
      <c r="BW635">
        <f t="shared" si="102"/>
        <v>-25.641025641025639</v>
      </c>
    </row>
    <row r="636" spans="1:75" x14ac:dyDescent="0.2">
      <c r="A636" t="s">
        <v>256</v>
      </c>
      <c r="B636" t="s">
        <v>278</v>
      </c>
      <c r="C636" t="s">
        <v>106</v>
      </c>
      <c r="D636" t="s">
        <v>603</v>
      </c>
      <c r="E636" t="s">
        <v>616</v>
      </c>
      <c r="F636" t="s">
        <v>810</v>
      </c>
      <c r="G636">
        <v>7</v>
      </c>
      <c r="H636">
        <v>1.9</v>
      </c>
      <c r="I636">
        <v>0.85</v>
      </c>
      <c r="J636">
        <v>1.1000000000000001</v>
      </c>
      <c r="K636">
        <v>10.85</v>
      </c>
      <c r="L636">
        <v>0.39285714300000002</v>
      </c>
      <c r="M636">
        <v>30</v>
      </c>
      <c r="N636">
        <v>31</v>
      </c>
      <c r="O636">
        <v>1</v>
      </c>
      <c r="P636">
        <v>32</v>
      </c>
      <c r="Q636">
        <v>2</v>
      </c>
      <c r="R636">
        <v>1</v>
      </c>
      <c r="S636">
        <v>49.1</v>
      </c>
      <c r="T636">
        <v>6.6666666670000003</v>
      </c>
      <c r="U636">
        <v>3.225806452</v>
      </c>
      <c r="V636">
        <v>5</v>
      </c>
      <c r="W636">
        <v>5</v>
      </c>
      <c r="X636">
        <v>6</v>
      </c>
      <c r="Y636">
        <v>1</v>
      </c>
      <c r="Z636">
        <v>20</v>
      </c>
      <c r="AA636" t="s">
        <v>66</v>
      </c>
      <c r="AB636" t="s">
        <v>66</v>
      </c>
      <c r="AC636" t="s">
        <v>66</v>
      </c>
      <c r="AD636" t="s">
        <v>66</v>
      </c>
      <c r="AE636">
        <v>24</v>
      </c>
      <c r="AF636">
        <v>26</v>
      </c>
      <c r="AG636" t="s">
        <v>66</v>
      </c>
      <c r="AH636">
        <v>13</v>
      </c>
      <c r="AI636">
        <v>14</v>
      </c>
      <c r="AJ636" t="s">
        <v>66</v>
      </c>
      <c r="AK636">
        <v>9</v>
      </c>
      <c r="AL636">
        <v>10</v>
      </c>
      <c r="AM636">
        <v>11</v>
      </c>
      <c r="AN636">
        <v>12</v>
      </c>
      <c r="AO636">
        <v>9.0909090910000003</v>
      </c>
      <c r="AP636">
        <v>8.3333333330000006</v>
      </c>
      <c r="AQ636">
        <v>2.1818181820000002</v>
      </c>
      <c r="AR636">
        <v>2.1666666669999999</v>
      </c>
      <c r="AS636">
        <v>-1.5151515000000001E-2</v>
      </c>
      <c r="AT636">
        <v>0</v>
      </c>
      <c r="AU636" t="s">
        <v>66</v>
      </c>
      <c r="AV636">
        <v>0</v>
      </c>
      <c r="AW636">
        <v>0</v>
      </c>
      <c r="AX636">
        <v>0</v>
      </c>
      <c r="AY636">
        <v>1</v>
      </c>
      <c r="AZ636">
        <v>1</v>
      </c>
      <c r="BA636">
        <v>1</v>
      </c>
      <c r="BB636" t="s">
        <v>66</v>
      </c>
      <c r="BC636" t="s">
        <v>66</v>
      </c>
      <c r="BD636" t="s">
        <v>66</v>
      </c>
      <c r="BE636" t="s">
        <v>66</v>
      </c>
      <c r="BF636">
        <v>0</v>
      </c>
      <c r="BG636" t="s">
        <v>66</v>
      </c>
      <c r="BH636" t="s">
        <v>66</v>
      </c>
      <c r="BI636">
        <v>32</v>
      </c>
      <c r="BJ636">
        <v>8.4</v>
      </c>
      <c r="BK636" t="s">
        <v>66</v>
      </c>
      <c r="BL636">
        <v>29</v>
      </c>
      <c r="BM636">
        <v>15</v>
      </c>
      <c r="BN636">
        <v>8</v>
      </c>
      <c r="BO636">
        <f t="shared" si="98"/>
        <v>11.5</v>
      </c>
      <c r="BP636">
        <v>4</v>
      </c>
      <c r="BQ636">
        <v>1</v>
      </c>
      <c r="BS636">
        <v>0</v>
      </c>
      <c r="BT636">
        <f t="shared" si="99"/>
        <v>6.25</v>
      </c>
      <c r="BU636">
        <f t="shared" si="100"/>
        <v>40.476190476190474</v>
      </c>
      <c r="BV636">
        <f t="shared" si="101"/>
        <v>17.241379310344829</v>
      </c>
      <c r="BW636">
        <f t="shared" si="102"/>
        <v>4.3478260869565215</v>
      </c>
    </row>
    <row r="637" spans="1:75" x14ac:dyDescent="0.2">
      <c r="A637" t="s">
        <v>256</v>
      </c>
      <c r="B637" t="s">
        <v>278</v>
      </c>
      <c r="C637" t="s">
        <v>106</v>
      </c>
      <c r="D637" t="s">
        <v>603</v>
      </c>
      <c r="E637" t="s">
        <v>618</v>
      </c>
      <c r="F637" t="s">
        <v>811</v>
      </c>
      <c r="G637">
        <v>7</v>
      </c>
      <c r="H637">
        <v>1.9</v>
      </c>
      <c r="I637">
        <v>0.85</v>
      </c>
      <c r="J637">
        <v>1.1000000000000001</v>
      </c>
      <c r="K637">
        <v>10.85</v>
      </c>
      <c r="L637">
        <v>0.39285714300000002</v>
      </c>
      <c r="M637">
        <v>54</v>
      </c>
      <c r="N637">
        <v>58</v>
      </c>
      <c r="O637">
        <v>4</v>
      </c>
      <c r="P637">
        <v>64</v>
      </c>
      <c r="Q637">
        <v>10</v>
      </c>
      <c r="R637">
        <v>5</v>
      </c>
      <c r="S637">
        <v>57.1</v>
      </c>
      <c r="T637">
        <v>18.518518520000001</v>
      </c>
      <c r="U637">
        <v>10.34482759</v>
      </c>
      <c r="V637">
        <v>6</v>
      </c>
      <c r="W637">
        <v>7</v>
      </c>
      <c r="X637">
        <v>9</v>
      </c>
      <c r="Y637">
        <v>3</v>
      </c>
      <c r="Z637">
        <v>50</v>
      </c>
      <c r="AA637" t="s">
        <v>66</v>
      </c>
      <c r="AB637" t="s">
        <v>66</v>
      </c>
      <c r="AC637" t="s">
        <v>66</v>
      </c>
      <c r="AD637" t="s">
        <v>66</v>
      </c>
      <c r="AE637">
        <v>47</v>
      </c>
      <c r="AF637">
        <v>51</v>
      </c>
      <c r="AG637" t="s">
        <v>66</v>
      </c>
      <c r="AH637">
        <v>36</v>
      </c>
      <c r="AI637">
        <v>39</v>
      </c>
      <c r="AJ637" t="s">
        <v>66</v>
      </c>
      <c r="AK637">
        <v>21</v>
      </c>
      <c r="AL637">
        <v>28</v>
      </c>
      <c r="AM637">
        <v>28.5</v>
      </c>
      <c r="AN637">
        <v>33.5</v>
      </c>
      <c r="AO637">
        <v>17.543859650000002</v>
      </c>
      <c r="AP637">
        <v>8.5106382979999999</v>
      </c>
      <c r="AQ637">
        <v>1.6491228069999999</v>
      </c>
      <c r="AR637">
        <v>1.5223880599999999</v>
      </c>
      <c r="AS637">
        <v>-0.12673474700000001</v>
      </c>
      <c r="AT637">
        <v>0</v>
      </c>
      <c r="AU637" t="s">
        <v>66</v>
      </c>
      <c r="AV637">
        <v>0</v>
      </c>
      <c r="AW637">
        <v>0</v>
      </c>
      <c r="AX637">
        <v>0</v>
      </c>
      <c r="AY637">
        <v>1</v>
      </c>
      <c r="AZ637">
        <v>1</v>
      </c>
      <c r="BA637">
        <v>1</v>
      </c>
      <c r="BB637" t="s">
        <v>66</v>
      </c>
      <c r="BC637" t="s">
        <v>66</v>
      </c>
      <c r="BD637" t="s">
        <v>66</v>
      </c>
      <c r="BE637" t="s">
        <v>66</v>
      </c>
      <c r="BF637">
        <v>0</v>
      </c>
      <c r="BG637" t="s">
        <v>66</v>
      </c>
      <c r="BH637" t="s">
        <v>66</v>
      </c>
      <c r="BI637">
        <v>71</v>
      </c>
      <c r="BJ637">
        <v>9.5</v>
      </c>
      <c r="BK637" t="s">
        <v>66</v>
      </c>
      <c r="BL637">
        <f>71-17</f>
        <v>54</v>
      </c>
      <c r="BM637">
        <v>39</v>
      </c>
      <c r="BN637">
        <v>33</v>
      </c>
      <c r="BO637">
        <f t="shared" si="98"/>
        <v>36</v>
      </c>
      <c r="BP637">
        <v>4</v>
      </c>
      <c r="BQ637">
        <v>1</v>
      </c>
      <c r="BS637">
        <v>0</v>
      </c>
      <c r="BT637">
        <f t="shared" si="99"/>
        <v>23.943661971830984</v>
      </c>
      <c r="BU637">
        <f t="shared" si="100"/>
        <v>36.84210526315789</v>
      </c>
      <c r="BV637">
        <f t="shared" si="101"/>
        <v>12.962962962962962</v>
      </c>
      <c r="BW637">
        <f t="shared" si="102"/>
        <v>20.833333333333336</v>
      </c>
    </row>
    <row r="638" spans="1:75" x14ac:dyDescent="0.2">
      <c r="A638" t="s">
        <v>256</v>
      </c>
      <c r="B638" t="s">
        <v>278</v>
      </c>
      <c r="C638" t="s">
        <v>106</v>
      </c>
      <c r="D638" t="s">
        <v>603</v>
      </c>
      <c r="E638" t="s">
        <v>620</v>
      </c>
      <c r="F638" t="s">
        <v>812</v>
      </c>
      <c r="G638">
        <v>7</v>
      </c>
      <c r="H638">
        <v>1.9</v>
      </c>
      <c r="I638">
        <v>0.85</v>
      </c>
      <c r="J638">
        <v>1.1000000000000001</v>
      </c>
      <c r="K638">
        <v>10.85</v>
      </c>
      <c r="L638">
        <v>0.39285714300000002</v>
      </c>
      <c r="M638">
        <v>46</v>
      </c>
      <c r="N638">
        <v>49</v>
      </c>
      <c r="O638">
        <v>3</v>
      </c>
      <c r="P638">
        <v>48</v>
      </c>
      <c r="Q638">
        <v>2</v>
      </c>
      <c r="R638">
        <v>1</v>
      </c>
      <c r="S638">
        <v>49.1</v>
      </c>
      <c r="T638">
        <v>4.3478260869999996</v>
      </c>
      <c r="U638">
        <v>-2.0408163269999999</v>
      </c>
      <c r="V638">
        <v>6</v>
      </c>
      <c r="W638">
        <v>7</v>
      </c>
      <c r="X638">
        <v>9</v>
      </c>
      <c r="Y638">
        <v>3</v>
      </c>
      <c r="Z638">
        <v>50</v>
      </c>
      <c r="AA638" t="s">
        <v>66</v>
      </c>
      <c r="AB638" t="s">
        <v>66</v>
      </c>
      <c r="AC638" t="s">
        <v>66</v>
      </c>
      <c r="AD638" t="s">
        <v>66</v>
      </c>
      <c r="AE638">
        <v>41</v>
      </c>
      <c r="AF638">
        <v>45</v>
      </c>
      <c r="AG638" t="s">
        <v>66</v>
      </c>
      <c r="AH638">
        <v>17</v>
      </c>
      <c r="AI638">
        <v>20</v>
      </c>
      <c r="AJ638" t="s">
        <v>66</v>
      </c>
      <c r="AK638">
        <v>14</v>
      </c>
      <c r="AL638">
        <v>20</v>
      </c>
      <c r="AM638">
        <v>15.5</v>
      </c>
      <c r="AN638">
        <v>20</v>
      </c>
      <c r="AO638">
        <v>29.03225806</v>
      </c>
      <c r="AP638">
        <v>9.7560975610000007</v>
      </c>
      <c r="AQ638">
        <v>2.6451612899999999</v>
      </c>
      <c r="AR638">
        <v>2.25</v>
      </c>
      <c r="AS638">
        <v>-0.39516129</v>
      </c>
      <c r="AT638">
        <v>0</v>
      </c>
      <c r="AU638" t="s">
        <v>66</v>
      </c>
      <c r="AV638">
        <v>0</v>
      </c>
      <c r="AW638">
        <v>0</v>
      </c>
      <c r="AX638">
        <v>0</v>
      </c>
      <c r="AY638">
        <v>1</v>
      </c>
      <c r="AZ638">
        <v>1</v>
      </c>
      <c r="BA638">
        <v>1</v>
      </c>
      <c r="BB638" t="s">
        <v>66</v>
      </c>
      <c r="BC638" t="s">
        <v>66</v>
      </c>
      <c r="BD638" t="s">
        <v>66</v>
      </c>
      <c r="BE638" t="s">
        <v>66</v>
      </c>
      <c r="BF638">
        <v>0</v>
      </c>
      <c r="BG638" t="s">
        <v>66</v>
      </c>
      <c r="BH638" t="s">
        <v>66</v>
      </c>
      <c r="BI638">
        <v>53</v>
      </c>
      <c r="BJ638">
        <v>9.4</v>
      </c>
      <c r="BK638" t="s">
        <v>66</v>
      </c>
      <c r="BL638">
        <f>53-12</f>
        <v>41</v>
      </c>
      <c r="BM638">
        <v>24</v>
      </c>
      <c r="BN638">
        <v>14</v>
      </c>
      <c r="BO638">
        <f t="shared" si="98"/>
        <v>19</v>
      </c>
      <c r="BP638">
        <v>4</v>
      </c>
      <c r="BQ638">
        <v>1</v>
      </c>
      <c r="BS638">
        <v>0</v>
      </c>
      <c r="BT638">
        <f t="shared" si="99"/>
        <v>13.20754716981132</v>
      </c>
      <c r="BU638">
        <f t="shared" si="100"/>
        <v>36.170212765957451</v>
      </c>
      <c r="BV638">
        <f t="shared" si="101"/>
        <v>0</v>
      </c>
      <c r="BW638">
        <f t="shared" si="102"/>
        <v>18.421052631578945</v>
      </c>
    </row>
    <row r="639" spans="1:75" x14ac:dyDescent="0.2">
      <c r="A639" t="s">
        <v>256</v>
      </c>
      <c r="B639" t="s">
        <v>278</v>
      </c>
      <c r="C639" t="s">
        <v>106</v>
      </c>
      <c r="D639" t="s">
        <v>603</v>
      </c>
      <c r="E639" t="s">
        <v>622</v>
      </c>
      <c r="F639" t="s">
        <v>813</v>
      </c>
      <c r="G639">
        <v>7</v>
      </c>
      <c r="H639">
        <v>1.9</v>
      </c>
      <c r="I639">
        <v>0.85</v>
      </c>
      <c r="J639">
        <v>1.1000000000000001</v>
      </c>
      <c r="K639">
        <v>10.85</v>
      </c>
      <c r="L639">
        <v>0.39285714300000002</v>
      </c>
      <c r="M639">
        <v>40</v>
      </c>
      <c r="N639">
        <v>44</v>
      </c>
      <c r="O639">
        <v>4</v>
      </c>
      <c r="P639">
        <v>47</v>
      </c>
      <c r="Q639">
        <v>7</v>
      </c>
      <c r="R639">
        <v>3.5</v>
      </c>
      <c r="S639">
        <v>54.1</v>
      </c>
      <c r="T639">
        <v>17.5</v>
      </c>
      <c r="U639">
        <v>6.8181818180000002</v>
      </c>
      <c r="V639">
        <v>5</v>
      </c>
      <c r="W639">
        <v>6</v>
      </c>
      <c r="X639">
        <v>7</v>
      </c>
      <c r="Y639">
        <v>2</v>
      </c>
      <c r="Z639">
        <v>40</v>
      </c>
      <c r="AA639" t="s">
        <v>66</v>
      </c>
      <c r="AB639" t="s">
        <v>66</v>
      </c>
      <c r="AC639" t="s">
        <v>66</v>
      </c>
      <c r="AD639" t="s">
        <v>66</v>
      </c>
      <c r="AE639">
        <v>37</v>
      </c>
      <c r="AF639">
        <v>40</v>
      </c>
      <c r="AG639" t="s">
        <v>66</v>
      </c>
      <c r="AH639">
        <v>22</v>
      </c>
      <c r="AI639">
        <v>22</v>
      </c>
      <c r="AJ639" t="s">
        <v>66</v>
      </c>
      <c r="AK639">
        <v>16</v>
      </c>
      <c r="AL639">
        <v>18</v>
      </c>
      <c r="AM639">
        <v>19</v>
      </c>
      <c r="AN639">
        <v>20</v>
      </c>
      <c r="AO639">
        <v>5.263157895</v>
      </c>
      <c r="AP639">
        <v>8.1081081079999997</v>
      </c>
      <c r="AQ639">
        <v>1.947368421</v>
      </c>
      <c r="AR639">
        <v>2</v>
      </c>
      <c r="AS639">
        <v>5.2631578999999998E-2</v>
      </c>
      <c r="AT639">
        <v>0</v>
      </c>
      <c r="AU639" t="s">
        <v>66</v>
      </c>
      <c r="AV639">
        <v>0</v>
      </c>
      <c r="AW639">
        <v>0</v>
      </c>
      <c r="AX639">
        <v>0</v>
      </c>
      <c r="AY639">
        <v>1</v>
      </c>
      <c r="AZ639">
        <v>1</v>
      </c>
      <c r="BA639">
        <v>1</v>
      </c>
      <c r="BB639" t="s">
        <v>66</v>
      </c>
      <c r="BC639" t="s">
        <v>66</v>
      </c>
      <c r="BD639" t="s">
        <v>66</v>
      </c>
      <c r="BE639" t="s">
        <v>66</v>
      </c>
      <c r="BF639">
        <v>0</v>
      </c>
      <c r="BG639" t="s">
        <v>66</v>
      </c>
      <c r="BH639" t="s">
        <v>66</v>
      </c>
      <c r="BI639">
        <v>54</v>
      </c>
      <c r="BJ639">
        <v>9.8000000000000007</v>
      </c>
      <c r="BK639" t="s">
        <v>66</v>
      </c>
      <c r="BL639">
        <v>43</v>
      </c>
      <c r="BM639">
        <v>21</v>
      </c>
      <c r="BN639">
        <v>12</v>
      </c>
      <c r="BO639">
        <f t="shared" si="98"/>
        <v>16.5</v>
      </c>
      <c r="BP639">
        <v>4</v>
      </c>
      <c r="BQ639">
        <v>1</v>
      </c>
      <c r="BS639">
        <v>0</v>
      </c>
      <c r="BT639">
        <f t="shared" si="99"/>
        <v>25.925925925925924</v>
      </c>
      <c r="BU639">
        <f t="shared" si="100"/>
        <v>48.979591836734699</v>
      </c>
      <c r="BV639">
        <f t="shared" si="101"/>
        <v>13.953488372093023</v>
      </c>
      <c r="BW639">
        <f t="shared" si="102"/>
        <v>-15.151515151515152</v>
      </c>
    </row>
    <row r="640" spans="1:75" x14ac:dyDescent="0.2">
      <c r="A640" t="s">
        <v>256</v>
      </c>
      <c r="B640" t="s">
        <v>278</v>
      </c>
      <c r="C640" t="s">
        <v>106</v>
      </c>
      <c r="D640" t="s">
        <v>603</v>
      </c>
      <c r="E640" t="s">
        <v>624</v>
      </c>
      <c r="F640" t="s">
        <v>814</v>
      </c>
      <c r="G640">
        <v>7</v>
      </c>
      <c r="H640">
        <v>1.9</v>
      </c>
      <c r="I640">
        <v>0.85</v>
      </c>
      <c r="J640">
        <v>1.1000000000000001</v>
      </c>
      <c r="K640">
        <v>10.85</v>
      </c>
      <c r="L640">
        <v>0.39285714300000002</v>
      </c>
      <c r="M640">
        <v>23</v>
      </c>
      <c r="N640">
        <v>26</v>
      </c>
      <c r="O640">
        <v>3</v>
      </c>
      <c r="P640">
        <v>29</v>
      </c>
      <c r="Q640">
        <v>6</v>
      </c>
      <c r="R640">
        <v>3</v>
      </c>
      <c r="S640">
        <v>53.1</v>
      </c>
      <c r="T640">
        <v>26.086956520000001</v>
      </c>
      <c r="U640">
        <v>11.53846154</v>
      </c>
      <c r="V640">
        <v>2</v>
      </c>
      <c r="W640">
        <v>3</v>
      </c>
      <c r="X640">
        <v>5</v>
      </c>
      <c r="Y640">
        <v>3</v>
      </c>
      <c r="Z640">
        <v>150</v>
      </c>
      <c r="AA640" t="s">
        <v>66</v>
      </c>
      <c r="AB640" t="s">
        <v>66</v>
      </c>
      <c r="AC640" t="s">
        <v>66</v>
      </c>
      <c r="AD640" t="s">
        <v>66</v>
      </c>
      <c r="AE640">
        <v>21</v>
      </c>
      <c r="AF640">
        <v>24</v>
      </c>
      <c r="AG640" t="s">
        <v>66</v>
      </c>
      <c r="AH640">
        <v>13</v>
      </c>
      <c r="AI640">
        <v>16</v>
      </c>
      <c r="AJ640" t="s">
        <v>66</v>
      </c>
      <c r="AK640">
        <v>9</v>
      </c>
      <c r="AL640">
        <v>14</v>
      </c>
      <c r="AM640">
        <v>11</v>
      </c>
      <c r="AN640">
        <v>15</v>
      </c>
      <c r="AO640">
        <v>36.363636360000001</v>
      </c>
      <c r="AP640">
        <v>14.28571429</v>
      </c>
      <c r="AQ640">
        <v>1.9090909089999999</v>
      </c>
      <c r="AR640">
        <v>1.6</v>
      </c>
      <c r="AS640">
        <v>-0.30909090900000002</v>
      </c>
      <c r="AT640">
        <v>0</v>
      </c>
      <c r="AU640" t="s">
        <v>66</v>
      </c>
      <c r="AV640">
        <v>0</v>
      </c>
      <c r="AW640">
        <v>0</v>
      </c>
      <c r="AX640">
        <v>0</v>
      </c>
      <c r="AY640">
        <v>1</v>
      </c>
      <c r="AZ640">
        <v>1</v>
      </c>
      <c r="BA640">
        <v>1</v>
      </c>
      <c r="BB640" t="s">
        <v>66</v>
      </c>
      <c r="BC640" t="s">
        <v>66</v>
      </c>
      <c r="BD640" t="s">
        <v>66</v>
      </c>
      <c r="BE640" t="s">
        <v>66</v>
      </c>
      <c r="BF640">
        <v>0</v>
      </c>
      <c r="BG640" t="s">
        <v>66</v>
      </c>
      <c r="BH640" t="s">
        <v>66</v>
      </c>
      <c r="BI640">
        <v>35</v>
      </c>
      <c r="BJ640">
        <v>5.7</v>
      </c>
      <c r="BK640" t="s">
        <v>66</v>
      </c>
      <c r="BL640">
        <v>28</v>
      </c>
      <c r="BM640">
        <v>20</v>
      </c>
      <c r="BN640">
        <v>16</v>
      </c>
      <c r="BO640">
        <f t="shared" si="98"/>
        <v>18</v>
      </c>
      <c r="BP640">
        <v>4</v>
      </c>
      <c r="BQ640">
        <v>1</v>
      </c>
      <c r="BS640">
        <v>0</v>
      </c>
      <c r="BT640">
        <f t="shared" si="99"/>
        <v>34.285714285714285</v>
      </c>
      <c r="BU640">
        <f t="shared" si="100"/>
        <v>64.912280701754383</v>
      </c>
      <c r="BV640">
        <f t="shared" si="101"/>
        <v>25</v>
      </c>
      <c r="BW640">
        <f t="shared" si="102"/>
        <v>38.888888888888893</v>
      </c>
    </row>
    <row r="641" spans="1:75" x14ac:dyDescent="0.2">
      <c r="A641" t="s">
        <v>256</v>
      </c>
      <c r="B641" t="s">
        <v>278</v>
      </c>
      <c r="C641" t="s">
        <v>106</v>
      </c>
      <c r="D641" t="s">
        <v>603</v>
      </c>
      <c r="E641" t="s">
        <v>626</v>
      </c>
      <c r="F641" t="s">
        <v>815</v>
      </c>
      <c r="G641">
        <v>7</v>
      </c>
      <c r="H641">
        <v>1.9</v>
      </c>
      <c r="I641">
        <v>0.85</v>
      </c>
      <c r="J641">
        <v>1.1000000000000001</v>
      </c>
      <c r="K641">
        <v>10.85</v>
      </c>
      <c r="L641">
        <v>0.39285714300000002</v>
      </c>
      <c r="M641">
        <v>26</v>
      </c>
      <c r="N641">
        <v>25</v>
      </c>
      <c r="O641">
        <v>-1</v>
      </c>
      <c r="P641">
        <v>26</v>
      </c>
      <c r="Q641">
        <v>0</v>
      </c>
      <c r="R641">
        <v>1E-3</v>
      </c>
      <c r="S641">
        <v>47.1</v>
      </c>
      <c r="T641">
        <v>0</v>
      </c>
      <c r="U641">
        <v>4</v>
      </c>
      <c r="V641">
        <v>3</v>
      </c>
      <c r="W641">
        <v>3</v>
      </c>
      <c r="X641">
        <v>3</v>
      </c>
      <c r="Y641">
        <v>0</v>
      </c>
      <c r="Z641">
        <v>0</v>
      </c>
      <c r="AA641" t="s">
        <v>66</v>
      </c>
      <c r="AB641" t="s">
        <v>66</v>
      </c>
      <c r="AC641" t="s">
        <v>66</v>
      </c>
      <c r="AD641" t="s">
        <v>66</v>
      </c>
      <c r="AE641">
        <v>19</v>
      </c>
      <c r="AF641">
        <v>20</v>
      </c>
      <c r="AG641" t="s">
        <v>66</v>
      </c>
      <c r="AH641">
        <v>9</v>
      </c>
      <c r="AI641">
        <v>11</v>
      </c>
      <c r="AJ641" t="s">
        <v>66</v>
      </c>
      <c r="AK641">
        <v>6</v>
      </c>
      <c r="AL641">
        <v>9</v>
      </c>
      <c r="AM641">
        <v>7.5</v>
      </c>
      <c r="AN641">
        <v>10</v>
      </c>
      <c r="AO641">
        <v>33.333333330000002</v>
      </c>
      <c r="AP641">
        <v>5.263157895</v>
      </c>
      <c r="AQ641">
        <v>2.5333333329999999</v>
      </c>
      <c r="AR641">
        <v>2</v>
      </c>
      <c r="AS641">
        <v>-0.53333333299999997</v>
      </c>
      <c r="AT641">
        <v>0</v>
      </c>
      <c r="AU641" t="s">
        <v>66</v>
      </c>
      <c r="AV641">
        <v>0</v>
      </c>
      <c r="AW641">
        <v>0</v>
      </c>
      <c r="AX641">
        <v>0</v>
      </c>
      <c r="AY641">
        <v>1</v>
      </c>
      <c r="AZ641">
        <v>1</v>
      </c>
      <c r="BA641">
        <v>1</v>
      </c>
      <c r="BB641" t="s">
        <v>66</v>
      </c>
      <c r="BC641" t="s">
        <v>66</v>
      </c>
      <c r="BD641" t="s">
        <v>66</v>
      </c>
      <c r="BE641" t="s">
        <v>66</v>
      </c>
      <c r="BF641">
        <v>0</v>
      </c>
      <c r="BG641" t="s">
        <v>66</v>
      </c>
      <c r="BH641" t="s">
        <v>66</v>
      </c>
      <c r="BI641">
        <v>29</v>
      </c>
      <c r="BJ641">
        <v>3.6</v>
      </c>
      <c r="BK641" t="s">
        <v>66</v>
      </c>
      <c r="BL641">
        <v>22</v>
      </c>
      <c r="BM641">
        <v>14</v>
      </c>
      <c r="BN641">
        <v>9</v>
      </c>
      <c r="BO641">
        <f t="shared" si="98"/>
        <v>11.5</v>
      </c>
      <c r="BP641">
        <v>4</v>
      </c>
      <c r="BQ641">
        <v>1</v>
      </c>
      <c r="BS641">
        <v>0</v>
      </c>
      <c r="BT641">
        <f t="shared" si="99"/>
        <v>10.344827586206897</v>
      </c>
      <c r="BU641">
        <f t="shared" si="100"/>
        <v>16.666666666666668</v>
      </c>
      <c r="BV641">
        <f t="shared" si="101"/>
        <v>13.636363636363635</v>
      </c>
      <c r="BW641">
        <f t="shared" si="102"/>
        <v>34.782608695652172</v>
      </c>
    </row>
    <row r="642" spans="1:75" x14ac:dyDescent="0.2">
      <c r="A642" t="s">
        <v>256</v>
      </c>
      <c r="B642" t="s">
        <v>278</v>
      </c>
      <c r="C642" t="s">
        <v>106</v>
      </c>
      <c r="D642" t="s">
        <v>603</v>
      </c>
      <c r="E642" t="s">
        <v>628</v>
      </c>
      <c r="F642" t="s">
        <v>816</v>
      </c>
      <c r="G642">
        <v>7</v>
      </c>
      <c r="H642">
        <v>1.9</v>
      </c>
      <c r="I642">
        <v>0.85</v>
      </c>
      <c r="J642">
        <v>1.1000000000000001</v>
      </c>
      <c r="K642">
        <v>10.85</v>
      </c>
      <c r="L642">
        <v>0.39285714300000002</v>
      </c>
      <c r="M642">
        <v>40</v>
      </c>
      <c r="N642">
        <v>46</v>
      </c>
      <c r="O642">
        <v>6</v>
      </c>
      <c r="P642">
        <v>46</v>
      </c>
      <c r="Q642">
        <v>6</v>
      </c>
      <c r="R642">
        <v>3</v>
      </c>
      <c r="S642">
        <v>53.1</v>
      </c>
      <c r="T642">
        <v>15</v>
      </c>
      <c r="U642">
        <v>0</v>
      </c>
      <c r="V642">
        <v>5</v>
      </c>
      <c r="W642">
        <v>7</v>
      </c>
      <c r="X642">
        <v>8</v>
      </c>
      <c r="Y642">
        <v>3</v>
      </c>
      <c r="Z642">
        <v>60</v>
      </c>
      <c r="AA642" t="s">
        <v>66</v>
      </c>
      <c r="AB642" t="s">
        <v>66</v>
      </c>
      <c r="AC642" t="s">
        <v>66</v>
      </c>
      <c r="AD642" t="s">
        <v>66</v>
      </c>
      <c r="AE642">
        <v>38</v>
      </c>
      <c r="AF642">
        <v>44</v>
      </c>
      <c r="AG642" t="s">
        <v>66</v>
      </c>
      <c r="AH642">
        <v>23</v>
      </c>
      <c r="AI642">
        <v>36</v>
      </c>
      <c r="AJ642" t="s">
        <v>66</v>
      </c>
      <c r="AK642">
        <v>18</v>
      </c>
      <c r="AL642">
        <v>23</v>
      </c>
      <c r="AM642">
        <v>20.5</v>
      </c>
      <c r="AN642">
        <v>29.5</v>
      </c>
      <c r="AO642">
        <v>43.902439020000003</v>
      </c>
      <c r="AP642">
        <v>15.78947368</v>
      </c>
      <c r="AQ642">
        <v>1.8536585370000001</v>
      </c>
      <c r="AR642">
        <v>1.491525424</v>
      </c>
      <c r="AS642">
        <v>-0.36213311300000001</v>
      </c>
      <c r="AT642">
        <v>0</v>
      </c>
      <c r="AU642" t="s">
        <v>66</v>
      </c>
      <c r="AV642">
        <v>0</v>
      </c>
      <c r="AW642">
        <v>1</v>
      </c>
      <c r="AX642">
        <v>0</v>
      </c>
      <c r="AY642">
        <v>1</v>
      </c>
      <c r="AZ642">
        <v>1</v>
      </c>
      <c r="BA642">
        <v>1</v>
      </c>
      <c r="BB642" t="s">
        <v>66</v>
      </c>
      <c r="BC642" t="s">
        <v>66</v>
      </c>
      <c r="BD642" t="s">
        <v>66</v>
      </c>
      <c r="BE642" t="s">
        <v>66</v>
      </c>
      <c r="BF642">
        <v>0</v>
      </c>
      <c r="BG642" t="s">
        <v>66</v>
      </c>
      <c r="BH642" t="s">
        <v>66</v>
      </c>
      <c r="BI642">
        <v>55</v>
      </c>
      <c r="BJ642">
        <v>10.4</v>
      </c>
      <c r="BK642" t="s">
        <v>66</v>
      </c>
      <c r="BL642">
        <v>45</v>
      </c>
      <c r="BM642">
        <v>18</v>
      </c>
      <c r="BN642">
        <v>12</v>
      </c>
      <c r="BO642">
        <f t="shared" si="98"/>
        <v>15</v>
      </c>
      <c r="BP642">
        <v>4</v>
      </c>
      <c r="BQ642">
        <v>1</v>
      </c>
      <c r="BS642">
        <v>0</v>
      </c>
      <c r="BT642">
        <f t="shared" si="99"/>
        <v>27.27272727272727</v>
      </c>
      <c r="BU642">
        <f t="shared" si="100"/>
        <v>51.923076923076927</v>
      </c>
      <c r="BV642">
        <f t="shared" si="101"/>
        <v>15.555555555555555</v>
      </c>
      <c r="BW642">
        <f t="shared" si="102"/>
        <v>-36.666666666666664</v>
      </c>
    </row>
    <row r="643" spans="1:75" x14ac:dyDescent="0.2">
      <c r="A643" t="s">
        <v>256</v>
      </c>
      <c r="B643" t="s">
        <v>278</v>
      </c>
      <c r="C643" t="s">
        <v>106</v>
      </c>
      <c r="D643" t="s">
        <v>603</v>
      </c>
      <c r="E643" t="s">
        <v>630</v>
      </c>
      <c r="F643" t="s">
        <v>817</v>
      </c>
      <c r="G643">
        <v>7</v>
      </c>
      <c r="H643">
        <v>1.9</v>
      </c>
      <c r="I643">
        <v>0.85</v>
      </c>
      <c r="J643">
        <v>1.1000000000000001</v>
      </c>
      <c r="K643">
        <v>10.85</v>
      </c>
      <c r="L643">
        <v>0.39285714300000002</v>
      </c>
      <c r="M643">
        <v>30</v>
      </c>
      <c r="N643">
        <v>34</v>
      </c>
      <c r="O643">
        <v>4</v>
      </c>
      <c r="P643">
        <v>34</v>
      </c>
      <c r="Q643">
        <v>4</v>
      </c>
      <c r="R643">
        <v>2</v>
      </c>
      <c r="S643">
        <v>51.1</v>
      </c>
      <c r="T643">
        <v>13.33333333</v>
      </c>
      <c r="U643">
        <v>0</v>
      </c>
      <c r="V643">
        <v>4</v>
      </c>
      <c r="W643">
        <v>6</v>
      </c>
      <c r="X643">
        <v>7</v>
      </c>
      <c r="Y643">
        <v>3</v>
      </c>
      <c r="Z643">
        <v>75</v>
      </c>
      <c r="AA643" t="s">
        <v>66</v>
      </c>
      <c r="AB643" t="s">
        <v>66</v>
      </c>
      <c r="AC643" t="s">
        <v>66</v>
      </c>
      <c r="AD643" t="s">
        <v>66</v>
      </c>
      <c r="AE643">
        <v>29</v>
      </c>
      <c r="AF643">
        <v>27</v>
      </c>
      <c r="AG643" t="s">
        <v>66</v>
      </c>
      <c r="AH643">
        <v>16</v>
      </c>
      <c r="AI643">
        <v>17</v>
      </c>
      <c r="AJ643" t="s">
        <v>66</v>
      </c>
      <c r="AK643">
        <v>11</v>
      </c>
      <c r="AL643">
        <v>14</v>
      </c>
      <c r="AM643">
        <v>13.5</v>
      </c>
      <c r="AN643">
        <v>15.5</v>
      </c>
      <c r="AO643">
        <v>14.81481481</v>
      </c>
      <c r="AP643">
        <v>-6.896551724</v>
      </c>
      <c r="AQ643">
        <v>2.1481481480000002</v>
      </c>
      <c r="AR643">
        <v>1.7419354840000001</v>
      </c>
      <c r="AS643">
        <v>-0.406212664</v>
      </c>
      <c r="AT643">
        <v>0</v>
      </c>
      <c r="AU643" t="s">
        <v>66</v>
      </c>
      <c r="AV643">
        <v>0</v>
      </c>
      <c r="AW643">
        <v>0</v>
      </c>
      <c r="AX643">
        <v>0</v>
      </c>
      <c r="AY643">
        <v>1</v>
      </c>
      <c r="AZ643">
        <v>1</v>
      </c>
      <c r="BA643">
        <v>1</v>
      </c>
      <c r="BB643" t="s">
        <v>66</v>
      </c>
      <c r="BC643" t="s">
        <v>66</v>
      </c>
      <c r="BD643" t="s">
        <v>66</v>
      </c>
      <c r="BE643" t="s">
        <v>66</v>
      </c>
      <c r="BF643">
        <v>0</v>
      </c>
      <c r="BG643" t="s">
        <v>66</v>
      </c>
      <c r="BH643" t="s">
        <v>66</v>
      </c>
      <c r="BI643">
        <v>45</v>
      </c>
      <c r="BJ643">
        <v>8</v>
      </c>
      <c r="BK643" t="s">
        <v>66</v>
      </c>
      <c r="BL643">
        <v>37</v>
      </c>
      <c r="BM643">
        <v>24</v>
      </c>
      <c r="BN643">
        <v>17</v>
      </c>
      <c r="BO643">
        <f t="shared" si="98"/>
        <v>20.5</v>
      </c>
      <c r="BP643">
        <v>4</v>
      </c>
      <c r="BQ643">
        <v>1</v>
      </c>
      <c r="BS643">
        <v>0</v>
      </c>
      <c r="BT643">
        <f t="shared" si="99"/>
        <v>33.333333333333329</v>
      </c>
      <c r="BU643">
        <f t="shared" si="100"/>
        <v>50</v>
      </c>
      <c r="BV643">
        <f t="shared" si="101"/>
        <v>21.621621621621621</v>
      </c>
      <c r="BW643">
        <f t="shared" si="102"/>
        <v>34.146341463414636</v>
      </c>
    </row>
    <row r="644" spans="1:75" x14ac:dyDescent="0.2">
      <c r="A644" t="s">
        <v>256</v>
      </c>
      <c r="B644" t="s">
        <v>278</v>
      </c>
      <c r="C644" t="s">
        <v>106</v>
      </c>
      <c r="D644" t="s">
        <v>603</v>
      </c>
      <c r="E644" t="s">
        <v>632</v>
      </c>
      <c r="F644" t="s">
        <v>818</v>
      </c>
      <c r="G644">
        <v>7</v>
      </c>
      <c r="H644">
        <v>1.9</v>
      </c>
      <c r="I644">
        <v>0.85</v>
      </c>
      <c r="J644">
        <v>1.1000000000000001</v>
      </c>
      <c r="K644">
        <v>10.85</v>
      </c>
      <c r="L644">
        <v>0.39285714300000002</v>
      </c>
      <c r="M644">
        <v>50</v>
      </c>
      <c r="N644">
        <v>52</v>
      </c>
      <c r="O644">
        <v>2</v>
      </c>
      <c r="P644">
        <v>59</v>
      </c>
      <c r="Q644">
        <v>9</v>
      </c>
      <c r="R644">
        <v>4.5</v>
      </c>
      <c r="S644">
        <v>56.1</v>
      </c>
      <c r="T644">
        <v>18</v>
      </c>
      <c r="U644">
        <v>13.46153846</v>
      </c>
      <c r="V644">
        <v>8</v>
      </c>
      <c r="W644">
        <v>10</v>
      </c>
      <c r="X644">
        <v>11</v>
      </c>
      <c r="Y644">
        <v>3</v>
      </c>
      <c r="Z644">
        <v>37.5</v>
      </c>
      <c r="AA644" t="s">
        <v>66</v>
      </c>
      <c r="AB644" t="s">
        <v>66</v>
      </c>
      <c r="AC644" t="s">
        <v>66</v>
      </c>
      <c r="AD644" t="s">
        <v>66</v>
      </c>
      <c r="AE644">
        <v>48</v>
      </c>
      <c r="AF644">
        <v>55</v>
      </c>
      <c r="AG644" t="s">
        <v>66</v>
      </c>
      <c r="AH644">
        <v>27</v>
      </c>
      <c r="AI644">
        <v>29</v>
      </c>
      <c r="AJ644" t="s">
        <v>66</v>
      </c>
      <c r="AK644">
        <v>16</v>
      </c>
      <c r="AL644">
        <v>22</v>
      </c>
      <c r="AM644">
        <v>21.5</v>
      </c>
      <c r="AN644">
        <v>25.5</v>
      </c>
      <c r="AO644">
        <v>18.60465116</v>
      </c>
      <c r="AP644">
        <v>14.58333333</v>
      </c>
      <c r="AQ644">
        <v>2.2325581400000001</v>
      </c>
      <c r="AR644">
        <v>2.1568627450000002</v>
      </c>
      <c r="AS644">
        <v>-7.5695394999999999E-2</v>
      </c>
      <c r="AT644">
        <v>0</v>
      </c>
      <c r="AU644" t="s">
        <v>66</v>
      </c>
      <c r="AV644">
        <v>0</v>
      </c>
      <c r="AW644">
        <v>0</v>
      </c>
      <c r="AX644">
        <v>0</v>
      </c>
      <c r="AY644">
        <v>1</v>
      </c>
      <c r="AZ644">
        <v>1</v>
      </c>
      <c r="BA644">
        <v>1</v>
      </c>
      <c r="BB644" t="s">
        <v>66</v>
      </c>
      <c r="BC644" t="s">
        <v>66</v>
      </c>
      <c r="BD644" t="s">
        <v>66</v>
      </c>
      <c r="BE644" t="s">
        <v>66</v>
      </c>
      <c r="BF644">
        <v>0</v>
      </c>
      <c r="BG644" t="s">
        <v>66</v>
      </c>
      <c r="BH644" t="s">
        <v>66</v>
      </c>
      <c r="BI644">
        <v>68</v>
      </c>
      <c r="BJ644">
        <v>10.3</v>
      </c>
      <c r="BK644" t="s">
        <v>66</v>
      </c>
      <c r="BL644">
        <v>61</v>
      </c>
      <c r="BM644">
        <v>29</v>
      </c>
      <c r="BN644">
        <v>21</v>
      </c>
      <c r="BO644">
        <f t="shared" si="98"/>
        <v>25</v>
      </c>
      <c r="BP644">
        <v>4</v>
      </c>
      <c r="BQ644">
        <v>1</v>
      </c>
      <c r="BS644">
        <v>0</v>
      </c>
      <c r="BT644">
        <f t="shared" si="99"/>
        <v>26.47058823529412</v>
      </c>
      <c r="BU644">
        <f t="shared" si="100"/>
        <v>22.330097087378647</v>
      </c>
      <c r="BV644">
        <f t="shared" si="101"/>
        <v>21.311475409836063</v>
      </c>
      <c r="BW644">
        <f t="shared" si="102"/>
        <v>14.000000000000002</v>
      </c>
    </row>
    <row r="645" spans="1:75" x14ac:dyDescent="0.2">
      <c r="A645" t="s">
        <v>256</v>
      </c>
      <c r="B645" t="s">
        <v>278</v>
      </c>
      <c r="C645" t="s">
        <v>106</v>
      </c>
      <c r="D645" t="s">
        <v>603</v>
      </c>
      <c r="E645" t="s">
        <v>634</v>
      </c>
      <c r="F645" t="s">
        <v>819</v>
      </c>
      <c r="G645">
        <v>7</v>
      </c>
      <c r="H645">
        <v>1.9</v>
      </c>
      <c r="I645">
        <v>0.85</v>
      </c>
      <c r="J645">
        <v>1.1000000000000001</v>
      </c>
      <c r="K645">
        <v>10.85</v>
      </c>
      <c r="L645">
        <v>0.39285714300000002</v>
      </c>
      <c r="M645">
        <v>10</v>
      </c>
      <c r="N645">
        <v>17</v>
      </c>
      <c r="O645">
        <v>7</v>
      </c>
      <c r="P645">
        <v>22</v>
      </c>
      <c r="Q645">
        <v>12</v>
      </c>
      <c r="R645">
        <v>6</v>
      </c>
      <c r="S645">
        <v>59.1</v>
      </c>
      <c r="T645">
        <v>120</v>
      </c>
      <c r="U645">
        <v>29.41176471</v>
      </c>
      <c r="V645">
        <v>2</v>
      </c>
      <c r="W645">
        <v>2</v>
      </c>
      <c r="X645">
        <v>3</v>
      </c>
      <c r="Y645">
        <v>1</v>
      </c>
      <c r="Z645">
        <v>50</v>
      </c>
      <c r="AA645" t="s">
        <v>66</v>
      </c>
      <c r="AB645" t="s">
        <v>66</v>
      </c>
      <c r="AC645" t="s">
        <v>66</v>
      </c>
      <c r="AD645" t="s">
        <v>66</v>
      </c>
      <c r="AE645">
        <v>14</v>
      </c>
      <c r="AF645">
        <v>18</v>
      </c>
      <c r="AG645" t="s">
        <v>66</v>
      </c>
      <c r="AH645">
        <v>4</v>
      </c>
      <c r="AI645">
        <v>8</v>
      </c>
      <c r="AJ645" t="s">
        <v>66</v>
      </c>
      <c r="AK645">
        <v>3</v>
      </c>
      <c r="AL645">
        <v>6</v>
      </c>
      <c r="AM645">
        <v>3.5</v>
      </c>
      <c r="AN645">
        <v>7</v>
      </c>
      <c r="AO645">
        <v>100</v>
      </c>
      <c r="AP645">
        <v>28.571428569999998</v>
      </c>
      <c r="AQ645">
        <v>4</v>
      </c>
      <c r="AR645">
        <v>2.5714285710000002</v>
      </c>
      <c r="AS645">
        <v>-1.428571429</v>
      </c>
      <c r="AT645">
        <v>0</v>
      </c>
      <c r="AU645" t="s">
        <v>66</v>
      </c>
      <c r="AV645">
        <v>0</v>
      </c>
      <c r="AW645">
        <v>0</v>
      </c>
      <c r="AX645">
        <v>0</v>
      </c>
      <c r="AY645">
        <v>1</v>
      </c>
      <c r="AZ645">
        <v>1</v>
      </c>
      <c r="BA645">
        <v>1</v>
      </c>
      <c r="BB645" t="s">
        <v>66</v>
      </c>
      <c r="BC645" t="s">
        <v>66</v>
      </c>
      <c r="BD645" t="s">
        <v>66</v>
      </c>
      <c r="BE645" t="s">
        <v>66</v>
      </c>
      <c r="BF645">
        <v>0</v>
      </c>
      <c r="BG645" t="s">
        <v>66</v>
      </c>
      <c r="BH645" t="s">
        <v>66</v>
      </c>
      <c r="BI645">
        <v>30</v>
      </c>
      <c r="BJ645">
        <v>5</v>
      </c>
      <c r="BK645" t="s">
        <v>66</v>
      </c>
      <c r="BL645">
        <v>23</v>
      </c>
      <c r="BM645">
        <v>14</v>
      </c>
      <c r="BN645">
        <v>9</v>
      </c>
      <c r="BO645">
        <f t="shared" si="98"/>
        <v>11.5</v>
      </c>
      <c r="BP645">
        <v>3</v>
      </c>
      <c r="BQ645">
        <v>1</v>
      </c>
      <c r="BS645">
        <v>0</v>
      </c>
      <c r="BT645">
        <f t="shared" si="99"/>
        <v>66.666666666666657</v>
      </c>
      <c r="BU645">
        <f t="shared" si="100"/>
        <v>60</v>
      </c>
      <c r="BV645">
        <f t="shared" si="101"/>
        <v>39.130434782608695</v>
      </c>
      <c r="BW645">
        <f t="shared" si="102"/>
        <v>69.565217391304344</v>
      </c>
    </row>
    <row r="646" spans="1:75" x14ac:dyDescent="0.2">
      <c r="A646" t="s">
        <v>256</v>
      </c>
      <c r="B646" t="s">
        <v>278</v>
      </c>
      <c r="C646" t="s">
        <v>106</v>
      </c>
      <c r="D646" t="s">
        <v>603</v>
      </c>
      <c r="E646" t="s">
        <v>636</v>
      </c>
      <c r="F646" t="s">
        <v>820</v>
      </c>
      <c r="G646">
        <v>7</v>
      </c>
      <c r="H646">
        <v>1.9</v>
      </c>
      <c r="I646">
        <v>0.85</v>
      </c>
      <c r="J646">
        <v>1.1000000000000001</v>
      </c>
      <c r="K646">
        <v>10.85</v>
      </c>
      <c r="L646">
        <v>0.39285714300000002</v>
      </c>
      <c r="M646">
        <v>18</v>
      </c>
      <c r="N646">
        <v>38</v>
      </c>
      <c r="O646">
        <v>20</v>
      </c>
      <c r="P646">
        <v>40</v>
      </c>
      <c r="Q646">
        <v>22</v>
      </c>
      <c r="R646">
        <v>11</v>
      </c>
      <c r="S646">
        <v>69.099999999999994</v>
      </c>
      <c r="T646">
        <v>122.2222222</v>
      </c>
      <c r="U646">
        <v>5.263157895</v>
      </c>
      <c r="V646">
        <v>4</v>
      </c>
      <c r="W646">
        <v>8</v>
      </c>
      <c r="X646">
        <v>7</v>
      </c>
      <c r="Y646">
        <v>3</v>
      </c>
      <c r="Z646">
        <v>75</v>
      </c>
      <c r="AA646" t="s">
        <v>66</v>
      </c>
      <c r="AB646" t="s">
        <v>66</v>
      </c>
      <c r="AC646" t="s">
        <v>66</v>
      </c>
      <c r="AD646" t="s">
        <v>66</v>
      </c>
      <c r="AE646">
        <v>34</v>
      </c>
      <c r="AF646">
        <v>34</v>
      </c>
      <c r="AG646" t="s">
        <v>66</v>
      </c>
      <c r="AH646">
        <v>17</v>
      </c>
      <c r="AI646">
        <v>17</v>
      </c>
      <c r="AJ646" t="s">
        <v>66</v>
      </c>
      <c r="AK646">
        <v>11</v>
      </c>
      <c r="AL646">
        <v>15</v>
      </c>
      <c r="AM646">
        <v>14</v>
      </c>
      <c r="AN646">
        <v>16</v>
      </c>
      <c r="AO646">
        <v>14.28571429</v>
      </c>
      <c r="AP646">
        <v>0</v>
      </c>
      <c r="AQ646">
        <v>2.4285714289999998</v>
      </c>
      <c r="AR646">
        <v>2.125</v>
      </c>
      <c r="AS646">
        <v>-0.303571429</v>
      </c>
      <c r="AT646">
        <v>0</v>
      </c>
      <c r="AU646" t="s">
        <v>66</v>
      </c>
      <c r="AV646">
        <v>0</v>
      </c>
      <c r="AW646">
        <v>0</v>
      </c>
      <c r="AX646">
        <v>0</v>
      </c>
      <c r="AY646">
        <v>1</v>
      </c>
      <c r="AZ646">
        <v>1</v>
      </c>
      <c r="BA646">
        <v>1</v>
      </c>
      <c r="BB646" t="s">
        <v>66</v>
      </c>
      <c r="BC646" t="s">
        <v>66</v>
      </c>
      <c r="BD646" t="s">
        <v>66</v>
      </c>
      <c r="BE646" t="s">
        <v>66</v>
      </c>
      <c r="BF646">
        <v>0</v>
      </c>
      <c r="BG646" t="s">
        <v>66</v>
      </c>
      <c r="BH646" t="s">
        <v>66</v>
      </c>
      <c r="BI646">
        <v>44</v>
      </c>
      <c r="BJ646">
        <v>7.5</v>
      </c>
      <c r="BK646" t="s">
        <v>66</v>
      </c>
      <c r="BL646">
        <v>39</v>
      </c>
      <c r="BM646">
        <v>19</v>
      </c>
      <c r="BN646">
        <v>17</v>
      </c>
      <c r="BO646">
        <f t="shared" si="98"/>
        <v>18</v>
      </c>
      <c r="BP646">
        <v>4</v>
      </c>
      <c r="BQ646">
        <v>1</v>
      </c>
      <c r="BS646">
        <v>0</v>
      </c>
      <c r="BT646">
        <f t="shared" si="99"/>
        <v>59.090909090909093</v>
      </c>
      <c r="BU646">
        <f t="shared" si="100"/>
        <v>46.666666666666664</v>
      </c>
      <c r="BV646">
        <f t="shared" si="101"/>
        <v>12.820512820512819</v>
      </c>
      <c r="BW646">
        <f t="shared" si="102"/>
        <v>22.222222222222221</v>
      </c>
    </row>
    <row r="647" spans="1:75" x14ac:dyDescent="0.2">
      <c r="A647" t="s">
        <v>256</v>
      </c>
      <c r="B647" t="s">
        <v>278</v>
      </c>
      <c r="C647" t="s">
        <v>106</v>
      </c>
      <c r="D647" t="s">
        <v>603</v>
      </c>
      <c r="E647" t="s">
        <v>638</v>
      </c>
      <c r="F647" t="s">
        <v>821</v>
      </c>
      <c r="G647">
        <v>7</v>
      </c>
      <c r="H647">
        <v>1.9</v>
      </c>
      <c r="I647">
        <v>0.85</v>
      </c>
      <c r="J647">
        <v>1.1000000000000001</v>
      </c>
      <c r="K647">
        <v>10.85</v>
      </c>
      <c r="L647">
        <v>0.39285714300000002</v>
      </c>
      <c r="M647">
        <v>27</v>
      </c>
      <c r="N647">
        <v>31</v>
      </c>
      <c r="O647">
        <v>4</v>
      </c>
      <c r="P647">
        <v>34</v>
      </c>
      <c r="Q647">
        <v>7</v>
      </c>
      <c r="R647">
        <v>3.5</v>
      </c>
      <c r="S647">
        <v>54.1</v>
      </c>
      <c r="T647">
        <v>25.925925929999998</v>
      </c>
      <c r="U647">
        <v>9.6774193549999996</v>
      </c>
      <c r="V647">
        <v>5</v>
      </c>
      <c r="W647">
        <v>4</v>
      </c>
      <c r="X647">
        <v>6</v>
      </c>
      <c r="Y647">
        <v>1</v>
      </c>
      <c r="Z647">
        <v>20</v>
      </c>
      <c r="AA647" t="s">
        <v>66</v>
      </c>
      <c r="AB647" t="s">
        <v>66</v>
      </c>
      <c r="AC647" t="s">
        <v>66</v>
      </c>
      <c r="AD647" t="s">
        <v>66</v>
      </c>
      <c r="AE647">
        <v>27</v>
      </c>
      <c r="AF647">
        <v>27</v>
      </c>
      <c r="AG647" t="s">
        <v>66</v>
      </c>
      <c r="AH647">
        <v>15</v>
      </c>
      <c r="AI647">
        <v>16</v>
      </c>
      <c r="AJ647" t="s">
        <v>66</v>
      </c>
      <c r="AK647">
        <v>10</v>
      </c>
      <c r="AL647">
        <v>11</v>
      </c>
      <c r="AM647">
        <v>12.5</v>
      </c>
      <c r="AN647">
        <v>13.5</v>
      </c>
      <c r="AO647">
        <v>8</v>
      </c>
      <c r="AP647">
        <v>0</v>
      </c>
      <c r="AQ647">
        <v>2.16</v>
      </c>
      <c r="AR647">
        <v>2</v>
      </c>
      <c r="AS647">
        <v>-0.16</v>
      </c>
      <c r="AT647">
        <v>0</v>
      </c>
      <c r="AU647" t="s">
        <v>66</v>
      </c>
      <c r="AV647">
        <v>0</v>
      </c>
      <c r="AW647">
        <v>0</v>
      </c>
      <c r="AX647">
        <v>0</v>
      </c>
      <c r="AY647">
        <v>1</v>
      </c>
      <c r="AZ647">
        <v>1</v>
      </c>
      <c r="BA647">
        <v>1</v>
      </c>
      <c r="BB647" t="s">
        <v>66</v>
      </c>
      <c r="BC647" t="s">
        <v>66</v>
      </c>
      <c r="BD647" t="s">
        <v>66</v>
      </c>
      <c r="BE647" t="s">
        <v>66</v>
      </c>
      <c r="BF647">
        <v>0</v>
      </c>
      <c r="BG647" t="s">
        <v>66</v>
      </c>
      <c r="BH647" t="s">
        <v>66</v>
      </c>
      <c r="BI647">
        <v>34</v>
      </c>
      <c r="BJ647">
        <v>6.8</v>
      </c>
      <c r="BK647" t="s">
        <v>66</v>
      </c>
      <c r="BL647">
        <v>28</v>
      </c>
      <c r="BM647">
        <v>17</v>
      </c>
      <c r="BN647">
        <v>11</v>
      </c>
      <c r="BO647">
        <f t="shared" si="98"/>
        <v>14</v>
      </c>
      <c r="BP647">
        <v>4</v>
      </c>
      <c r="BQ647">
        <v>1</v>
      </c>
      <c r="BS647">
        <v>0</v>
      </c>
      <c r="BT647">
        <f t="shared" si="99"/>
        <v>20.588235294117645</v>
      </c>
      <c r="BU647">
        <f t="shared" si="100"/>
        <v>26.47058823529412</v>
      </c>
      <c r="BV647">
        <f t="shared" si="101"/>
        <v>3.5714285714285712</v>
      </c>
      <c r="BW647">
        <f t="shared" si="102"/>
        <v>10.714285714285714</v>
      </c>
    </row>
    <row r="648" spans="1:75" x14ac:dyDescent="0.2">
      <c r="A648" t="s">
        <v>256</v>
      </c>
      <c r="B648" t="s">
        <v>278</v>
      </c>
      <c r="C648" t="s">
        <v>106</v>
      </c>
      <c r="D648" t="s">
        <v>603</v>
      </c>
      <c r="E648" t="s">
        <v>640</v>
      </c>
      <c r="F648" t="s">
        <v>822</v>
      </c>
      <c r="G648">
        <v>7</v>
      </c>
      <c r="H648">
        <v>1.9</v>
      </c>
      <c r="I648">
        <v>0.85</v>
      </c>
      <c r="J648">
        <v>1.1000000000000001</v>
      </c>
      <c r="K648">
        <v>10.85</v>
      </c>
      <c r="L648">
        <v>0.39285714300000002</v>
      </c>
      <c r="M648">
        <v>36</v>
      </c>
      <c r="N648">
        <v>21</v>
      </c>
      <c r="O648">
        <v>-15</v>
      </c>
      <c r="P648">
        <v>20</v>
      </c>
      <c r="Q648">
        <v>-16</v>
      </c>
      <c r="R648">
        <v>-8</v>
      </c>
      <c r="S648">
        <v>31.1</v>
      </c>
      <c r="T648">
        <v>-44.444444439999998</v>
      </c>
      <c r="U648">
        <v>-4.7619047620000003</v>
      </c>
      <c r="V648">
        <v>7</v>
      </c>
      <c r="W648">
        <v>5</v>
      </c>
      <c r="X648">
        <v>4</v>
      </c>
      <c r="Y648">
        <v>-3</v>
      </c>
      <c r="Z648">
        <v>-42.857142860000003</v>
      </c>
      <c r="AA648" t="s">
        <v>66</v>
      </c>
      <c r="AB648" t="s">
        <v>66</v>
      </c>
      <c r="AC648" t="s">
        <v>66</v>
      </c>
      <c r="AD648" t="s">
        <v>66</v>
      </c>
      <c r="AE648">
        <v>16</v>
      </c>
      <c r="AF648">
        <v>16</v>
      </c>
      <c r="AG648" t="s">
        <v>66</v>
      </c>
      <c r="AH648">
        <v>9</v>
      </c>
      <c r="AI648">
        <v>9</v>
      </c>
      <c r="AJ648" t="s">
        <v>66</v>
      </c>
      <c r="AK648">
        <v>5</v>
      </c>
      <c r="AL648">
        <v>8</v>
      </c>
      <c r="AM648">
        <v>7</v>
      </c>
      <c r="AN648">
        <v>8.5</v>
      </c>
      <c r="AO648">
        <v>21.428571430000002</v>
      </c>
      <c r="AP648">
        <v>0</v>
      </c>
      <c r="AQ648">
        <v>2.2857142860000002</v>
      </c>
      <c r="AR648">
        <v>1.8823529409999999</v>
      </c>
      <c r="AS648">
        <v>-0.40336134499999998</v>
      </c>
      <c r="AT648">
        <v>0</v>
      </c>
      <c r="AU648" t="s">
        <v>66</v>
      </c>
      <c r="AV648">
        <v>0</v>
      </c>
      <c r="AW648">
        <v>0</v>
      </c>
      <c r="AX648">
        <v>0</v>
      </c>
      <c r="AY648">
        <v>1</v>
      </c>
      <c r="AZ648">
        <v>1</v>
      </c>
      <c r="BA648">
        <v>1</v>
      </c>
      <c r="BB648" t="s">
        <v>66</v>
      </c>
      <c r="BC648" t="s">
        <v>66</v>
      </c>
      <c r="BD648" t="s">
        <v>66</v>
      </c>
      <c r="BE648" t="s">
        <v>66</v>
      </c>
      <c r="BF648">
        <v>0</v>
      </c>
      <c r="BG648" t="s">
        <v>66</v>
      </c>
      <c r="BH648" t="s">
        <v>66</v>
      </c>
      <c r="BI648">
        <v>24</v>
      </c>
      <c r="BJ648">
        <v>4.8</v>
      </c>
      <c r="BK648" t="s">
        <v>66</v>
      </c>
      <c r="BL648">
        <v>17</v>
      </c>
      <c r="BM648">
        <v>9</v>
      </c>
      <c r="BN648">
        <v>5</v>
      </c>
      <c r="BO648">
        <f t="shared" si="98"/>
        <v>7</v>
      </c>
      <c r="BP648">
        <v>3</v>
      </c>
      <c r="BQ648">
        <v>1</v>
      </c>
      <c r="BS648">
        <v>0</v>
      </c>
      <c r="BT648">
        <f t="shared" si="99"/>
        <v>-50</v>
      </c>
      <c r="BU648">
        <f t="shared" si="100"/>
        <v>-45.833333333333336</v>
      </c>
      <c r="BV648">
        <f t="shared" si="101"/>
        <v>5.8823529411764701</v>
      </c>
      <c r="BW648">
        <f t="shared" si="102"/>
        <v>0</v>
      </c>
    </row>
    <row r="649" spans="1:75" x14ac:dyDescent="0.2">
      <c r="A649" t="s">
        <v>256</v>
      </c>
      <c r="B649" t="s">
        <v>278</v>
      </c>
      <c r="C649" t="s">
        <v>106</v>
      </c>
      <c r="D649" t="s">
        <v>603</v>
      </c>
      <c r="E649" t="s">
        <v>642</v>
      </c>
      <c r="F649" t="s">
        <v>823</v>
      </c>
      <c r="G649">
        <v>7</v>
      </c>
      <c r="H649">
        <v>1.9</v>
      </c>
      <c r="I649">
        <v>0.85</v>
      </c>
      <c r="J649">
        <v>1.1000000000000001</v>
      </c>
      <c r="K649">
        <v>10.85</v>
      </c>
      <c r="L649">
        <v>0.39285714300000002</v>
      </c>
      <c r="M649">
        <v>30</v>
      </c>
      <c r="N649">
        <v>33</v>
      </c>
      <c r="O649">
        <v>3</v>
      </c>
      <c r="P649">
        <v>32</v>
      </c>
      <c r="Q649">
        <v>2</v>
      </c>
      <c r="R649">
        <v>1</v>
      </c>
      <c r="S649">
        <v>49.1</v>
      </c>
      <c r="T649">
        <v>6.6666666670000003</v>
      </c>
      <c r="U649">
        <v>-3.0303030299999998</v>
      </c>
      <c r="V649">
        <v>4</v>
      </c>
      <c r="W649">
        <v>4</v>
      </c>
      <c r="X649">
        <v>4</v>
      </c>
      <c r="Y649">
        <v>0</v>
      </c>
      <c r="Z649">
        <v>0</v>
      </c>
      <c r="AA649" t="s">
        <v>66</v>
      </c>
      <c r="AB649" t="s">
        <v>66</v>
      </c>
      <c r="AC649" t="s">
        <v>66</v>
      </c>
      <c r="AD649" t="s">
        <v>66</v>
      </c>
      <c r="AE649">
        <v>20</v>
      </c>
      <c r="AF649">
        <v>21</v>
      </c>
      <c r="AG649" t="s">
        <v>66</v>
      </c>
      <c r="AH649">
        <v>12</v>
      </c>
      <c r="AI649">
        <v>12</v>
      </c>
      <c r="AJ649" t="s">
        <v>66</v>
      </c>
      <c r="AK649">
        <v>9</v>
      </c>
      <c r="AL649">
        <v>10</v>
      </c>
      <c r="AM649">
        <v>10.5</v>
      </c>
      <c r="AN649">
        <v>11</v>
      </c>
      <c r="AO649">
        <v>4.7619047620000003</v>
      </c>
      <c r="AP649">
        <v>5</v>
      </c>
      <c r="AQ649">
        <v>1.904761905</v>
      </c>
      <c r="AR649">
        <v>1.9090909089999999</v>
      </c>
      <c r="AS649">
        <v>4.329004E-3</v>
      </c>
      <c r="AT649">
        <v>0</v>
      </c>
      <c r="AU649" t="s">
        <v>66</v>
      </c>
      <c r="AV649">
        <v>0</v>
      </c>
      <c r="AW649">
        <v>0</v>
      </c>
      <c r="AX649">
        <v>0</v>
      </c>
      <c r="AY649">
        <v>1</v>
      </c>
      <c r="AZ649">
        <v>1</v>
      </c>
      <c r="BA649">
        <v>1</v>
      </c>
      <c r="BB649" t="s">
        <v>66</v>
      </c>
      <c r="BC649" t="s">
        <v>66</v>
      </c>
      <c r="BD649" t="s">
        <v>66</v>
      </c>
      <c r="BE649" t="s">
        <v>66</v>
      </c>
      <c r="BF649">
        <v>0</v>
      </c>
      <c r="BG649" t="s">
        <v>66</v>
      </c>
      <c r="BH649" t="s">
        <v>66</v>
      </c>
      <c r="BI649">
        <v>34</v>
      </c>
      <c r="BJ649">
        <v>6.1</v>
      </c>
      <c r="BK649" t="s">
        <v>66</v>
      </c>
      <c r="BL649">
        <v>22</v>
      </c>
      <c r="BM649">
        <v>15</v>
      </c>
      <c r="BN649">
        <v>9</v>
      </c>
      <c r="BO649">
        <f t="shared" si="98"/>
        <v>12</v>
      </c>
      <c r="BP649">
        <v>4</v>
      </c>
      <c r="BQ649">
        <v>1</v>
      </c>
      <c r="BS649">
        <v>0</v>
      </c>
      <c r="BT649">
        <f t="shared" si="99"/>
        <v>11.76470588235294</v>
      </c>
      <c r="BU649">
        <f t="shared" si="100"/>
        <v>34.426229508196712</v>
      </c>
      <c r="BV649">
        <f t="shared" si="101"/>
        <v>9.0909090909090917</v>
      </c>
      <c r="BW649">
        <f t="shared" si="102"/>
        <v>12.5</v>
      </c>
    </row>
    <row r="650" spans="1:75" x14ac:dyDescent="0.2">
      <c r="A650" t="s">
        <v>299</v>
      </c>
      <c r="B650" t="s">
        <v>321</v>
      </c>
      <c r="C650" t="s">
        <v>106</v>
      </c>
      <c r="D650" t="s">
        <v>603</v>
      </c>
      <c r="E650" t="s">
        <v>606</v>
      </c>
      <c r="F650" t="s">
        <v>845</v>
      </c>
      <c r="G650">
        <v>9.5</v>
      </c>
      <c r="H650">
        <v>15.55</v>
      </c>
      <c r="I650">
        <v>15</v>
      </c>
      <c r="J650">
        <v>4.0999999999999996</v>
      </c>
      <c r="K650">
        <v>44.15</v>
      </c>
      <c r="L650">
        <v>3.2157894740000001</v>
      </c>
      <c r="M650">
        <v>17</v>
      </c>
      <c r="N650">
        <v>22</v>
      </c>
      <c r="O650">
        <v>5</v>
      </c>
      <c r="P650">
        <v>25</v>
      </c>
      <c r="Q650">
        <v>8</v>
      </c>
      <c r="R650">
        <v>4</v>
      </c>
      <c r="S650">
        <v>55.1</v>
      </c>
      <c r="T650">
        <v>47.058823529999998</v>
      </c>
      <c r="U650">
        <v>13.636363640000001</v>
      </c>
      <c r="V650">
        <v>3</v>
      </c>
      <c r="W650">
        <v>5</v>
      </c>
      <c r="X650">
        <v>4</v>
      </c>
      <c r="Y650">
        <v>1</v>
      </c>
      <c r="Z650">
        <v>33.333333330000002</v>
      </c>
      <c r="AA650" t="s">
        <v>66</v>
      </c>
      <c r="AB650" t="s">
        <v>66</v>
      </c>
      <c r="AC650" t="s">
        <v>66</v>
      </c>
      <c r="AD650" t="s">
        <v>66</v>
      </c>
      <c r="AE650">
        <v>16</v>
      </c>
      <c r="AF650">
        <v>17</v>
      </c>
      <c r="AG650" t="s">
        <v>66</v>
      </c>
      <c r="AH650">
        <v>11</v>
      </c>
      <c r="AI650">
        <v>12</v>
      </c>
      <c r="AJ650" t="s">
        <v>66</v>
      </c>
      <c r="AK650">
        <v>9</v>
      </c>
      <c r="AL650">
        <v>11</v>
      </c>
      <c r="AM650">
        <v>10</v>
      </c>
      <c r="AN650">
        <v>11.5</v>
      </c>
      <c r="AO650">
        <v>15</v>
      </c>
      <c r="AP650">
        <v>6.25</v>
      </c>
      <c r="AQ650">
        <v>1.6</v>
      </c>
      <c r="AR650">
        <v>1.4782608699999999</v>
      </c>
      <c r="AS650">
        <v>-0.12173913</v>
      </c>
      <c r="AT650">
        <v>0</v>
      </c>
      <c r="AU650" t="s">
        <v>66</v>
      </c>
      <c r="AV650">
        <v>0</v>
      </c>
      <c r="AW650">
        <v>0</v>
      </c>
      <c r="AX650">
        <v>0</v>
      </c>
      <c r="AY650">
        <v>1</v>
      </c>
      <c r="AZ650">
        <v>1</v>
      </c>
      <c r="BA650">
        <v>1</v>
      </c>
      <c r="BB650" t="s">
        <v>66</v>
      </c>
      <c r="BC650" t="s">
        <v>66</v>
      </c>
      <c r="BD650" t="s">
        <v>66</v>
      </c>
      <c r="BE650" t="s">
        <v>66</v>
      </c>
      <c r="BF650">
        <v>0</v>
      </c>
      <c r="BG650" t="s">
        <v>66</v>
      </c>
      <c r="BH650" t="s">
        <v>66</v>
      </c>
      <c r="BI650" t="s">
        <v>66</v>
      </c>
      <c r="BJ650" t="s">
        <v>66</v>
      </c>
      <c r="BK650" t="s">
        <v>66</v>
      </c>
      <c r="BL650" t="s">
        <v>66</v>
      </c>
      <c r="BM650" t="s">
        <v>66</v>
      </c>
      <c r="BN650" t="s">
        <v>66</v>
      </c>
      <c r="BO650" t="s">
        <v>66</v>
      </c>
      <c r="BP650" t="s">
        <v>66</v>
      </c>
      <c r="BQ650">
        <v>0</v>
      </c>
      <c r="BS650">
        <v>0</v>
      </c>
      <c r="BT650" t="s">
        <v>66</v>
      </c>
      <c r="BU650" t="s">
        <v>66</v>
      </c>
      <c r="BV650" t="s">
        <v>66</v>
      </c>
      <c r="BW650" t="s">
        <v>66</v>
      </c>
    </row>
    <row r="651" spans="1:75" x14ac:dyDescent="0.2">
      <c r="A651" t="s">
        <v>299</v>
      </c>
      <c r="B651" t="s">
        <v>321</v>
      </c>
      <c r="C651" t="s">
        <v>106</v>
      </c>
      <c r="D651" t="s">
        <v>603</v>
      </c>
      <c r="E651" t="s">
        <v>604</v>
      </c>
      <c r="F651" t="s">
        <v>844</v>
      </c>
      <c r="G651">
        <v>9.5</v>
      </c>
      <c r="H651">
        <v>15.55</v>
      </c>
      <c r="I651">
        <v>15</v>
      </c>
      <c r="J651">
        <v>4.0999999999999996</v>
      </c>
      <c r="K651">
        <v>44.15</v>
      </c>
      <c r="L651">
        <v>3.2157894740000001</v>
      </c>
      <c r="M651">
        <v>31</v>
      </c>
      <c r="N651">
        <v>38</v>
      </c>
      <c r="O651">
        <v>7</v>
      </c>
      <c r="P651">
        <v>44</v>
      </c>
      <c r="Q651">
        <v>13</v>
      </c>
      <c r="R651">
        <v>6.5</v>
      </c>
      <c r="S651">
        <v>60.1</v>
      </c>
      <c r="T651">
        <v>41.935483869999999</v>
      </c>
      <c r="U651">
        <v>15.78947368</v>
      </c>
      <c r="V651">
        <v>4</v>
      </c>
      <c r="W651">
        <v>6</v>
      </c>
      <c r="X651">
        <v>6</v>
      </c>
      <c r="Y651">
        <v>2</v>
      </c>
      <c r="Z651">
        <v>50</v>
      </c>
      <c r="AA651" t="s">
        <v>66</v>
      </c>
      <c r="AB651" t="s">
        <v>66</v>
      </c>
      <c r="AC651" t="s">
        <v>66</v>
      </c>
      <c r="AD651" t="s">
        <v>66</v>
      </c>
      <c r="AE651">
        <v>33</v>
      </c>
      <c r="AF651">
        <v>38</v>
      </c>
      <c r="AG651" t="s">
        <v>66</v>
      </c>
      <c r="AH651">
        <v>19</v>
      </c>
      <c r="AI651">
        <v>20</v>
      </c>
      <c r="AJ651" t="s">
        <v>66</v>
      </c>
      <c r="AK651">
        <v>17</v>
      </c>
      <c r="AL651">
        <v>16</v>
      </c>
      <c r="AM651">
        <v>18</v>
      </c>
      <c r="AN651">
        <v>18</v>
      </c>
      <c r="AO651">
        <v>0</v>
      </c>
      <c r="AP651">
        <v>15.15151515</v>
      </c>
      <c r="AQ651">
        <v>1.8333333329999999</v>
      </c>
      <c r="AR651">
        <v>2.111111111</v>
      </c>
      <c r="AS651">
        <v>0.27777777799999998</v>
      </c>
      <c r="AT651">
        <v>0</v>
      </c>
      <c r="AU651" t="s">
        <v>66</v>
      </c>
      <c r="AV651">
        <v>0</v>
      </c>
      <c r="AW651">
        <v>0</v>
      </c>
      <c r="AX651">
        <v>0</v>
      </c>
      <c r="AY651">
        <v>1</v>
      </c>
      <c r="AZ651">
        <v>1</v>
      </c>
      <c r="BA651">
        <v>1</v>
      </c>
      <c r="BB651" t="s">
        <v>66</v>
      </c>
      <c r="BC651" t="s">
        <v>66</v>
      </c>
      <c r="BD651" t="s">
        <v>66</v>
      </c>
      <c r="BE651" t="s">
        <v>66</v>
      </c>
      <c r="BF651">
        <v>0</v>
      </c>
      <c r="BG651" t="s">
        <v>66</v>
      </c>
      <c r="BH651" t="s">
        <v>66</v>
      </c>
      <c r="BI651">
        <v>62</v>
      </c>
      <c r="BJ651">
        <v>7.9</v>
      </c>
      <c r="BK651" t="s">
        <v>66</v>
      </c>
      <c r="BL651">
        <v>55</v>
      </c>
      <c r="BM651">
        <v>26</v>
      </c>
      <c r="BN651">
        <v>22</v>
      </c>
      <c r="BO651">
        <f t="shared" ref="BO651:BO669" si="103">AVERAGE(BM651,BN651)</f>
        <v>24</v>
      </c>
      <c r="BP651">
        <v>4</v>
      </c>
      <c r="BQ651">
        <v>1</v>
      </c>
      <c r="BS651">
        <v>0</v>
      </c>
      <c r="BT651">
        <f t="shared" ref="BT651:BT669" si="104">(BI651-M651)/BI651*100</f>
        <v>50</v>
      </c>
      <c r="BU651">
        <f t="shared" ref="BU651:BU669" si="105">(BJ651-V651)/BJ651*100</f>
        <v>49.367088607594937</v>
      </c>
      <c r="BV651">
        <f t="shared" ref="BV651:BV669" si="106">(BL651-AE651)/BL651*100</f>
        <v>40</v>
      </c>
      <c r="BW651">
        <f t="shared" ref="BW651:BW669" si="107">(BO651-AM651)/BO651*100</f>
        <v>25</v>
      </c>
    </row>
    <row r="652" spans="1:75" x14ac:dyDescent="0.2">
      <c r="A652" t="s">
        <v>299</v>
      </c>
      <c r="B652" t="s">
        <v>321</v>
      </c>
      <c r="C652" t="s">
        <v>106</v>
      </c>
      <c r="D652" t="s">
        <v>603</v>
      </c>
      <c r="E652" t="s">
        <v>608</v>
      </c>
      <c r="F652" t="s">
        <v>846</v>
      </c>
      <c r="G652">
        <v>9.5</v>
      </c>
      <c r="H652">
        <v>15.55</v>
      </c>
      <c r="I652">
        <v>15</v>
      </c>
      <c r="J652">
        <v>4.0999999999999996</v>
      </c>
      <c r="K652">
        <v>44.15</v>
      </c>
      <c r="L652">
        <v>3.2157894740000001</v>
      </c>
      <c r="M652">
        <v>34</v>
      </c>
      <c r="N652">
        <v>41</v>
      </c>
      <c r="O652">
        <v>7</v>
      </c>
      <c r="P652">
        <v>45</v>
      </c>
      <c r="Q652">
        <v>11</v>
      </c>
      <c r="R652">
        <v>5.5</v>
      </c>
      <c r="S652">
        <v>58.1</v>
      </c>
      <c r="T652">
        <v>32.352941180000002</v>
      </c>
      <c r="U652">
        <v>9.7560975610000007</v>
      </c>
      <c r="V652">
        <v>5</v>
      </c>
      <c r="W652">
        <v>7</v>
      </c>
      <c r="X652">
        <v>9</v>
      </c>
      <c r="Y652">
        <v>4</v>
      </c>
      <c r="Z652">
        <v>80</v>
      </c>
      <c r="AA652" t="s">
        <v>66</v>
      </c>
      <c r="AB652" t="s">
        <v>66</v>
      </c>
      <c r="AC652" t="s">
        <v>66</v>
      </c>
      <c r="AD652" t="s">
        <v>66</v>
      </c>
      <c r="AE652">
        <v>36</v>
      </c>
      <c r="AF652">
        <v>40</v>
      </c>
      <c r="AG652" t="s">
        <v>66</v>
      </c>
      <c r="AH652">
        <v>25</v>
      </c>
      <c r="AI652">
        <v>28</v>
      </c>
      <c r="AJ652" t="s">
        <v>66</v>
      </c>
      <c r="AK652">
        <v>13</v>
      </c>
      <c r="AL652">
        <v>19</v>
      </c>
      <c r="AM652">
        <v>19</v>
      </c>
      <c r="AN652">
        <v>23.5</v>
      </c>
      <c r="AO652">
        <v>23.684210530000001</v>
      </c>
      <c r="AP652">
        <v>11.11111111</v>
      </c>
      <c r="AQ652">
        <v>1.8947368419999999</v>
      </c>
      <c r="AR652">
        <v>1.7021276599999999</v>
      </c>
      <c r="AS652">
        <v>-0.19260918199999999</v>
      </c>
      <c r="AT652">
        <v>0</v>
      </c>
      <c r="AU652" t="s">
        <v>66</v>
      </c>
      <c r="AV652">
        <v>0</v>
      </c>
      <c r="AW652">
        <v>0</v>
      </c>
      <c r="AX652">
        <v>0</v>
      </c>
      <c r="AY652">
        <v>1</v>
      </c>
      <c r="AZ652">
        <v>1</v>
      </c>
      <c r="BA652">
        <v>1</v>
      </c>
      <c r="BB652" t="s">
        <v>66</v>
      </c>
      <c r="BC652" t="s">
        <v>66</v>
      </c>
      <c r="BD652" t="s">
        <v>66</v>
      </c>
      <c r="BE652" t="s">
        <v>66</v>
      </c>
      <c r="BF652">
        <v>0</v>
      </c>
      <c r="BG652" t="s">
        <v>66</v>
      </c>
      <c r="BH652" t="s">
        <v>66</v>
      </c>
      <c r="BI652">
        <v>54</v>
      </c>
      <c r="BJ652">
        <v>8.3000000000000007</v>
      </c>
      <c r="BK652" t="s">
        <v>66</v>
      </c>
      <c r="BL652">
        <v>65</v>
      </c>
      <c r="BM652">
        <v>32</v>
      </c>
      <c r="BN652">
        <v>9</v>
      </c>
      <c r="BO652">
        <f t="shared" si="103"/>
        <v>20.5</v>
      </c>
      <c r="BP652">
        <v>4</v>
      </c>
      <c r="BQ652">
        <v>1</v>
      </c>
      <c r="BS652">
        <v>0</v>
      </c>
      <c r="BT652">
        <f t="shared" si="104"/>
        <v>37.037037037037038</v>
      </c>
      <c r="BU652">
        <f t="shared" si="105"/>
        <v>39.759036144578317</v>
      </c>
      <c r="BV652">
        <f t="shared" si="106"/>
        <v>44.61538461538462</v>
      </c>
      <c r="BW652">
        <f t="shared" si="107"/>
        <v>7.3170731707317067</v>
      </c>
    </row>
    <row r="653" spans="1:75" x14ac:dyDescent="0.2">
      <c r="A653" t="s">
        <v>299</v>
      </c>
      <c r="B653" t="s">
        <v>321</v>
      </c>
      <c r="C653" t="s">
        <v>106</v>
      </c>
      <c r="D653" t="s">
        <v>603</v>
      </c>
      <c r="E653" t="s">
        <v>610</v>
      </c>
      <c r="F653" t="s">
        <v>847</v>
      </c>
      <c r="G653">
        <v>9.5</v>
      </c>
      <c r="H653">
        <v>15.55</v>
      </c>
      <c r="I653">
        <v>15</v>
      </c>
      <c r="J653">
        <v>4.0999999999999996</v>
      </c>
      <c r="K653">
        <v>44.15</v>
      </c>
      <c r="L653">
        <v>3.2157894740000001</v>
      </c>
      <c r="M653">
        <v>15</v>
      </c>
      <c r="N653">
        <v>18</v>
      </c>
      <c r="O653">
        <v>3</v>
      </c>
      <c r="P653">
        <v>23</v>
      </c>
      <c r="Q653">
        <v>8</v>
      </c>
      <c r="R653">
        <v>4</v>
      </c>
      <c r="S653">
        <v>55.1</v>
      </c>
      <c r="T653">
        <v>53.333333330000002</v>
      </c>
      <c r="U653">
        <v>27.777777780000001</v>
      </c>
      <c r="V653">
        <v>3</v>
      </c>
      <c r="W653">
        <v>3</v>
      </c>
      <c r="X653">
        <v>4</v>
      </c>
      <c r="Y653">
        <v>1</v>
      </c>
      <c r="Z653">
        <v>33.333333330000002</v>
      </c>
      <c r="AA653" t="s">
        <v>66</v>
      </c>
      <c r="AB653" t="s">
        <v>66</v>
      </c>
      <c r="AC653" t="s">
        <v>66</v>
      </c>
      <c r="AD653" t="s">
        <v>66</v>
      </c>
      <c r="AE653">
        <v>14</v>
      </c>
      <c r="AF653">
        <v>18</v>
      </c>
      <c r="AG653" t="s">
        <v>66</v>
      </c>
      <c r="AH653">
        <v>12</v>
      </c>
      <c r="AI653">
        <v>13</v>
      </c>
      <c r="AJ653" t="s">
        <v>66</v>
      </c>
      <c r="AK653">
        <v>5</v>
      </c>
      <c r="AL653">
        <v>12</v>
      </c>
      <c r="AM653">
        <v>8.5</v>
      </c>
      <c r="AN653">
        <v>12.5</v>
      </c>
      <c r="AO653">
        <v>47.058823529999998</v>
      </c>
      <c r="AP653">
        <v>28.571428569999998</v>
      </c>
      <c r="AQ653">
        <v>1.6470588239999999</v>
      </c>
      <c r="AR653">
        <v>1.44</v>
      </c>
      <c r="AS653">
        <v>-0.207058824</v>
      </c>
      <c r="AT653">
        <v>0</v>
      </c>
      <c r="AU653" t="s">
        <v>66</v>
      </c>
      <c r="AV653">
        <v>0</v>
      </c>
      <c r="AW653">
        <v>0</v>
      </c>
      <c r="AX653">
        <v>0</v>
      </c>
      <c r="AY653">
        <v>1</v>
      </c>
      <c r="AZ653">
        <v>1</v>
      </c>
      <c r="BA653">
        <v>1</v>
      </c>
      <c r="BB653" t="s">
        <v>66</v>
      </c>
      <c r="BC653" t="s">
        <v>66</v>
      </c>
      <c r="BD653" t="s">
        <v>66</v>
      </c>
      <c r="BE653" t="s">
        <v>66</v>
      </c>
      <c r="BF653">
        <v>0</v>
      </c>
      <c r="BG653" t="s">
        <v>66</v>
      </c>
      <c r="BH653" t="s">
        <v>66</v>
      </c>
      <c r="BI653">
        <v>27</v>
      </c>
      <c r="BJ653">
        <v>5</v>
      </c>
      <c r="BK653" t="s">
        <v>66</v>
      </c>
      <c r="BL653">
        <v>21</v>
      </c>
      <c r="BM653">
        <v>14</v>
      </c>
      <c r="BN653">
        <v>8</v>
      </c>
      <c r="BO653">
        <f t="shared" si="103"/>
        <v>11</v>
      </c>
      <c r="BP653">
        <v>4</v>
      </c>
      <c r="BQ653">
        <v>1</v>
      </c>
      <c r="BS653">
        <v>0</v>
      </c>
      <c r="BT653">
        <f t="shared" si="104"/>
        <v>44.444444444444443</v>
      </c>
      <c r="BU653">
        <f t="shared" si="105"/>
        <v>40</v>
      </c>
      <c r="BV653">
        <f t="shared" si="106"/>
        <v>33.333333333333329</v>
      </c>
      <c r="BW653">
        <f t="shared" si="107"/>
        <v>22.727272727272727</v>
      </c>
    </row>
    <row r="654" spans="1:75" x14ac:dyDescent="0.2">
      <c r="A654" t="s">
        <v>299</v>
      </c>
      <c r="B654" t="s">
        <v>321</v>
      </c>
      <c r="C654" t="s">
        <v>106</v>
      </c>
      <c r="D654" t="s">
        <v>603</v>
      </c>
      <c r="E654" t="s">
        <v>612</v>
      </c>
      <c r="F654" t="s">
        <v>848</v>
      </c>
      <c r="G654">
        <v>9.5</v>
      </c>
      <c r="H654">
        <v>15.55</v>
      </c>
      <c r="I654">
        <v>15</v>
      </c>
      <c r="J654">
        <v>4.0999999999999996</v>
      </c>
      <c r="K654">
        <v>44.15</v>
      </c>
      <c r="L654">
        <v>3.2157894740000001</v>
      </c>
      <c r="M654">
        <v>25</v>
      </c>
      <c r="N654">
        <v>32</v>
      </c>
      <c r="O654">
        <v>7</v>
      </c>
      <c r="P654">
        <v>38</v>
      </c>
      <c r="Q654">
        <v>13</v>
      </c>
      <c r="R654">
        <v>6.5</v>
      </c>
      <c r="S654">
        <v>60.1</v>
      </c>
      <c r="T654">
        <v>52</v>
      </c>
      <c r="U654">
        <v>18.75</v>
      </c>
      <c r="V654">
        <v>3</v>
      </c>
      <c r="W654">
        <v>3</v>
      </c>
      <c r="X654">
        <v>5</v>
      </c>
      <c r="Y654">
        <v>2</v>
      </c>
      <c r="Z654">
        <v>66.666666669999998</v>
      </c>
      <c r="AA654" t="s">
        <v>66</v>
      </c>
      <c r="AB654" t="s">
        <v>66</v>
      </c>
      <c r="AC654" t="s">
        <v>66</v>
      </c>
      <c r="AD654" t="s">
        <v>66</v>
      </c>
      <c r="AE654">
        <v>26</v>
      </c>
      <c r="AF654">
        <v>32</v>
      </c>
      <c r="AG654" t="s">
        <v>66</v>
      </c>
      <c r="AH654">
        <v>18</v>
      </c>
      <c r="AI654">
        <v>24</v>
      </c>
      <c r="AJ654" t="s">
        <v>66</v>
      </c>
      <c r="AK654">
        <v>13</v>
      </c>
      <c r="AL654">
        <v>23</v>
      </c>
      <c r="AM654">
        <v>15.5</v>
      </c>
      <c r="AN654">
        <v>23.5</v>
      </c>
      <c r="AO654">
        <v>51.612903230000001</v>
      </c>
      <c r="AP654">
        <v>23.07692308</v>
      </c>
      <c r="AQ654">
        <v>1.6774193550000001</v>
      </c>
      <c r="AR654">
        <v>1.3617021279999999</v>
      </c>
      <c r="AS654">
        <v>-0.31571722699999999</v>
      </c>
      <c r="AT654">
        <v>0</v>
      </c>
      <c r="AU654" t="s">
        <v>66</v>
      </c>
      <c r="AV654">
        <v>0</v>
      </c>
      <c r="AW654">
        <v>0</v>
      </c>
      <c r="AX654">
        <v>0</v>
      </c>
      <c r="AY654">
        <v>1</v>
      </c>
      <c r="AZ654">
        <v>1</v>
      </c>
      <c r="BA654">
        <v>1</v>
      </c>
      <c r="BB654" t="s">
        <v>66</v>
      </c>
      <c r="BC654" t="s">
        <v>66</v>
      </c>
      <c r="BD654" t="s">
        <v>66</v>
      </c>
      <c r="BE654" t="s">
        <v>66</v>
      </c>
      <c r="BF654">
        <v>0</v>
      </c>
      <c r="BG654" t="s">
        <v>66</v>
      </c>
      <c r="BH654" t="s">
        <v>66</v>
      </c>
      <c r="BI654">
        <v>48</v>
      </c>
      <c r="BJ654">
        <v>6</v>
      </c>
      <c r="BK654" t="s">
        <v>66</v>
      </c>
      <c r="BL654">
        <v>45</v>
      </c>
      <c r="BM654">
        <v>32</v>
      </c>
      <c r="BN654">
        <v>9</v>
      </c>
      <c r="BO654">
        <f t="shared" si="103"/>
        <v>20.5</v>
      </c>
      <c r="BP654">
        <v>4</v>
      </c>
      <c r="BQ654">
        <v>1</v>
      </c>
      <c r="BS654">
        <v>0</v>
      </c>
      <c r="BT654">
        <f t="shared" si="104"/>
        <v>47.916666666666671</v>
      </c>
      <c r="BU654">
        <f t="shared" si="105"/>
        <v>50</v>
      </c>
      <c r="BV654">
        <f t="shared" si="106"/>
        <v>42.222222222222221</v>
      </c>
      <c r="BW654">
        <f t="shared" si="107"/>
        <v>24.390243902439025</v>
      </c>
    </row>
    <row r="655" spans="1:75" x14ac:dyDescent="0.2">
      <c r="A655" t="s">
        <v>299</v>
      </c>
      <c r="B655" t="s">
        <v>321</v>
      </c>
      <c r="C655" t="s">
        <v>106</v>
      </c>
      <c r="D655" t="s">
        <v>603</v>
      </c>
      <c r="E655" t="s">
        <v>614</v>
      </c>
      <c r="F655" t="s">
        <v>849</v>
      </c>
      <c r="G655">
        <v>9.5</v>
      </c>
      <c r="H655">
        <v>15.55</v>
      </c>
      <c r="I655">
        <v>15</v>
      </c>
      <c r="J655">
        <v>4.0999999999999996</v>
      </c>
      <c r="K655">
        <v>44.15</v>
      </c>
      <c r="L655">
        <v>3.2157894740000001</v>
      </c>
      <c r="M655">
        <v>24</v>
      </c>
      <c r="N655">
        <v>26</v>
      </c>
      <c r="O655">
        <v>2</v>
      </c>
      <c r="P655">
        <v>31</v>
      </c>
      <c r="Q655">
        <v>7</v>
      </c>
      <c r="R655">
        <v>3.5</v>
      </c>
      <c r="S655">
        <v>54.1</v>
      </c>
      <c r="T655">
        <v>29.166666670000001</v>
      </c>
      <c r="U655">
        <v>19.23076923</v>
      </c>
      <c r="V655">
        <v>4</v>
      </c>
      <c r="W655">
        <v>3</v>
      </c>
      <c r="X655">
        <v>5</v>
      </c>
      <c r="Y655">
        <v>1</v>
      </c>
      <c r="Z655">
        <v>25</v>
      </c>
      <c r="AA655" t="s">
        <v>66</v>
      </c>
      <c r="AB655" t="s">
        <v>66</v>
      </c>
      <c r="AC655" t="s">
        <v>66</v>
      </c>
      <c r="AD655" t="s">
        <v>66</v>
      </c>
      <c r="AE655">
        <v>22</v>
      </c>
      <c r="AF655">
        <v>27</v>
      </c>
      <c r="AG655" t="s">
        <v>66</v>
      </c>
      <c r="AH655">
        <v>14</v>
      </c>
      <c r="AI655">
        <v>16</v>
      </c>
      <c r="AJ655" t="s">
        <v>66</v>
      </c>
      <c r="AK655">
        <v>8</v>
      </c>
      <c r="AL655">
        <v>13</v>
      </c>
      <c r="AM655">
        <v>11</v>
      </c>
      <c r="AN655">
        <v>14.5</v>
      </c>
      <c r="AO655">
        <v>31.81818182</v>
      </c>
      <c r="AP655">
        <v>22.727272729999999</v>
      </c>
      <c r="AQ655">
        <v>2</v>
      </c>
      <c r="AR655">
        <v>1.862068966</v>
      </c>
      <c r="AS655">
        <v>-0.13793103400000001</v>
      </c>
      <c r="AT655">
        <v>0</v>
      </c>
      <c r="AU655" t="s">
        <v>66</v>
      </c>
      <c r="AV655">
        <v>0</v>
      </c>
      <c r="AW655">
        <v>0</v>
      </c>
      <c r="AX655">
        <v>0</v>
      </c>
      <c r="AY655">
        <v>1</v>
      </c>
      <c r="AZ655">
        <v>1</v>
      </c>
      <c r="BA655">
        <v>1</v>
      </c>
      <c r="BB655" t="s">
        <v>66</v>
      </c>
      <c r="BC655" t="s">
        <v>66</v>
      </c>
      <c r="BD655" t="s">
        <v>66</v>
      </c>
      <c r="BE655" t="s">
        <v>66</v>
      </c>
      <c r="BF655">
        <v>0</v>
      </c>
      <c r="BG655" t="s">
        <v>66</v>
      </c>
      <c r="BH655" t="s">
        <v>66</v>
      </c>
      <c r="BI655">
        <v>42</v>
      </c>
      <c r="BJ655">
        <v>4.9000000000000004</v>
      </c>
      <c r="BK655" t="s">
        <v>66</v>
      </c>
      <c r="BL655">
        <v>35</v>
      </c>
      <c r="BM655">
        <v>23</v>
      </c>
      <c r="BN655">
        <v>9</v>
      </c>
      <c r="BO655">
        <f t="shared" si="103"/>
        <v>16</v>
      </c>
      <c r="BP655">
        <v>4</v>
      </c>
      <c r="BQ655">
        <v>1</v>
      </c>
      <c r="BS655">
        <v>0</v>
      </c>
      <c r="BT655">
        <f t="shared" si="104"/>
        <v>42.857142857142854</v>
      </c>
      <c r="BU655">
        <f t="shared" si="105"/>
        <v>18.367346938775515</v>
      </c>
      <c r="BV655">
        <f t="shared" si="106"/>
        <v>37.142857142857146</v>
      </c>
      <c r="BW655">
        <f t="shared" si="107"/>
        <v>31.25</v>
      </c>
    </row>
    <row r="656" spans="1:75" x14ac:dyDescent="0.2">
      <c r="A656" t="s">
        <v>299</v>
      </c>
      <c r="B656" t="s">
        <v>321</v>
      </c>
      <c r="C656" t="s">
        <v>106</v>
      </c>
      <c r="D656" t="s">
        <v>603</v>
      </c>
      <c r="E656" t="s">
        <v>616</v>
      </c>
      <c r="F656" t="s">
        <v>850</v>
      </c>
      <c r="G656">
        <v>9.5</v>
      </c>
      <c r="H656">
        <v>15.55</v>
      </c>
      <c r="I656">
        <v>15</v>
      </c>
      <c r="J656">
        <v>4.0999999999999996</v>
      </c>
      <c r="K656">
        <v>44.15</v>
      </c>
      <c r="L656">
        <v>3.2157894740000001</v>
      </c>
      <c r="M656">
        <v>28</v>
      </c>
      <c r="N656">
        <v>32</v>
      </c>
      <c r="O656">
        <v>4</v>
      </c>
      <c r="P656">
        <v>38</v>
      </c>
      <c r="Q656">
        <v>10</v>
      </c>
      <c r="R656">
        <v>5</v>
      </c>
      <c r="S656">
        <v>57.1</v>
      </c>
      <c r="T656">
        <v>35.714285709999999</v>
      </c>
      <c r="U656">
        <v>18.75</v>
      </c>
      <c r="V656">
        <v>4</v>
      </c>
      <c r="W656">
        <v>4</v>
      </c>
      <c r="X656">
        <v>6</v>
      </c>
      <c r="Y656">
        <v>2</v>
      </c>
      <c r="Z656">
        <v>50</v>
      </c>
      <c r="AA656" t="s">
        <v>66</v>
      </c>
      <c r="AB656" t="s">
        <v>66</v>
      </c>
      <c r="AC656" t="s">
        <v>66</v>
      </c>
      <c r="AD656" t="s">
        <v>66</v>
      </c>
      <c r="AE656">
        <v>24</v>
      </c>
      <c r="AF656">
        <v>34</v>
      </c>
      <c r="AG656" t="s">
        <v>66</v>
      </c>
      <c r="AH656">
        <v>13</v>
      </c>
      <c r="AI656">
        <v>20</v>
      </c>
      <c r="AJ656" t="s">
        <v>66</v>
      </c>
      <c r="AK656">
        <v>12</v>
      </c>
      <c r="AL656">
        <v>18</v>
      </c>
      <c r="AM656">
        <v>12.5</v>
      </c>
      <c r="AN656">
        <v>19</v>
      </c>
      <c r="AO656">
        <v>52</v>
      </c>
      <c r="AP656">
        <v>41.666666669999998</v>
      </c>
      <c r="AQ656">
        <v>1.92</v>
      </c>
      <c r="AR656">
        <v>1.7894736840000001</v>
      </c>
      <c r="AS656">
        <v>-0.130526316</v>
      </c>
      <c r="AT656">
        <v>0</v>
      </c>
      <c r="AU656" t="s">
        <v>66</v>
      </c>
      <c r="AV656">
        <v>0</v>
      </c>
      <c r="AW656">
        <v>0</v>
      </c>
      <c r="AX656">
        <v>0</v>
      </c>
      <c r="AY656">
        <v>1</v>
      </c>
      <c r="AZ656">
        <v>1</v>
      </c>
      <c r="BA656">
        <v>1</v>
      </c>
      <c r="BB656" t="s">
        <v>66</v>
      </c>
      <c r="BC656" t="s">
        <v>66</v>
      </c>
      <c r="BD656" t="s">
        <v>66</v>
      </c>
      <c r="BE656" t="s">
        <v>66</v>
      </c>
      <c r="BF656">
        <v>0</v>
      </c>
      <c r="BG656" t="s">
        <v>66</v>
      </c>
      <c r="BH656" t="s">
        <v>66</v>
      </c>
      <c r="BI656">
        <v>54</v>
      </c>
      <c r="BJ656">
        <v>6.7</v>
      </c>
      <c r="BK656" t="s">
        <v>66</v>
      </c>
      <c r="BL656">
        <v>46</v>
      </c>
      <c r="BM656">
        <v>26</v>
      </c>
      <c r="BN656">
        <v>13</v>
      </c>
      <c r="BO656">
        <f t="shared" si="103"/>
        <v>19.5</v>
      </c>
      <c r="BP656">
        <v>4</v>
      </c>
      <c r="BQ656">
        <v>1</v>
      </c>
      <c r="BS656">
        <v>0</v>
      </c>
      <c r="BT656">
        <f t="shared" si="104"/>
        <v>48.148148148148145</v>
      </c>
      <c r="BU656">
        <f t="shared" si="105"/>
        <v>40.298507462686565</v>
      </c>
      <c r="BV656">
        <f t="shared" si="106"/>
        <v>47.826086956521742</v>
      </c>
      <c r="BW656">
        <f t="shared" si="107"/>
        <v>35.897435897435898</v>
      </c>
    </row>
    <row r="657" spans="1:75" x14ac:dyDescent="0.2">
      <c r="A657" t="s">
        <v>299</v>
      </c>
      <c r="B657" t="s">
        <v>321</v>
      </c>
      <c r="C657" t="s">
        <v>106</v>
      </c>
      <c r="D657" t="s">
        <v>603</v>
      </c>
      <c r="E657" t="s">
        <v>618</v>
      </c>
      <c r="F657" t="s">
        <v>851</v>
      </c>
      <c r="G657">
        <v>9.5</v>
      </c>
      <c r="H657">
        <v>15.55</v>
      </c>
      <c r="I657">
        <v>15</v>
      </c>
      <c r="J657">
        <v>4.0999999999999996</v>
      </c>
      <c r="K657">
        <v>44.15</v>
      </c>
      <c r="L657">
        <v>3.2157894740000001</v>
      </c>
      <c r="M657">
        <v>20</v>
      </c>
      <c r="N657">
        <v>26</v>
      </c>
      <c r="O657">
        <v>6</v>
      </c>
      <c r="P657">
        <v>33</v>
      </c>
      <c r="Q657">
        <v>13</v>
      </c>
      <c r="R657">
        <v>6.5</v>
      </c>
      <c r="S657">
        <v>60.1</v>
      </c>
      <c r="T657">
        <v>65</v>
      </c>
      <c r="U657">
        <v>26.92307692</v>
      </c>
      <c r="V657">
        <v>3</v>
      </c>
      <c r="W657">
        <v>4</v>
      </c>
      <c r="X657">
        <v>6</v>
      </c>
      <c r="Y657">
        <v>3</v>
      </c>
      <c r="Z657">
        <v>100</v>
      </c>
      <c r="AA657" t="s">
        <v>66</v>
      </c>
      <c r="AB657" t="s">
        <v>66</v>
      </c>
      <c r="AC657" t="s">
        <v>66</v>
      </c>
      <c r="AD657" t="s">
        <v>66</v>
      </c>
      <c r="AE657">
        <v>19</v>
      </c>
      <c r="AF657">
        <v>27</v>
      </c>
      <c r="AG657" t="s">
        <v>66</v>
      </c>
      <c r="AH657">
        <v>13</v>
      </c>
      <c r="AI657">
        <v>17</v>
      </c>
      <c r="AJ657" t="s">
        <v>66</v>
      </c>
      <c r="AK657">
        <v>11</v>
      </c>
      <c r="AL657">
        <v>15</v>
      </c>
      <c r="AM657">
        <v>12</v>
      </c>
      <c r="AN657">
        <v>16</v>
      </c>
      <c r="AO657">
        <v>33.333333330000002</v>
      </c>
      <c r="AP657">
        <v>42.10526316</v>
      </c>
      <c r="AQ657">
        <v>1.5833333329999999</v>
      </c>
      <c r="AR657">
        <v>1.6875</v>
      </c>
      <c r="AS657">
        <v>0.104166667</v>
      </c>
      <c r="AT657">
        <v>0</v>
      </c>
      <c r="AU657" t="s">
        <v>66</v>
      </c>
      <c r="AV657">
        <v>0</v>
      </c>
      <c r="AW657">
        <v>0</v>
      </c>
      <c r="AX657">
        <v>0</v>
      </c>
      <c r="AY657">
        <v>1</v>
      </c>
      <c r="AZ657">
        <v>1</v>
      </c>
      <c r="BA657">
        <v>1</v>
      </c>
      <c r="BB657" t="s">
        <v>66</v>
      </c>
      <c r="BC657" t="s">
        <v>66</v>
      </c>
      <c r="BD657" t="s">
        <v>66</v>
      </c>
      <c r="BE657" t="s">
        <v>66</v>
      </c>
      <c r="BF657">
        <v>0</v>
      </c>
      <c r="BG657" t="s">
        <v>66</v>
      </c>
      <c r="BH657" t="s">
        <v>66</v>
      </c>
      <c r="BI657">
        <v>40</v>
      </c>
      <c r="BJ657">
        <v>6.3</v>
      </c>
      <c r="BK657" t="s">
        <v>66</v>
      </c>
      <c r="BL657">
        <v>32</v>
      </c>
      <c r="BM657">
        <v>21</v>
      </c>
      <c r="BN657">
        <v>16</v>
      </c>
      <c r="BO657">
        <f t="shared" si="103"/>
        <v>18.5</v>
      </c>
      <c r="BP657">
        <v>4</v>
      </c>
      <c r="BQ657">
        <v>1</v>
      </c>
      <c r="BS657">
        <v>0</v>
      </c>
      <c r="BT657">
        <f t="shared" si="104"/>
        <v>50</v>
      </c>
      <c r="BU657">
        <f t="shared" si="105"/>
        <v>52.380952380952387</v>
      </c>
      <c r="BV657">
        <f t="shared" si="106"/>
        <v>40.625</v>
      </c>
      <c r="BW657">
        <f t="shared" si="107"/>
        <v>35.135135135135137</v>
      </c>
    </row>
    <row r="658" spans="1:75" x14ac:dyDescent="0.2">
      <c r="A658" t="s">
        <v>299</v>
      </c>
      <c r="B658" t="s">
        <v>321</v>
      </c>
      <c r="C658" t="s">
        <v>106</v>
      </c>
      <c r="D658" t="s">
        <v>603</v>
      </c>
      <c r="E658" t="s">
        <v>620</v>
      </c>
      <c r="F658" t="s">
        <v>852</v>
      </c>
      <c r="G658">
        <v>9.5</v>
      </c>
      <c r="H658">
        <v>15.55</v>
      </c>
      <c r="I658">
        <v>15</v>
      </c>
      <c r="J658">
        <v>4.0999999999999996</v>
      </c>
      <c r="K658">
        <v>44.15</v>
      </c>
      <c r="L658">
        <v>3.2157894740000001</v>
      </c>
      <c r="M658">
        <v>45</v>
      </c>
      <c r="N658">
        <v>39</v>
      </c>
      <c r="O658">
        <v>-6</v>
      </c>
      <c r="P658">
        <v>44</v>
      </c>
      <c r="Q658">
        <v>-1</v>
      </c>
      <c r="R658">
        <v>-0.5</v>
      </c>
      <c r="S658">
        <v>46.1</v>
      </c>
      <c r="T658">
        <v>-2.2222222220000001</v>
      </c>
      <c r="U658">
        <v>12.820512819999999</v>
      </c>
      <c r="V658">
        <v>4</v>
      </c>
      <c r="W658">
        <v>5</v>
      </c>
      <c r="X658">
        <v>7</v>
      </c>
      <c r="Y658">
        <v>3</v>
      </c>
      <c r="Z658">
        <v>75</v>
      </c>
      <c r="AA658" t="s">
        <v>66</v>
      </c>
      <c r="AB658" t="s">
        <v>66</v>
      </c>
      <c r="AC658" t="s">
        <v>66</v>
      </c>
      <c r="AD658" t="s">
        <v>66</v>
      </c>
      <c r="AE658">
        <v>33</v>
      </c>
      <c r="AF658">
        <v>39</v>
      </c>
      <c r="AG658" t="s">
        <v>66</v>
      </c>
      <c r="AH658">
        <v>22</v>
      </c>
      <c r="AI658">
        <v>26</v>
      </c>
      <c r="AJ658" t="s">
        <v>66</v>
      </c>
      <c r="AK658">
        <v>16</v>
      </c>
      <c r="AL658">
        <v>20</v>
      </c>
      <c r="AM658">
        <v>19</v>
      </c>
      <c r="AN658">
        <v>23</v>
      </c>
      <c r="AO658">
        <v>21.05263158</v>
      </c>
      <c r="AP658">
        <v>18.18181818</v>
      </c>
      <c r="AQ658">
        <v>1.736842105</v>
      </c>
      <c r="AR658">
        <v>1.6956521739999999</v>
      </c>
      <c r="AS658">
        <v>-4.1189930999999999E-2</v>
      </c>
      <c r="AT658">
        <v>0</v>
      </c>
      <c r="AU658" t="s">
        <v>66</v>
      </c>
      <c r="AV658">
        <v>0</v>
      </c>
      <c r="AW658">
        <v>0</v>
      </c>
      <c r="AX658">
        <v>0</v>
      </c>
      <c r="AY658">
        <v>1</v>
      </c>
      <c r="AZ658">
        <v>1</v>
      </c>
      <c r="BA658">
        <v>1</v>
      </c>
      <c r="BB658" t="s">
        <v>66</v>
      </c>
      <c r="BC658" t="s">
        <v>66</v>
      </c>
      <c r="BD658" t="s">
        <v>66</v>
      </c>
      <c r="BE658" t="s">
        <v>66</v>
      </c>
      <c r="BF658">
        <v>0</v>
      </c>
      <c r="BG658" t="s">
        <v>66</v>
      </c>
      <c r="BH658" t="s">
        <v>66</v>
      </c>
      <c r="BI658">
        <v>67</v>
      </c>
      <c r="BJ658">
        <v>7</v>
      </c>
      <c r="BK658" t="s">
        <v>66</v>
      </c>
      <c r="BL658">
        <v>54</v>
      </c>
      <c r="BM658">
        <v>24</v>
      </c>
      <c r="BN658">
        <v>9</v>
      </c>
      <c r="BO658">
        <f t="shared" si="103"/>
        <v>16.5</v>
      </c>
      <c r="BP658">
        <v>4</v>
      </c>
      <c r="BQ658">
        <v>1</v>
      </c>
      <c r="BS658">
        <v>0</v>
      </c>
      <c r="BT658">
        <f t="shared" si="104"/>
        <v>32.835820895522389</v>
      </c>
      <c r="BU658">
        <f t="shared" si="105"/>
        <v>42.857142857142854</v>
      </c>
      <c r="BV658">
        <f t="shared" si="106"/>
        <v>38.888888888888893</v>
      </c>
      <c r="BW658">
        <f t="shared" si="107"/>
        <v>-15.151515151515152</v>
      </c>
    </row>
    <row r="659" spans="1:75" x14ac:dyDescent="0.2">
      <c r="A659" t="s">
        <v>299</v>
      </c>
      <c r="B659" t="s">
        <v>321</v>
      </c>
      <c r="C659" t="s">
        <v>106</v>
      </c>
      <c r="D659" t="s">
        <v>603</v>
      </c>
      <c r="E659" t="s">
        <v>622</v>
      </c>
      <c r="F659" t="s">
        <v>853</v>
      </c>
      <c r="G659">
        <v>9.5</v>
      </c>
      <c r="H659">
        <v>15.55</v>
      </c>
      <c r="I659">
        <v>15</v>
      </c>
      <c r="J659">
        <v>4.0999999999999996</v>
      </c>
      <c r="K659">
        <v>44.15</v>
      </c>
      <c r="L659">
        <v>3.2157894740000001</v>
      </c>
      <c r="M659">
        <v>33</v>
      </c>
      <c r="N659">
        <v>38</v>
      </c>
      <c r="O659">
        <v>5</v>
      </c>
      <c r="P659">
        <v>47</v>
      </c>
      <c r="Q659">
        <v>14</v>
      </c>
      <c r="R659">
        <v>7</v>
      </c>
      <c r="S659">
        <v>61.1</v>
      </c>
      <c r="T659">
        <v>42.424242419999999</v>
      </c>
      <c r="U659">
        <v>23.684210530000001</v>
      </c>
      <c r="V659">
        <v>5</v>
      </c>
      <c r="W659">
        <v>5</v>
      </c>
      <c r="X659">
        <v>7</v>
      </c>
      <c r="Y659">
        <v>2</v>
      </c>
      <c r="Z659">
        <v>40</v>
      </c>
      <c r="AA659" t="s">
        <v>66</v>
      </c>
      <c r="AB659" t="s">
        <v>66</v>
      </c>
      <c r="AC659" t="s">
        <v>66</v>
      </c>
      <c r="AD659" t="s">
        <v>66</v>
      </c>
      <c r="AE659">
        <v>32</v>
      </c>
      <c r="AF659">
        <v>40</v>
      </c>
      <c r="AG659" t="s">
        <v>66</v>
      </c>
      <c r="AH659">
        <v>16</v>
      </c>
      <c r="AI659">
        <v>25</v>
      </c>
      <c r="AJ659" t="s">
        <v>66</v>
      </c>
      <c r="AK659">
        <v>11</v>
      </c>
      <c r="AL659">
        <v>22</v>
      </c>
      <c r="AM659">
        <v>13.5</v>
      </c>
      <c r="AN659">
        <v>23.5</v>
      </c>
      <c r="AO659">
        <v>74.074074069999995</v>
      </c>
      <c r="AP659">
        <v>25</v>
      </c>
      <c r="AQ659">
        <v>2.3703703699999998</v>
      </c>
      <c r="AR659">
        <v>1.7021276599999999</v>
      </c>
      <c r="AS659">
        <v>-0.66824271000000002</v>
      </c>
      <c r="AT659">
        <v>0</v>
      </c>
      <c r="AU659" t="s">
        <v>66</v>
      </c>
      <c r="AV659">
        <v>0</v>
      </c>
      <c r="AW659">
        <v>0</v>
      </c>
      <c r="AX659">
        <v>0</v>
      </c>
      <c r="AY659">
        <v>1</v>
      </c>
      <c r="AZ659">
        <v>1</v>
      </c>
      <c r="BA659">
        <v>1</v>
      </c>
      <c r="BB659" t="s">
        <v>66</v>
      </c>
      <c r="BC659" t="s">
        <v>66</v>
      </c>
      <c r="BD659" t="s">
        <v>66</v>
      </c>
      <c r="BE659" t="s">
        <v>66</v>
      </c>
      <c r="BF659">
        <v>0</v>
      </c>
      <c r="BG659" t="s">
        <v>66</v>
      </c>
      <c r="BH659" t="s">
        <v>66</v>
      </c>
      <c r="BI659">
        <v>54</v>
      </c>
      <c r="BJ659">
        <v>7.2</v>
      </c>
      <c r="BK659" t="s">
        <v>66</v>
      </c>
      <c r="BL659">
        <v>46</v>
      </c>
      <c r="BM659">
        <v>27</v>
      </c>
      <c r="BN659">
        <v>18</v>
      </c>
      <c r="BO659">
        <f t="shared" si="103"/>
        <v>22.5</v>
      </c>
      <c r="BP659">
        <v>4</v>
      </c>
      <c r="BQ659">
        <v>1</v>
      </c>
      <c r="BS659">
        <v>0</v>
      </c>
      <c r="BT659">
        <f t="shared" si="104"/>
        <v>38.888888888888893</v>
      </c>
      <c r="BU659">
        <f t="shared" si="105"/>
        <v>30.555555555555557</v>
      </c>
      <c r="BV659">
        <f t="shared" si="106"/>
        <v>30.434782608695656</v>
      </c>
      <c r="BW659">
        <f t="shared" si="107"/>
        <v>40</v>
      </c>
    </row>
    <row r="660" spans="1:75" x14ac:dyDescent="0.2">
      <c r="A660" t="s">
        <v>299</v>
      </c>
      <c r="B660" t="s">
        <v>321</v>
      </c>
      <c r="C660" t="s">
        <v>106</v>
      </c>
      <c r="D660" t="s">
        <v>603</v>
      </c>
      <c r="E660" t="s">
        <v>624</v>
      </c>
      <c r="F660" t="s">
        <v>854</v>
      </c>
      <c r="G660">
        <v>9.5</v>
      </c>
      <c r="H660">
        <v>15.55</v>
      </c>
      <c r="I660">
        <v>15</v>
      </c>
      <c r="J660">
        <v>4.0999999999999996</v>
      </c>
      <c r="K660">
        <v>44.15</v>
      </c>
      <c r="L660">
        <v>3.2157894740000001</v>
      </c>
      <c r="M660">
        <v>56</v>
      </c>
      <c r="N660">
        <v>72</v>
      </c>
      <c r="O660">
        <v>16</v>
      </c>
      <c r="P660">
        <v>87</v>
      </c>
      <c r="Q660">
        <v>31</v>
      </c>
      <c r="R660">
        <v>15.5</v>
      </c>
      <c r="S660">
        <v>78.099999999999994</v>
      </c>
      <c r="T660">
        <v>55.357142860000003</v>
      </c>
      <c r="U660">
        <v>20.833333329999999</v>
      </c>
      <c r="V660">
        <v>6</v>
      </c>
      <c r="W660">
        <v>8</v>
      </c>
      <c r="X660">
        <v>14</v>
      </c>
      <c r="Y660">
        <v>8</v>
      </c>
      <c r="Z660">
        <v>133.33333329999999</v>
      </c>
      <c r="AA660" t="s">
        <v>66</v>
      </c>
      <c r="AB660" t="s">
        <v>66</v>
      </c>
      <c r="AC660" t="s">
        <v>66</v>
      </c>
      <c r="AD660" t="s">
        <v>66</v>
      </c>
      <c r="AE660">
        <v>60</v>
      </c>
      <c r="AF660">
        <v>79</v>
      </c>
      <c r="AG660" t="s">
        <v>66</v>
      </c>
      <c r="AH660">
        <v>36</v>
      </c>
      <c r="AI660">
        <v>46</v>
      </c>
      <c r="AJ660" t="s">
        <v>66</v>
      </c>
      <c r="AK660">
        <v>26</v>
      </c>
      <c r="AL660">
        <v>39</v>
      </c>
      <c r="AM660">
        <v>31</v>
      </c>
      <c r="AN660">
        <v>42.5</v>
      </c>
      <c r="AO660">
        <v>37.096774189999998</v>
      </c>
      <c r="AP660">
        <v>31.666666670000001</v>
      </c>
      <c r="AQ660">
        <v>1.935483871</v>
      </c>
      <c r="AR660">
        <v>1.8588235289999999</v>
      </c>
      <c r="AS660">
        <v>-7.6660342000000006E-2</v>
      </c>
      <c r="AT660">
        <v>0</v>
      </c>
      <c r="AU660" t="s">
        <v>66</v>
      </c>
      <c r="AV660">
        <v>0</v>
      </c>
      <c r="AW660">
        <v>2</v>
      </c>
      <c r="AX660">
        <v>0</v>
      </c>
      <c r="AY660">
        <v>1</v>
      </c>
      <c r="AZ660">
        <v>1</v>
      </c>
      <c r="BA660">
        <v>1</v>
      </c>
      <c r="BB660" t="s">
        <v>66</v>
      </c>
      <c r="BC660" t="s">
        <v>66</v>
      </c>
      <c r="BD660" t="s">
        <v>66</v>
      </c>
      <c r="BE660" t="s">
        <v>66</v>
      </c>
      <c r="BF660">
        <v>0</v>
      </c>
      <c r="BG660" t="s">
        <v>66</v>
      </c>
      <c r="BH660" t="s">
        <v>66</v>
      </c>
      <c r="BI660">
        <v>113</v>
      </c>
      <c r="BJ660">
        <v>14.7</v>
      </c>
      <c r="BK660" t="s">
        <v>66</v>
      </c>
      <c r="BL660">
        <v>101</v>
      </c>
      <c r="BM660">
        <v>50</v>
      </c>
      <c r="BN660">
        <v>43</v>
      </c>
      <c r="BO660">
        <f t="shared" si="103"/>
        <v>46.5</v>
      </c>
      <c r="BP660">
        <v>4</v>
      </c>
      <c r="BQ660">
        <v>1</v>
      </c>
      <c r="BS660">
        <v>0</v>
      </c>
      <c r="BT660">
        <f t="shared" si="104"/>
        <v>50.442477876106196</v>
      </c>
      <c r="BU660">
        <f t="shared" si="105"/>
        <v>59.183673469387756</v>
      </c>
      <c r="BV660">
        <f t="shared" si="106"/>
        <v>40.594059405940598</v>
      </c>
      <c r="BW660">
        <f t="shared" si="107"/>
        <v>33.333333333333329</v>
      </c>
    </row>
    <row r="661" spans="1:75" x14ac:dyDescent="0.2">
      <c r="A661" t="s">
        <v>299</v>
      </c>
      <c r="B661" t="s">
        <v>321</v>
      </c>
      <c r="C661" t="s">
        <v>106</v>
      </c>
      <c r="D661" t="s">
        <v>603</v>
      </c>
      <c r="E661" t="s">
        <v>626</v>
      </c>
      <c r="F661" t="s">
        <v>855</v>
      </c>
      <c r="G661">
        <v>9.5</v>
      </c>
      <c r="H661">
        <v>15.55</v>
      </c>
      <c r="I661">
        <v>15</v>
      </c>
      <c r="J661">
        <v>4.0999999999999996</v>
      </c>
      <c r="K661">
        <v>44.15</v>
      </c>
      <c r="L661">
        <v>3.2157894740000001</v>
      </c>
      <c r="M661">
        <v>38</v>
      </c>
      <c r="N661">
        <v>44</v>
      </c>
      <c r="O661">
        <v>6</v>
      </c>
      <c r="P661">
        <v>51</v>
      </c>
      <c r="Q661">
        <v>13</v>
      </c>
      <c r="R661">
        <v>6.5</v>
      </c>
      <c r="S661">
        <v>60.1</v>
      </c>
      <c r="T661">
        <v>34.21052632</v>
      </c>
      <c r="U661">
        <v>15.90909091</v>
      </c>
      <c r="V661">
        <v>3</v>
      </c>
      <c r="W661">
        <v>5</v>
      </c>
      <c r="X661">
        <v>8</v>
      </c>
      <c r="Y661">
        <v>5</v>
      </c>
      <c r="Z661">
        <v>166.66666670000001</v>
      </c>
      <c r="AA661" t="s">
        <v>66</v>
      </c>
      <c r="AB661" t="s">
        <v>66</v>
      </c>
      <c r="AC661" t="s">
        <v>66</v>
      </c>
      <c r="AD661" t="s">
        <v>66</v>
      </c>
      <c r="AE661">
        <v>39</v>
      </c>
      <c r="AF661">
        <v>42</v>
      </c>
      <c r="AG661" t="s">
        <v>66</v>
      </c>
      <c r="AH661">
        <v>29</v>
      </c>
      <c r="AI661">
        <v>34</v>
      </c>
      <c r="AJ661" t="s">
        <v>66</v>
      </c>
      <c r="AK661">
        <v>23</v>
      </c>
      <c r="AL661">
        <v>27</v>
      </c>
      <c r="AM661">
        <v>26</v>
      </c>
      <c r="AN661">
        <v>30.5</v>
      </c>
      <c r="AO661">
        <v>17.30769231</v>
      </c>
      <c r="AP661">
        <v>7.692307692</v>
      </c>
      <c r="AQ661">
        <v>1.5</v>
      </c>
      <c r="AR661">
        <v>1.37704918</v>
      </c>
      <c r="AS661">
        <v>-0.12295082</v>
      </c>
      <c r="AT661">
        <v>0</v>
      </c>
      <c r="AU661" t="s">
        <v>66</v>
      </c>
      <c r="AV661">
        <v>0</v>
      </c>
      <c r="AW661">
        <v>0</v>
      </c>
      <c r="AX661">
        <v>0</v>
      </c>
      <c r="AY661">
        <v>1</v>
      </c>
      <c r="AZ661">
        <v>1</v>
      </c>
      <c r="BA661">
        <v>1</v>
      </c>
      <c r="BB661" t="s">
        <v>66</v>
      </c>
      <c r="BC661" t="s">
        <v>66</v>
      </c>
      <c r="BD661" t="s">
        <v>66</v>
      </c>
      <c r="BE661" t="s">
        <v>66</v>
      </c>
      <c r="BF661">
        <v>0</v>
      </c>
      <c r="BG661" t="s">
        <v>66</v>
      </c>
      <c r="BH661" t="s">
        <v>66</v>
      </c>
      <c r="BI661">
        <v>64</v>
      </c>
      <c r="BJ661">
        <v>9</v>
      </c>
      <c r="BK661" t="s">
        <v>66</v>
      </c>
      <c r="BL661">
        <v>52</v>
      </c>
      <c r="BM661">
        <v>50</v>
      </c>
      <c r="BN661">
        <v>32</v>
      </c>
      <c r="BO661">
        <f t="shared" si="103"/>
        <v>41</v>
      </c>
      <c r="BP661">
        <v>4</v>
      </c>
      <c r="BQ661">
        <v>1</v>
      </c>
      <c r="BS661">
        <v>0</v>
      </c>
      <c r="BT661">
        <f t="shared" si="104"/>
        <v>40.625</v>
      </c>
      <c r="BU661">
        <f t="shared" si="105"/>
        <v>66.666666666666657</v>
      </c>
      <c r="BV661">
        <f t="shared" si="106"/>
        <v>25</v>
      </c>
      <c r="BW661">
        <f t="shared" si="107"/>
        <v>36.585365853658537</v>
      </c>
    </row>
    <row r="662" spans="1:75" x14ac:dyDescent="0.2">
      <c r="A662" t="s">
        <v>299</v>
      </c>
      <c r="B662" t="s">
        <v>321</v>
      </c>
      <c r="C662" t="s">
        <v>106</v>
      </c>
      <c r="D662" t="s">
        <v>603</v>
      </c>
      <c r="E662" t="s">
        <v>628</v>
      </c>
      <c r="F662" t="s">
        <v>856</v>
      </c>
      <c r="G662">
        <v>9.5</v>
      </c>
      <c r="H662">
        <v>15.55</v>
      </c>
      <c r="I662">
        <v>15</v>
      </c>
      <c r="J662">
        <v>4.0999999999999996</v>
      </c>
      <c r="K662">
        <v>44.15</v>
      </c>
      <c r="L662">
        <v>3.2157894740000001</v>
      </c>
      <c r="M662">
        <v>19</v>
      </c>
      <c r="N662">
        <v>24</v>
      </c>
      <c r="O662">
        <v>5</v>
      </c>
      <c r="P662">
        <v>29</v>
      </c>
      <c r="Q662">
        <v>10</v>
      </c>
      <c r="R662">
        <v>5</v>
      </c>
      <c r="S662">
        <v>57.1</v>
      </c>
      <c r="T662">
        <v>52.631578949999998</v>
      </c>
      <c r="U662">
        <v>20.833333329999999</v>
      </c>
      <c r="V662">
        <v>3</v>
      </c>
      <c r="W662">
        <v>2</v>
      </c>
      <c r="X662">
        <v>4</v>
      </c>
      <c r="Y662">
        <v>1</v>
      </c>
      <c r="Z662">
        <v>33.333333330000002</v>
      </c>
      <c r="AA662" t="s">
        <v>66</v>
      </c>
      <c r="AB662" t="s">
        <v>66</v>
      </c>
      <c r="AC662" t="s">
        <v>66</v>
      </c>
      <c r="AD662" t="s">
        <v>66</v>
      </c>
      <c r="AE662">
        <v>16</v>
      </c>
      <c r="AF662">
        <v>22</v>
      </c>
      <c r="AG662" t="s">
        <v>66</v>
      </c>
      <c r="AH662">
        <v>11</v>
      </c>
      <c r="AI662">
        <v>13</v>
      </c>
      <c r="AJ662" t="s">
        <v>66</v>
      </c>
      <c r="AK662">
        <v>5</v>
      </c>
      <c r="AL662">
        <v>11</v>
      </c>
      <c r="AM662">
        <v>8</v>
      </c>
      <c r="AN662">
        <v>12</v>
      </c>
      <c r="AO662">
        <v>50</v>
      </c>
      <c r="AP662">
        <v>37.5</v>
      </c>
      <c r="AQ662">
        <v>2</v>
      </c>
      <c r="AR662">
        <v>1.8333333329999999</v>
      </c>
      <c r="AS662">
        <v>-0.16666666699999999</v>
      </c>
      <c r="AT662">
        <v>0</v>
      </c>
      <c r="AU662" t="s">
        <v>66</v>
      </c>
      <c r="AV662">
        <v>0</v>
      </c>
      <c r="AW662">
        <v>0</v>
      </c>
      <c r="AX662">
        <v>0</v>
      </c>
      <c r="AY662">
        <v>1</v>
      </c>
      <c r="AZ662">
        <v>1</v>
      </c>
      <c r="BA662">
        <v>1</v>
      </c>
      <c r="BB662" t="s">
        <v>66</v>
      </c>
      <c r="BC662" t="s">
        <v>66</v>
      </c>
      <c r="BD662" t="s">
        <v>66</v>
      </c>
      <c r="BE662" t="s">
        <v>66</v>
      </c>
      <c r="BF662">
        <v>0</v>
      </c>
      <c r="BG662" t="s">
        <v>66</v>
      </c>
      <c r="BH662" t="s">
        <v>66</v>
      </c>
      <c r="BI662">
        <v>37</v>
      </c>
      <c r="BJ662">
        <v>6</v>
      </c>
      <c r="BK662" t="s">
        <v>66</v>
      </c>
      <c r="BL662">
        <v>30</v>
      </c>
      <c r="BM662">
        <v>20</v>
      </c>
      <c r="BN662">
        <v>14</v>
      </c>
      <c r="BO662">
        <f t="shared" si="103"/>
        <v>17</v>
      </c>
      <c r="BP662">
        <v>4</v>
      </c>
      <c r="BQ662">
        <v>1</v>
      </c>
      <c r="BS662">
        <v>0</v>
      </c>
      <c r="BT662">
        <f t="shared" si="104"/>
        <v>48.648648648648653</v>
      </c>
      <c r="BU662">
        <f t="shared" si="105"/>
        <v>50</v>
      </c>
      <c r="BV662">
        <f t="shared" si="106"/>
        <v>46.666666666666664</v>
      </c>
      <c r="BW662">
        <f t="shared" si="107"/>
        <v>52.941176470588239</v>
      </c>
    </row>
    <row r="663" spans="1:75" x14ac:dyDescent="0.2">
      <c r="A663" t="s">
        <v>299</v>
      </c>
      <c r="B663" t="s">
        <v>321</v>
      </c>
      <c r="C663" t="s">
        <v>106</v>
      </c>
      <c r="D663" t="s">
        <v>603</v>
      </c>
      <c r="E663" t="s">
        <v>630</v>
      </c>
      <c r="F663" t="s">
        <v>857</v>
      </c>
      <c r="G663">
        <v>9.5</v>
      </c>
      <c r="H663">
        <v>15.55</v>
      </c>
      <c r="I663">
        <v>15</v>
      </c>
      <c r="J663">
        <v>4.0999999999999996</v>
      </c>
      <c r="K663">
        <v>44.15</v>
      </c>
      <c r="L663">
        <v>3.2157894740000001</v>
      </c>
      <c r="M663">
        <v>27</v>
      </c>
      <c r="N663">
        <v>18</v>
      </c>
      <c r="O663">
        <v>-9</v>
      </c>
      <c r="P663">
        <v>22</v>
      </c>
      <c r="Q663">
        <v>-5</v>
      </c>
      <c r="R663">
        <v>-2.5</v>
      </c>
      <c r="S663">
        <v>42.1</v>
      </c>
      <c r="T663">
        <v>-18.518518520000001</v>
      </c>
      <c r="U663">
        <v>22.222222219999999</v>
      </c>
      <c r="V663">
        <v>4</v>
      </c>
      <c r="W663">
        <v>2</v>
      </c>
      <c r="X663">
        <v>4</v>
      </c>
      <c r="Y663">
        <v>0</v>
      </c>
      <c r="Z663">
        <v>0</v>
      </c>
      <c r="AA663" t="s">
        <v>66</v>
      </c>
      <c r="AB663" t="s">
        <v>66</v>
      </c>
      <c r="AC663" t="s">
        <v>66</v>
      </c>
      <c r="AD663" t="s">
        <v>66</v>
      </c>
      <c r="AE663">
        <v>15</v>
      </c>
      <c r="AF663">
        <v>17</v>
      </c>
      <c r="AG663" t="s">
        <v>66</v>
      </c>
      <c r="AH663">
        <v>7</v>
      </c>
      <c r="AI663">
        <v>9</v>
      </c>
      <c r="AJ663" t="s">
        <v>66</v>
      </c>
      <c r="AK663">
        <v>4</v>
      </c>
      <c r="AL663">
        <v>5</v>
      </c>
      <c r="AM663">
        <v>5.5</v>
      </c>
      <c r="AN663">
        <v>7</v>
      </c>
      <c r="AO663">
        <v>27.272727270000001</v>
      </c>
      <c r="AP663">
        <v>13.33333333</v>
      </c>
      <c r="AQ663">
        <v>2.7272727269999999</v>
      </c>
      <c r="AR663">
        <v>2.4285714289999998</v>
      </c>
      <c r="AS663">
        <v>-0.298701298</v>
      </c>
      <c r="AT663">
        <v>0</v>
      </c>
      <c r="AU663" t="s">
        <v>66</v>
      </c>
      <c r="AV663">
        <v>0</v>
      </c>
      <c r="AW663">
        <v>0</v>
      </c>
      <c r="AX663">
        <v>0</v>
      </c>
      <c r="AY663">
        <v>1</v>
      </c>
      <c r="AZ663">
        <v>1</v>
      </c>
      <c r="BA663">
        <v>1</v>
      </c>
      <c r="BB663" t="s">
        <v>66</v>
      </c>
      <c r="BC663" t="s">
        <v>66</v>
      </c>
      <c r="BD663" t="s">
        <v>66</v>
      </c>
      <c r="BE663" t="s">
        <v>66</v>
      </c>
      <c r="BF663">
        <v>0</v>
      </c>
      <c r="BG663" t="s">
        <v>66</v>
      </c>
      <c r="BH663" t="s">
        <v>66</v>
      </c>
      <c r="BI663">
        <v>29</v>
      </c>
      <c r="BJ663">
        <v>4</v>
      </c>
      <c r="BK663" t="s">
        <v>66</v>
      </c>
      <c r="BL663">
        <v>24</v>
      </c>
      <c r="BM663">
        <v>19</v>
      </c>
      <c r="BN663">
        <v>16</v>
      </c>
      <c r="BO663">
        <f t="shared" si="103"/>
        <v>17.5</v>
      </c>
      <c r="BP663">
        <v>4</v>
      </c>
      <c r="BQ663">
        <v>1</v>
      </c>
      <c r="BS663">
        <v>0</v>
      </c>
      <c r="BT663">
        <f t="shared" si="104"/>
        <v>6.8965517241379306</v>
      </c>
      <c r="BU663">
        <f t="shared" si="105"/>
        <v>0</v>
      </c>
      <c r="BV663">
        <f t="shared" si="106"/>
        <v>37.5</v>
      </c>
      <c r="BW663">
        <f t="shared" si="107"/>
        <v>68.571428571428569</v>
      </c>
    </row>
    <row r="664" spans="1:75" x14ac:dyDescent="0.2">
      <c r="A664" t="s">
        <v>299</v>
      </c>
      <c r="B664" t="s">
        <v>321</v>
      </c>
      <c r="C664" t="s">
        <v>106</v>
      </c>
      <c r="D664" t="s">
        <v>603</v>
      </c>
      <c r="E664" t="s">
        <v>632</v>
      </c>
      <c r="F664" t="s">
        <v>858</v>
      </c>
      <c r="G664">
        <v>9.5</v>
      </c>
      <c r="H664">
        <v>15.55</v>
      </c>
      <c r="I664">
        <v>15</v>
      </c>
      <c r="J664">
        <v>4.0999999999999996</v>
      </c>
      <c r="K664">
        <v>44.15</v>
      </c>
      <c r="L664">
        <v>3.2157894740000001</v>
      </c>
      <c r="M664">
        <v>50</v>
      </c>
      <c r="N664">
        <v>63</v>
      </c>
      <c r="O664">
        <v>13</v>
      </c>
      <c r="P664">
        <v>82</v>
      </c>
      <c r="Q664">
        <v>32</v>
      </c>
      <c r="R664">
        <v>16</v>
      </c>
      <c r="S664">
        <v>79.099999999999994</v>
      </c>
      <c r="T664">
        <v>64</v>
      </c>
      <c r="U664">
        <v>30.158730160000001</v>
      </c>
      <c r="V664">
        <v>5</v>
      </c>
      <c r="W664">
        <v>7</v>
      </c>
      <c r="X664">
        <v>9</v>
      </c>
      <c r="Y664">
        <v>4</v>
      </c>
      <c r="Z664">
        <v>80</v>
      </c>
      <c r="AA664" t="s">
        <v>66</v>
      </c>
      <c r="AB664" t="s">
        <v>66</v>
      </c>
      <c r="AC664" t="s">
        <v>66</v>
      </c>
      <c r="AD664" t="s">
        <v>66</v>
      </c>
      <c r="AE664">
        <v>55</v>
      </c>
      <c r="AF664">
        <v>68</v>
      </c>
      <c r="AG664" t="s">
        <v>66</v>
      </c>
      <c r="AH664">
        <v>35</v>
      </c>
      <c r="AI664">
        <v>39</v>
      </c>
      <c r="AJ664" t="s">
        <v>66</v>
      </c>
      <c r="AK664">
        <v>28</v>
      </c>
      <c r="AL664">
        <v>35</v>
      </c>
      <c r="AM664">
        <v>31.5</v>
      </c>
      <c r="AN664">
        <v>37</v>
      </c>
      <c r="AO664">
        <v>17.460317459999999</v>
      </c>
      <c r="AP664">
        <v>23.636363639999999</v>
      </c>
      <c r="AQ664">
        <v>1.7460317460000001</v>
      </c>
      <c r="AR664">
        <v>1.837837838</v>
      </c>
      <c r="AS664">
        <v>9.1806092000000006E-2</v>
      </c>
      <c r="AT664">
        <v>0</v>
      </c>
      <c r="AU664" t="s">
        <v>66</v>
      </c>
      <c r="AV664">
        <v>0</v>
      </c>
      <c r="AW664">
        <v>0</v>
      </c>
      <c r="AX664">
        <v>0</v>
      </c>
      <c r="AY664">
        <v>1</v>
      </c>
      <c r="AZ664">
        <v>1</v>
      </c>
      <c r="BA664">
        <v>1</v>
      </c>
      <c r="BB664" t="s">
        <v>66</v>
      </c>
      <c r="BC664" t="s">
        <v>66</v>
      </c>
      <c r="BD664" t="s">
        <v>66</v>
      </c>
      <c r="BE664" t="s">
        <v>66</v>
      </c>
      <c r="BF664">
        <v>0</v>
      </c>
      <c r="BG664" t="s">
        <v>66</v>
      </c>
      <c r="BH664" t="s">
        <v>66</v>
      </c>
      <c r="BI664">
        <v>127</v>
      </c>
      <c r="BJ664">
        <v>4.7</v>
      </c>
      <c r="BK664" t="s">
        <v>66</v>
      </c>
      <c r="BL664">
        <f>127-14</f>
        <v>113</v>
      </c>
      <c r="BM664">
        <v>49</v>
      </c>
      <c r="BN664">
        <v>44</v>
      </c>
      <c r="BO664">
        <f t="shared" si="103"/>
        <v>46.5</v>
      </c>
      <c r="BP664">
        <v>4</v>
      </c>
      <c r="BQ664">
        <v>1</v>
      </c>
      <c r="BS664">
        <v>0</v>
      </c>
      <c r="BT664">
        <f t="shared" si="104"/>
        <v>60.629921259842526</v>
      </c>
      <c r="BU664">
        <f t="shared" si="105"/>
        <v>-6.3829787234042508</v>
      </c>
      <c r="BV664">
        <f t="shared" si="106"/>
        <v>51.327433628318587</v>
      </c>
      <c r="BW664">
        <f t="shared" si="107"/>
        <v>32.258064516129032</v>
      </c>
    </row>
    <row r="665" spans="1:75" x14ac:dyDescent="0.2">
      <c r="A665" t="s">
        <v>299</v>
      </c>
      <c r="B665" t="s">
        <v>321</v>
      </c>
      <c r="C665" t="s">
        <v>106</v>
      </c>
      <c r="D665" t="s">
        <v>603</v>
      </c>
      <c r="E665" t="s">
        <v>634</v>
      </c>
      <c r="F665" t="s">
        <v>859</v>
      </c>
      <c r="G665">
        <v>9.5</v>
      </c>
      <c r="H665">
        <v>15.55</v>
      </c>
      <c r="I665">
        <v>15</v>
      </c>
      <c r="J665">
        <v>4.0999999999999996</v>
      </c>
      <c r="K665">
        <v>44.15</v>
      </c>
      <c r="L665">
        <v>3.2157894740000001</v>
      </c>
      <c r="M665">
        <v>60</v>
      </c>
      <c r="N665">
        <v>75</v>
      </c>
      <c r="O665">
        <v>15</v>
      </c>
      <c r="P665">
        <v>85</v>
      </c>
      <c r="Q665">
        <v>25</v>
      </c>
      <c r="R665">
        <v>12.5</v>
      </c>
      <c r="S665">
        <v>72.099999999999994</v>
      </c>
      <c r="T665">
        <v>41.666666669999998</v>
      </c>
      <c r="U665">
        <v>13.33333333</v>
      </c>
      <c r="V665">
        <v>6</v>
      </c>
      <c r="W665">
        <v>9</v>
      </c>
      <c r="X665">
        <v>11</v>
      </c>
      <c r="Y665">
        <v>5</v>
      </c>
      <c r="Z665">
        <v>83.333333330000002</v>
      </c>
      <c r="AA665" t="s">
        <v>66</v>
      </c>
      <c r="AB665" t="s">
        <v>66</v>
      </c>
      <c r="AC665" t="s">
        <v>66</v>
      </c>
      <c r="AD665" t="s">
        <v>66</v>
      </c>
      <c r="AE665">
        <v>70</v>
      </c>
      <c r="AF665">
        <v>78</v>
      </c>
      <c r="AG665" t="s">
        <v>66</v>
      </c>
      <c r="AH665">
        <v>46</v>
      </c>
      <c r="AI665">
        <v>46</v>
      </c>
      <c r="AJ665" t="s">
        <v>66</v>
      </c>
      <c r="AK665">
        <v>35</v>
      </c>
      <c r="AL665">
        <v>36</v>
      </c>
      <c r="AM665">
        <v>40.5</v>
      </c>
      <c r="AN665">
        <v>41</v>
      </c>
      <c r="AO665">
        <v>1.2345679009999999</v>
      </c>
      <c r="AP665">
        <v>11.42857143</v>
      </c>
      <c r="AQ665">
        <v>1.7283950619999999</v>
      </c>
      <c r="AR665">
        <v>1.902439024</v>
      </c>
      <c r="AS665">
        <v>0.174043962</v>
      </c>
      <c r="AT665">
        <v>0</v>
      </c>
      <c r="AU665" t="s">
        <v>66</v>
      </c>
      <c r="AV665">
        <v>1</v>
      </c>
      <c r="AW665">
        <v>0</v>
      </c>
      <c r="AX665">
        <v>0</v>
      </c>
      <c r="AY665">
        <v>1</v>
      </c>
      <c r="AZ665">
        <v>1</v>
      </c>
      <c r="BA665">
        <v>1</v>
      </c>
      <c r="BB665" t="s">
        <v>66</v>
      </c>
      <c r="BC665" t="s">
        <v>66</v>
      </c>
      <c r="BD665" t="s">
        <v>66</v>
      </c>
      <c r="BE665" t="s">
        <v>66</v>
      </c>
      <c r="BF665">
        <v>0</v>
      </c>
      <c r="BG665" t="s">
        <v>66</v>
      </c>
      <c r="BH665" t="s">
        <v>66</v>
      </c>
      <c r="BI665">
        <v>117</v>
      </c>
      <c r="BJ665">
        <v>14.1</v>
      </c>
      <c r="BK665" t="s">
        <v>66</v>
      </c>
      <c r="BL665">
        <v>109</v>
      </c>
      <c r="BM665">
        <v>50</v>
      </c>
      <c r="BN665">
        <v>22</v>
      </c>
      <c r="BO665">
        <f t="shared" si="103"/>
        <v>36</v>
      </c>
      <c r="BP665">
        <v>4</v>
      </c>
      <c r="BQ665">
        <v>1</v>
      </c>
      <c r="BS665">
        <v>0</v>
      </c>
      <c r="BT665">
        <f t="shared" si="104"/>
        <v>48.717948717948715</v>
      </c>
      <c r="BU665">
        <f t="shared" si="105"/>
        <v>57.446808510638292</v>
      </c>
      <c r="BV665">
        <f t="shared" si="106"/>
        <v>35.779816513761467</v>
      </c>
      <c r="BW665">
        <f t="shared" si="107"/>
        <v>-12.5</v>
      </c>
    </row>
    <row r="666" spans="1:75" x14ac:dyDescent="0.2">
      <c r="A666" t="s">
        <v>299</v>
      </c>
      <c r="B666" t="s">
        <v>321</v>
      </c>
      <c r="C666" t="s">
        <v>106</v>
      </c>
      <c r="D666" t="s">
        <v>603</v>
      </c>
      <c r="E666" t="s">
        <v>636</v>
      </c>
      <c r="F666" t="s">
        <v>860</v>
      </c>
      <c r="G666">
        <v>9.5</v>
      </c>
      <c r="H666">
        <v>15.55</v>
      </c>
      <c r="I666">
        <v>15</v>
      </c>
      <c r="J666">
        <v>4.0999999999999996</v>
      </c>
      <c r="K666">
        <v>44.15</v>
      </c>
      <c r="L666">
        <v>3.2157894740000001</v>
      </c>
      <c r="M666">
        <v>23</v>
      </c>
      <c r="N666">
        <v>25</v>
      </c>
      <c r="O666">
        <v>2</v>
      </c>
      <c r="P666">
        <v>30</v>
      </c>
      <c r="Q666">
        <v>7</v>
      </c>
      <c r="R666">
        <v>3.5</v>
      </c>
      <c r="S666">
        <v>54.1</v>
      </c>
      <c r="T666">
        <v>30.434782609999999</v>
      </c>
      <c r="U666">
        <v>20</v>
      </c>
      <c r="V666">
        <v>5</v>
      </c>
      <c r="W666">
        <v>4</v>
      </c>
      <c r="X666">
        <v>5</v>
      </c>
      <c r="Y666">
        <v>0</v>
      </c>
      <c r="Z666">
        <v>0</v>
      </c>
      <c r="AA666" t="s">
        <v>66</v>
      </c>
      <c r="AB666" t="s">
        <v>66</v>
      </c>
      <c r="AC666" t="s">
        <v>66</v>
      </c>
      <c r="AD666" t="s">
        <v>66</v>
      </c>
      <c r="AE666">
        <v>21</v>
      </c>
      <c r="AF666">
        <v>27</v>
      </c>
      <c r="AG666" t="s">
        <v>66</v>
      </c>
      <c r="AH666">
        <v>16</v>
      </c>
      <c r="AI666">
        <v>14</v>
      </c>
      <c r="AJ666" t="s">
        <v>66</v>
      </c>
      <c r="AK666">
        <v>8</v>
      </c>
      <c r="AL666">
        <v>13</v>
      </c>
      <c r="AM666">
        <v>12</v>
      </c>
      <c r="AN666">
        <v>13.5</v>
      </c>
      <c r="AO666">
        <v>12.5</v>
      </c>
      <c r="AP666">
        <v>28.571428569999998</v>
      </c>
      <c r="AQ666">
        <v>1.75</v>
      </c>
      <c r="AR666">
        <v>2</v>
      </c>
      <c r="AS666">
        <v>0.25</v>
      </c>
      <c r="AT666">
        <v>0</v>
      </c>
      <c r="AU666" t="s">
        <v>66</v>
      </c>
      <c r="AV666">
        <v>0</v>
      </c>
      <c r="AW666">
        <v>0</v>
      </c>
      <c r="AX666">
        <v>0</v>
      </c>
      <c r="AY666">
        <v>1</v>
      </c>
      <c r="AZ666">
        <v>1</v>
      </c>
      <c r="BA666">
        <v>1</v>
      </c>
      <c r="BB666" t="s">
        <v>66</v>
      </c>
      <c r="BC666" t="s">
        <v>66</v>
      </c>
      <c r="BD666" t="s">
        <v>66</v>
      </c>
      <c r="BE666" t="s">
        <v>66</v>
      </c>
      <c r="BF666">
        <v>0</v>
      </c>
      <c r="BG666" t="s">
        <v>66</v>
      </c>
      <c r="BH666" t="s">
        <v>66</v>
      </c>
      <c r="BI666">
        <v>49</v>
      </c>
      <c r="BJ666">
        <v>6.1</v>
      </c>
      <c r="BK666" t="s">
        <v>66</v>
      </c>
      <c r="BL666">
        <v>45</v>
      </c>
      <c r="BM666">
        <v>27</v>
      </c>
      <c r="BN666">
        <v>20</v>
      </c>
      <c r="BO666">
        <f t="shared" si="103"/>
        <v>23.5</v>
      </c>
      <c r="BP666">
        <v>4</v>
      </c>
      <c r="BQ666">
        <v>1</v>
      </c>
      <c r="BS666">
        <v>0</v>
      </c>
      <c r="BT666">
        <f t="shared" si="104"/>
        <v>53.061224489795919</v>
      </c>
      <c r="BU666">
        <f t="shared" si="105"/>
        <v>18.032786885245898</v>
      </c>
      <c r="BV666">
        <f t="shared" si="106"/>
        <v>53.333333333333336</v>
      </c>
      <c r="BW666">
        <f t="shared" si="107"/>
        <v>48.936170212765958</v>
      </c>
    </row>
    <row r="667" spans="1:75" x14ac:dyDescent="0.2">
      <c r="A667" t="s">
        <v>299</v>
      </c>
      <c r="B667" t="s">
        <v>321</v>
      </c>
      <c r="C667" t="s">
        <v>106</v>
      </c>
      <c r="D667" t="s">
        <v>603</v>
      </c>
      <c r="E667" t="s">
        <v>638</v>
      </c>
      <c r="F667" t="s">
        <v>861</v>
      </c>
      <c r="G667">
        <v>9.5</v>
      </c>
      <c r="H667">
        <v>15.55</v>
      </c>
      <c r="I667">
        <v>15</v>
      </c>
      <c r="J667">
        <v>4.0999999999999996</v>
      </c>
      <c r="K667">
        <v>44.15</v>
      </c>
      <c r="L667">
        <v>3.2157894740000001</v>
      </c>
      <c r="M667">
        <v>35</v>
      </c>
      <c r="N667">
        <v>47</v>
      </c>
      <c r="O667">
        <v>12</v>
      </c>
      <c r="P667">
        <v>58</v>
      </c>
      <c r="Q667">
        <v>23</v>
      </c>
      <c r="R667">
        <v>11.5</v>
      </c>
      <c r="S667">
        <v>70.099999999999994</v>
      </c>
      <c r="T667">
        <v>65.714285709999999</v>
      </c>
      <c r="U667">
        <v>23.404255320000001</v>
      </c>
      <c r="V667">
        <v>6</v>
      </c>
      <c r="W667">
        <v>8</v>
      </c>
      <c r="X667">
        <v>8</v>
      </c>
      <c r="Y667">
        <v>2</v>
      </c>
      <c r="Z667">
        <v>33.333333330000002</v>
      </c>
      <c r="AA667" t="s">
        <v>66</v>
      </c>
      <c r="AB667" t="s">
        <v>66</v>
      </c>
      <c r="AC667" t="s">
        <v>66</v>
      </c>
      <c r="AD667" t="s">
        <v>66</v>
      </c>
      <c r="AE667">
        <v>37</v>
      </c>
      <c r="AF667">
        <v>50</v>
      </c>
      <c r="AG667" t="s">
        <v>66</v>
      </c>
      <c r="AH667">
        <v>25</v>
      </c>
      <c r="AI667">
        <v>29</v>
      </c>
      <c r="AJ667" t="s">
        <v>66</v>
      </c>
      <c r="AK667">
        <v>20</v>
      </c>
      <c r="AL667">
        <v>28</v>
      </c>
      <c r="AM667">
        <v>22.5</v>
      </c>
      <c r="AN667">
        <v>28.5</v>
      </c>
      <c r="AO667">
        <v>26.666666670000001</v>
      </c>
      <c r="AP667">
        <v>35.135135140000003</v>
      </c>
      <c r="AQ667">
        <v>1.6444444439999999</v>
      </c>
      <c r="AR667">
        <v>1.754385965</v>
      </c>
      <c r="AS667">
        <v>0.109941521</v>
      </c>
      <c r="AT667">
        <v>0</v>
      </c>
      <c r="AU667" t="s">
        <v>66</v>
      </c>
      <c r="AV667">
        <v>0</v>
      </c>
      <c r="AW667">
        <v>0</v>
      </c>
      <c r="AX667">
        <v>0</v>
      </c>
      <c r="AY667">
        <v>1</v>
      </c>
      <c r="AZ667">
        <v>1</v>
      </c>
      <c r="BA667">
        <v>1</v>
      </c>
      <c r="BB667" t="s">
        <v>66</v>
      </c>
      <c r="BC667" t="s">
        <v>66</v>
      </c>
      <c r="BD667" t="s">
        <v>66</v>
      </c>
      <c r="BE667" t="s">
        <v>66</v>
      </c>
      <c r="BF667">
        <v>0</v>
      </c>
      <c r="BG667" t="s">
        <v>66</v>
      </c>
      <c r="BH667" t="s">
        <v>66</v>
      </c>
      <c r="BI667">
        <v>72</v>
      </c>
      <c r="BJ667">
        <v>5</v>
      </c>
      <c r="BK667" t="s">
        <v>66</v>
      </c>
      <c r="BL667">
        <v>63</v>
      </c>
      <c r="BM667">
        <v>33</v>
      </c>
      <c r="BN667">
        <v>19</v>
      </c>
      <c r="BO667">
        <f t="shared" si="103"/>
        <v>26</v>
      </c>
      <c r="BP667">
        <v>4</v>
      </c>
      <c r="BQ667">
        <v>1</v>
      </c>
      <c r="BS667">
        <v>0</v>
      </c>
      <c r="BT667">
        <f t="shared" si="104"/>
        <v>51.388888888888886</v>
      </c>
      <c r="BU667">
        <f t="shared" si="105"/>
        <v>-20</v>
      </c>
      <c r="BV667">
        <f t="shared" si="106"/>
        <v>41.269841269841265</v>
      </c>
      <c r="BW667">
        <f t="shared" si="107"/>
        <v>13.461538461538462</v>
      </c>
    </row>
    <row r="668" spans="1:75" x14ac:dyDescent="0.2">
      <c r="A668" t="s">
        <v>299</v>
      </c>
      <c r="B668" t="s">
        <v>321</v>
      </c>
      <c r="C668" t="s">
        <v>106</v>
      </c>
      <c r="D668" t="s">
        <v>603</v>
      </c>
      <c r="E668" t="s">
        <v>640</v>
      </c>
      <c r="F668" t="s">
        <v>862</v>
      </c>
      <c r="G668">
        <v>9.5</v>
      </c>
      <c r="H668">
        <v>15.55</v>
      </c>
      <c r="I668">
        <v>15</v>
      </c>
      <c r="J668">
        <v>4.0999999999999996</v>
      </c>
      <c r="K668">
        <v>44.15</v>
      </c>
      <c r="L668">
        <v>3.2157894740000001</v>
      </c>
      <c r="M668">
        <v>32</v>
      </c>
      <c r="N668">
        <v>35</v>
      </c>
      <c r="O668">
        <v>3</v>
      </c>
      <c r="P668">
        <v>39</v>
      </c>
      <c r="Q668">
        <v>7</v>
      </c>
      <c r="R668">
        <v>3.5</v>
      </c>
      <c r="S668">
        <v>54.1</v>
      </c>
      <c r="T668">
        <v>21.875</v>
      </c>
      <c r="U668">
        <v>11.42857143</v>
      </c>
      <c r="V668">
        <v>5</v>
      </c>
      <c r="W668">
        <v>6</v>
      </c>
      <c r="X668">
        <v>7</v>
      </c>
      <c r="Y668">
        <v>2</v>
      </c>
      <c r="Z668">
        <v>40</v>
      </c>
      <c r="AA668" t="s">
        <v>66</v>
      </c>
      <c r="AB668" t="s">
        <v>66</v>
      </c>
      <c r="AC668" t="s">
        <v>66</v>
      </c>
      <c r="AD668" t="s">
        <v>66</v>
      </c>
      <c r="AE668">
        <v>30</v>
      </c>
      <c r="AF668">
        <v>33</v>
      </c>
      <c r="AG668" t="s">
        <v>66</v>
      </c>
      <c r="AH668">
        <v>18</v>
      </c>
      <c r="AI668">
        <v>22</v>
      </c>
      <c r="AJ668" t="s">
        <v>66</v>
      </c>
      <c r="AK668">
        <v>16</v>
      </c>
      <c r="AL668">
        <v>18</v>
      </c>
      <c r="AM668">
        <v>17</v>
      </c>
      <c r="AN668">
        <v>20</v>
      </c>
      <c r="AO668">
        <v>17.647058820000002</v>
      </c>
      <c r="AP668">
        <v>10</v>
      </c>
      <c r="AQ668">
        <v>1.7647058819999999</v>
      </c>
      <c r="AR668">
        <v>1.65</v>
      </c>
      <c r="AS668">
        <v>-0.114705882</v>
      </c>
      <c r="AT668">
        <v>0</v>
      </c>
      <c r="AU668" t="s">
        <v>66</v>
      </c>
      <c r="AV668">
        <v>0</v>
      </c>
      <c r="AW668">
        <v>0</v>
      </c>
      <c r="AX668">
        <v>0</v>
      </c>
      <c r="AY668">
        <v>1</v>
      </c>
      <c r="AZ668">
        <v>1</v>
      </c>
      <c r="BA668">
        <v>1</v>
      </c>
      <c r="BB668" t="s">
        <v>66</v>
      </c>
      <c r="BC668" t="s">
        <v>66</v>
      </c>
      <c r="BD668" t="s">
        <v>66</v>
      </c>
      <c r="BE668" t="s">
        <v>66</v>
      </c>
      <c r="BF668">
        <v>0</v>
      </c>
      <c r="BG668" t="s">
        <v>66</v>
      </c>
      <c r="BH668" t="s">
        <v>66</v>
      </c>
      <c r="BI668">
        <v>48</v>
      </c>
      <c r="BJ668">
        <v>7.6</v>
      </c>
      <c r="BK668" t="s">
        <v>66</v>
      </c>
      <c r="BL668">
        <v>40</v>
      </c>
      <c r="BM668">
        <v>25</v>
      </c>
      <c r="BN668">
        <v>12</v>
      </c>
      <c r="BO668">
        <f t="shared" si="103"/>
        <v>18.5</v>
      </c>
      <c r="BP668">
        <v>4</v>
      </c>
      <c r="BQ668">
        <v>1</v>
      </c>
      <c r="BS668">
        <v>0</v>
      </c>
      <c r="BT668">
        <f t="shared" si="104"/>
        <v>33.333333333333329</v>
      </c>
      <c r="BU668">
        <f t="shared" si="105"/>
        <v>34.210526315789465</v>
      </c>
      <c r="BV668">
        <f t="shared" si="106"/>
        <v>25</v>
      </c>
      <c r="BW668">
        <f t="shared" si="107"/>
        <v>8.1081081081081088</v>
      </c>
    </row>
    <row r="669" spans="1:75" x14ac:dyDescent="0.2">
      <c r="A669" t="s">
        <v>299</v>
      </c>
      <c r="B669" t="s">
        <v>321</v>
      </c>
      <c r="C669" t="s">
        <v>106</v>
      </c>
      <c r="D669" t="s">
        <v>603</v>
      </c>
      <c r="E669" t="s">
        <v>642</v>
      </c>
      <c r="F669" t="s">
        <v>863</v>
      </c>
      <c r="G669">
        <v>9.5</v>
      </c>
      <c r="H669">
        <v>15.55</v>
      </c>
      <c r="I669">
        <v>15</v>
      </c>
      <c r="J669">
        <v>4.0999999999999996</v>
      </c>
      <c r="K669">
        <v>44.15</v>
      </c>
      <c r="L669">
        <v>3.2157894740000001</v>
      </c>
      <c r="M669">
        <v>26</v>
      </c>
      <c r="N669">
        <v>32</v>
      </c>
      <c r="O669">
        <v>6</v>
      </c>
      <c r="P669">
        <v>37</v>
      </c>
      <c r="Q669">
        <v>11</v>
      </c>
      <c r="R669">
        <v>5.5</v>
      </c>
      <c r="S669">
        <v>58.1</v>
      </c>
      <c r="T669">
        <v>42.30769231</v>
      </c>
      <c r="U669">
        <v>15.625</v>
      </c>
      <c r="V669">
        <v>4</v>
      </c>
      <c r="W669">
        <v>4</v>
      </c>
      <c r="X669">
        <v>6</v>
      </c>
      <c r="Y669">
        <v>2</v>
      </c>
      <c r="Z669">
        <v>50</v>
      </c>
      <c r="AA669" t="s">
        <v>66</v>
      </c>
      <c r="AB669" t="s">
        <v>66</v>
      </c>
      <c r="AC669" t="s">
        <v>66</v>
      </c>
      <c r="AD669" t="s">
        <v>66</v>
      </c>
      <c r="AE669">
        <v>27</v>
      </c>
      <c r="AF669">
        <v>32</v>
      </c>
      <c r="AG669" t="s">
        <v>66</v>
      </c>
      <c r="AH669">
        <v>19</v>
      </c>
      <c r="AI669">
        <v>22</v>
      </c>
      <c r="AJ669" t="s">
        <v>66</v>
      </c>
      <c r="AK669">
        <v>12</v>
      </c>
      <c r="AL669">
        <v>17</v>
      </c>
      <c r="AM669">
        <v>15.5</v>
      </c>
      <c r="AN669">
        <v>19.5</v>
      </c>
      <c r="AO669">
        <v>25.80645161</v>
      </c>
      <c r="AP669">
        <v>18.518518520000001</v>
      </c>
      <c r="AQ669">
        <v>1.7419354840000001</v>
      </c>
      <c r="AR669">
        <v>1.6410256409999999</v>
      </c>
      <c r="AS669">
        <v>-0.100909843</v>
      </c>
      <c r="AT669">
        <v>0</v>
      </c>
      <c r="AU669" t="s">
        <v>66</v>
      </c>
      <c r="AV669">
        <v>0</v>
      </c>
      <c r="AW669">
        <v>0</v>
      </c>
      <c r="AX669">
        <v>0</v>
      </c>
      <c r="AY669">
        <v>1</v>
      </c>
      <c r="AZ669">
        <v>1</v>
      </c>
      <c r="BA669">
        <v>1</v>
      </c>
      <c r="BB669" t="s">
        <v>66</v>
      </c>
      <c r="BC669" t="s">
        <v>66</v>
      </c>
      <c r="BD669" t="s">
        <v>66</v>
      </c>
      <c r="BE669" t="s">
        <v>66</v>
      </c>
      <c r="BF669">
        <v>0</v>
      </c>
      <c r="BG669" t="s">
        <v>66</v>
      </c>
      <c r="BH669" t="s">
        <v>66</v>
      </c>
      <c r="BI669">
        <v>50</v>
      </c>
      <c r="BJ669">
        <v>6.4</v>
      </c>
      <c r="BK669" t="s">
        <v>66</v>
      </c>
      <c r="BL669">
        <v>39</v>
      </c>
      <c r="BM669">
        <v>24</v>
      </c>
      <c r="BN669">
        <v>10</v>
      </c>
      <c r="BO669">
        <f t="shared" si="103"/>
        <v>17</v>
      </c>
      <c r="BP669">
        <v>4</v>
      </c>
      <c r="BQ669">
        <v>1</v>
      </c>
      <c r="BS669">
        <v>0</v>
      </c>
      <c r="BT669">
        <f t="shared" si="104"/>
        <v>48</v>
      </c>
      <c r="BU669">
        <f t="shared" si="105"/>
        <v>37.500000000000007</v>
      </c>
      <c r="BV669">
        <f t="shared" si="106"/>
        <v>30.76923076923077</v>
      </c>
      <c r="BW669">
        <f t="shared" si="107"/>
        <v>8.8235294117647065</v>
      </c>
    </row>
    <row r="670" spans="1:75" x14ac:dyDescent="0.2">
      <c r="A670" t="s">
        <v>127</v>
      </c>
      <c r="B670" t="s">
        <v>149</v>
      </c>
      <c r="C670" t="s">
        <v>106</v>
      </c>
      <c r="D670" t="s">
        <v>603</v>
      </c>
      <c r="E670" t="s">
        <v>632</v>
      </c>
      <c r="F670" t="s">
        <v>698</v>
      </c>
      <c r="G670">
        <v>2.95</v>
      </c>
      <c r="H670">
        <v>10.5</v>
      </c>
      <c r="I670">
        <v>2.2999999999999998</v>
      </c>
      <c r="J670">
        <v>1.05</v>
      </c>
      <c r="K670">
        <v>16.8</v>
      </c>
      <c r="L670">
        <v>4.3389830509999996</v>
      </c>
      <c r="M670">
        <v>26</v>
      </c>
      <c r="N670" t="s">
        <v>66</v>
      </c>
      <c r="O670" t="s">
        <v>66</v>
      </c>
      <c r="P670" t="s">
        <v>66</v>
      </c>
      <c r="Q670" t="s">
        <v>66</v>
      </c>
      <c r="R670" t="s">
        <v>66</v>
      </c>
      <c r="S670" t="s">
        <v>66</v>
      </c>
      <c r="T670" t="s">
        <v>66</v>
      </c>
      <c r="U670" t="s">
        <v>66</v>
      </c>
      <c r="V670">
        <v>4</v>
      </c>
      <c r="W670" t="s">
        <v>66</v>
      </c>
      <c r="X670" t="s">
        <v>66</v>
      </c>
      <c r="Y670" t="s">
        <v>66</v>
      </c>
      <c r="Z670" t="s">
        <v>66</v>
      </c>
      <c r="AA670" t="s">
        <v>66</v>
      </c>
      <c r="AB670" t="s">
        <v>66</v>
      </c>
      <c r="AC670" t="s">
        <v>66</v>
      </c>
      <c r="AD670" t="s">
        <v>66</v>
      </c>
      <c r="AE670" t="s">
        <v>66</v>
      </c>
      <c r="AF670" t="s">
        <v>66</v>
      </c>
      <c r="AG670" t="s">
        <v>66</v>
      </c>
      <c r="AH670" t="s">
        <v>66</v>
      </c>
      <c r="AI670" t="s">
        <v>66</v>
      </c>
      <c r="AJ670" t="s">
        <v>66</v>
      </c>
      <c r="AK670" t="s">
        <v>66</v>
      </c>
      <c r="AL670" t="s">
        <v>66</v>
      </c>
      <c r="AM670" t="s">
        <v>66</v>
      </c>
      <c r="AN670" t="s">
        <v>66</v>
      </c>
      <c r="AO670" t="s">
        <v>66</v>
      </c>
      <c r="AP670" t="s">
        <v>66</v>
      </c>
      <c r="AQ670" t="s">
        <v>66</v>
      </c>
      <c r="AR670" t="s">
        <v>66</v>
      </c>
      <c r="AS670" t="s">
        <v>66</v>
      </c>
      <c r="AT670" t="s">
        <v>66</v>
      </c>
      <c r="AU670" t="s">
        <v>66</v>
      </c>
      <c r="AV670" t="s">
        <v>66</v>
      </c>
      <c r="AW670" t="s">
        <v>66</v>
      </c>
      <c r="AX670">
        <v>0</v>
      </c>
      <c r="AY670">
        <v>1</v>
      </c>
      <c r="AZ670">
        <v>0</v>
      </c>
      <c r="BA670">
        <v>0</v>
      </c>
      <c r="BB670" t="s">
        <v>66</v>
      </c>
      <c r="BC670" t="s">
        <v>66</v>
      </c>
      <c r="BD670" t="s">
        <v>66</v>
      </c>
      <c r="BE670" t="s">
        <v>66</v>
      </c>
      <c r="BF670" t="s">
        <v>66</v>
      </c>
      <c r="BG670" t="s">
        <v>66</v>
      </c>
      <c r="BH670" t="s">
        <v>66</v>
      </c>
      <c r="BI670" t="s">
        <v>66</v>
      </c>
      <c r="BJ670" t="s">
        <v>66</v>
      </c>
      <c r="BK670" t="s">
        <v>66</v>
      </c>
      <c r="BL670" t="s">
        <v>66</v>
      </c>
      <c r="BM670" t="s">
        <v>66</v>
      </c>
      <c r="BN670" t="s">
        <v>66</v>
      </c>
      <c r="BO670" t="s">
        <v>66</v>
      </c>
      <c r="BP670" t="s">
        <v>66</v>
      </c>
      <c r="BQ670">
        <v>0</v>
      </c>
      <c r="BS670">
        <v>0</v>
      </c>
      <c r="BT670" t="s">
        <v>66</v>
      </c>
      <c r="BU670" t="s">
        <v>66</v>
      </c>
      <c r="BV670" t="s">
        <v>66</v>
      </c>
      <c r="BW670" t="s">
        <v>66</v>
      </c>
    </row>
    <row r="671" spans="1:75" x14ac:dyDescent="0.2">
      <c r="A671" t="s">
        <v>60</v>
      </c>
      <c r="B671" t="s">
        <v>61</v>
      </c>
      <c r="C671" t="s">
        <v>62</v>
      </c>
      <c r="D671" t="s">
        <v>63</v>
      </c>
      <c r="E671" t="s">
        <v>93</v>
      </c>
      <c r="F671" t="s">
        <v>94</v>
      </c>
      <c r="G671">
        <v>2.7</v>
      </c>
      <c r="H671">
        <v>5.9</v>
      </c>
      <c r="I671">
        <v>5.75</v>
      </c>
      <c r="J671">
        <v>3.6</v>
      </c>
      <c r="K671">
        <v>17.95</v>
      </c>
      <c r="L671">
        <v>4.3148148150000001</v>
      </c>
      <c r="M671">
        <v>73</v>
      </c>
      <c r="N671">
        <v>82</v>
      </c>
      <c r="O671">
        <v>9</v>
      </c>
      <c r="P671">
        <v>114</v>
      </c>
      <c r="Q671">
        <v>41</v>
      </c>
      <c r="R671">
        <v>20.5</v>
      </c>
      <c r="S671">
        <v>88.1</v>
      </c>
      <c r="T671">
        <v>56.164383559999997</v>
      </c>
      <c r="U671">
        <v>39.024390240000002</v>
      </c>
      <c r="V671">
        <v>6</v>
      </c>
      <c r="W671">
        <v>6</v>
      </c>
      <c r="X671">
        <v>8</v>
      </c>
      <c r="Y671">
        <v>2</v>
      </c>
      <c r="Z671">
        <v>33.333333330000002</v>
      </c>
      <c r="AA671" t="s">
        <v>66</v>
      </c>
      <c r="AB671" t="s">
        <v>66</v>
      </c>
      <c r="AC671" t="s">
        <v>66</v>
      </c>
      <c r="AD671" t="s">
        <v>66</v>
      </c>
      <c r="AE671">
        <v>59</v>
      </c>
      <c r="AF671">
        <v>75</v>
      </c>
      <c r="AG671" t="s">
        <v>66</v>
      </c>
      <c r="AH671">
        <v>16</v>
      </c>
      <c r="AI671">
        <v>18</v>
      </c>
      <c r="AJ671" t="s">
        <v>66</v>
      </c>
      <c r="AK671">
        <v>9</v>
      </c>
      <c r="AL671">
        <v>12</v>
      </c>
      <c r="AM671">
        <v>12.5</v>
      </c>
      <c r="AN671">
        <v>15</v>
      </c>
      <c r="AO671">
        <v>20</v>
      </c>
      <c r="AP671">
        <v>27.118644069999998</v>
      </c>
      <c r="AQ671">
        <v>4.72</v>
      </c>
      <c r="AR671">
        <v>5</v>
      </c>
      <c r="AS671">
        <v>0.28000000000000003</v>
      </c>
      <c r="AT671">
        <v>0</v>
      </c>
      <c r="AU671" t="s">
        <v>66</v>
      </c>
      <c r="AV671">
        <v>1</v>
      </c>
      <c r="AW671">
        <v>2</v>
      </c>
      <c r="AX671">
        <v>0</v>
      </c>
      <c r="AY671">
        <v>1</v>
      </c>
      <c r="AZ671">
        <v>1</v>
      </c>
      <c r="BA671">
        <v>1</v>
      </c>
      <c r="BB671" t="s">
        <v>66</v>
      </c>
      <c r="BC671">
        <v>24.6</v>
      </c>
      <c r="BD671">
        <v>51.7</v>
      </c>
      <c r="BE671">
        <v>110.1626016</v>
      </c>
      <c r="BF671">
        <v>0</v>
      </c>
      <c r="BG671">
        <v>36.19</v>
      </c>
      <c r="BH671">
        <v>47.113821139999999</v>
      </c>
      <c r="BI671">
        <v>205</v>
      </c>
      <c r="BJ671">
        <v>11.4</v>
      </c>
      <c r="BK671">
        <v>5</v>
      </c>
      <c r="BL671">
        <v>94</v>
      </c>
      <c r="BM671">
        <v>39</v>
      </c>
      <c r="BN671">
        <v>32</v>
      </c>
      <c r="BO671">
        <f t="shared" ref="BO671:BO704" si="108">AVERAGE(BM671,BN671)</f>
        <v>35.5</v>
      </c>
      <c r="BP671">
        <v>4</v>
      </c>
      <c r="BQ671">
        <v>1</v>
      </c>
      <c r="BR671" t="s">
        <v>872</v>
      </c>
      <c r="BS671">
        <v>1</v>
      </c>
      <c r="BT671">
        <f t="shared" ref="BT671:BT704" si="109">(BI671-M671)/BI671*100</f>
        <v>64.390243902439025</v>
      </c>
      <c r="BU671">
        <f t="shared" ref="BU671:BU704" si="110">(BJ671-V671)/BJ671*100</f>
        <v>47.368421052631582</v>
      </c>
      <c r="BV671">
        <f t="shared" ref="BV671:BV704" si="111">(BL671-AE671)/BL671*100</f>
        <v>37.234042553191486</v>
      </c>
      <c r="BW671">
        <f t="shared" ref="BW671:BW704" si="112">(BO671-AM671)/BO671*100</f>
        <v>64.788732394366207</v>
      </c>
    </row>
    <row r="672" spans="1:75" x14ac:dyDescent="0.2">
      <c r="A672" t="s">
        <v>60</v>
      </c>
      <c r="B672" t="s">
        <v>61</v>
      </c>
      <c r="C672" t="s">
        <v>62</v>
      </c>
      <c r="D672" t="s">
        <v>63</v>
      </c>
      <c r="E672" t="s">
        <v>97</v>
      </c>
      <c r="F672" t="s">
        <v>98</v>
      </c>
      <c r="G672">
        <v>2.7</v>
      </c>
      <c r="H672">
        <v>5.9</v>
      </c>
      <c r="I672">
        <v>5.75</v>
      </c>
      <c r="J672">
        <v>3.6</v>
      </c>
      <c r="K672">
        <v>17.95</v>
      </c>
      <c r="L672">
        <v>4.3148148150000001</v>
      </c>
      <c r="M672">
        <v>190</v>
      </c>
      <c r="N672">
        <v>204</v>
      </c>
      <c r="O672">
        <v>14</v>
      </c>
      <c r="P672">
        <v>250</v>
      </c>
      <c r="Q672">
        <v>60</v>
      </c>
      <c r="R672">
        <v>30</v>
      </c>
      <c r="S672">
        <v>107.1</v>
      </c>
      <c r="T672">
        <v>31.578947370000002</v>
      </c>
      <c r="U672">
        <v>22.549019609999998</v>
      </c>
      <c r="V672">
        <v>19</v>
      </c>
      <c r="W672">
        <v>23</v>
      </c>
      <c r="X672">
        <v>31</v>
      </c>
      <c r="Y672">
        <v>12</v>
      </c>
      <c r="Z672">
        <v>63.157894740000003</v>
      </c>
      <c r="AA672">
        <v>7</v>
      </c>
      <c r="AB672">
        <v>10</v>
      </c>
      <c r="AC672">
        <v>14</v>
      </c>
      <c r="AD672" t="s">
        <v>66</v>
      </c>
      <c r="AE672">
        <v>188</v>
      </c>
      <c r="AF672">
        <v>234</v>
      </c>
      <c r="AG672" t="s">
        <v>66</v>
      </c>
      <c r="AH672">
        <v>117</v>
      </c>
      <c r="AI672">
        <v>158</v>
      </c>
      <c r="AJ672" t="s">
        <v>66</v>
      </c>
      <c r="AK672">
        <v>94</v>
      </c>
      <c r="AL672">
        <v>73</v>
      </c>
      <c r="AM672">
        <v>105.5</v>
      </c>
      <c r="AN672">
        <v>115.5</v>
      </c>
      <c r="AO672">
        <v>9.4786729859999994</v>
      </c>
      <c r="AP672">
        <v>24.468085110000001</v>
      </c>
      <c r="AQ672">
        <v>1.781990521</v>
      </c>
      <c r="AR672">
        <v>2.0259740260000001</v>
      </c>
      <c r="AS672">
        <v>0.24398350499999999</v>
      </c>
      <c r="AT672">
        <v>0</v>
      </c>
      <c r="AU672" t="s">
        <v>66</v>
      </c>
      <c r="AV672">
        <v>1</v>
      </c>
      <c r="AW672">
        <v>2</v>
      </c>
      <c r="AX672">
        <v>0</v>
      </c>
      <c r="AY672">
        <v>1</v>
      </c>
      <c r="AZ672">
        <v>1</v>
      </c>
      <c r="BA672">
        <v>1</v>
      </c>
      <c r="BB672" t="s">
        <v>66</v>
      </c>
      <c r="BC672">
        <v>31.6</v>
      </c>
      <c r="BD672">
        <v>71.3</v>
      </c>
      <c r="BE672">
        <v>125.6329114</v>
      </c>
      <c r="BF672">
        <v>0</v>
      </c>
      <c r="BG672">
        <v>49.91</v>
      </c>
      <c r="BH672">
        <v>57.943037969999999</v>
      </c>
      <c r="BI672">
        <v>381</v>
      </c>
      <c r="BJ672">
        <v>335</v>
      </c>
      <c r="BK672">
        <v>235</v>
      </c>
      <c r="BL672">
        <v>361</v>
      </c>
      <c r="BM672">
        <v>236</v>
      </c>
      <c r="BN672">
        <v>110</v>
      </c>
      <c r="BO672">
        <f t="shared" si="108"/>
        <v>173</v>
      </c>
      <c r="BP672">
        <v>3</v>
      </c>
      <c r="BQ672">
        <v>1</v>
      </c>
      <c r="BR672" t="s">
        <v>873</v>
      </c>
      <c r="BS672">
        <v>1</v>
      </c>
      <c r="BT672">
        <f t="shared" si="109"/>
        <v>50.131233595800531</v>
      </c>
      <c r="BU672">
        <f t="shared" si="110"/>
        <v>94.328358208955223</v>
      </c>
      <c r="BV672">
        <f t="shared" si="111"/>
        <v>47.92243767313019</v>
      </c>
      <c r="BW672">
        <f t="shared" si="112"/>
        <v>39.017341040462426</v>
      </c>
    </row>
    <row r="673" spans="1:75" x14ac:dyDescent="0.2">
      <c r="A673" t="s">
        <v>60</v>
      </c>
      <c r="B673" t="s">
        <v>61</v>
      </c>
      <c r="C673" t="s">
        <v>62</v>
      </c>
      <c r="D673" t="s">
        <v>63</v>
      </c>
      <c r="E673" t="s">
        <v>103</v>
      </c>
      <c r="F673" t="s">
        <v>104</v>
      </c>
      <c r="G673">
        <v>2.7</v>
      </c>
      <c r="H673">
        <v>5.9</v>
      </c>
      <c r="I673">
        <v>5.75</v>
      </c>
      <c r="J673">
        <v>3.6</v>
      </c>
      <c r="K673">
        <v>17.95</v>
      </c>
      <c r="L673">
        <v>4.3148148150000001</v>
      </c>
      <c r="M673">
        <v>32</v>
      </c>
      <c r="N673">
        <v>49</v>
      </c>
      <c r="O673">
        <v>17</v>
      </c>
      <c r="P673">
        <v>47</v>
      </c>
      <c r="Q673">
        <v>15</v>
      </c>
      <c r="R673">
        <v>7.5</v>
      </c>
      <c r="S673">
        <v>62.1</v>
      </c>
      <c r="T673">
        <v>46.875</v>
      </c>
      <c r="U673">
        <v>-4.0816326529999998</v>
      </c>
      <c r="V673">
        <v>3</v>
      </c>
      <c r="W673">
        <v>5</v>
      </c>
      <c r="X673">
        <v>5</v>
      </c>
      <c r="Y673">
        <v>2</v>
      </c>
      <c r="Z673">
        <v>66.666666669999998</v>
      </c>
      <c r="AA673" t="s">
        <v>66</v>
      </c>
      <c r="AB673" t="s">
        <v>66</v>
      </c>
      <c r="AC673" t="s">
        <v>66</v>
      </c>
      <c r="AD673" t="s">
        <v>66</v>
      </c>
      <c r="AE673">
        <v>28</v>
      </c>
      <c r="AF673">
        <v>29</v>
      </c>
      <c r="AG673" t="s">
        <v>66</v>
      </c>
      <c r="AH673">
        <v>12</v>
      </c>
      <c r="AI673">
        <v>15</v>
      </c>
      <c r="AJ673" t="s">
        <v>66</v>
      </c>
      <c r="AK673">
        <v>10</v>
      </c>
      <c r="AL673">
        <v>9</v>
      </c>
      <c r="AM673">
        <v>11</v>
      </c>
      <c r="AN673">
        <v>12</v>
      </c>
      <c r="AO673">
        <v>9.0909090910000003</v>
      </c>
      <c r="AP673">
        <v>3.5714285710000002</v>
      </c>
      <c r="AQ673">
        <v>2.5454545450000001</v>
      </c>
      <c r="AR673">
        <v>2.4166666669999999</v>
      </c>
      <c r="AS673">
        <v>-0.12878787799999999</v>
      </c>
      <c r="AT673">
        <v>0</v>
      </c>
      <c r="AU673" t="s">
        <v>66</v>
      </c>
      <c r="AV673">
        <v>2</v>
      </c>
      <c r="AW673">
        <v>3</v>
      </c>
      <c r="AX673">
        <v>0</v>
      </c>
      <c r="AY673">
        <v>1</v>
      </c>
      <c r="AZ673">
        <v>1</v>
      </c>
      <c r="BA673">
        <v>1</v>
      </c>
      <c r="BB673" t="s">
        <v>66</v>
      </c>
      <c r="BC673">
        <v>19.3</v>
      </c>
      <c r="BD673">
        <v>35.1</v>
      </c>
      <c r="BE673">
        <v>81.865284970000005</v>
      </c>
      <c r="BF673">
        <v>0</v>
      </c>
      <c r="BG673">
        <v>24.57</v>
      </c>
      <c r="BH673">
        <v>27.305699480000001</v>
      </c>
      <c r="BI673">
        <v>50</v>
      </c>
      <c r="BJ673">
        <v>4.8</v>
      </c>
      <c r="BK673" t="s">
        <v>66</v>
      </c>
      <c r="BL673">
        <f>50-28</f>
        <v>22</v>
      </c>
      <c r="BM673">
        <v>12</v>
      </c>
      <c r="BN673">
        <v>8</v>
      </c>
      <c r="BO673">
        <f t="shared" si="108"/>
        <v>10</v>
      </c>
      <c r="BP673">
        <v>4</v>
      </c>
      <c r="BQ673">
        <v>1</v>
      </c>
      <c r="BR673" t="s">
        <v>872</v>
      </c>
      <c r="BS673">
        <v>1</v>
      </c>
      <c r="BT673">
        <f t="shared" si="109"/>
        <v>36</v>
      </c>
      <c r="BU673">
        <f t="shared" si="110"/>
        <v>37.5</v>
      </c>
      <c r="BV673">
        <f t="shared" si="111"/>
        <v>-27.27272727272727</v>
      </c>
      <c r="BW673">
        <f t="shared" si="112"/>
        <v>-10</v>
      </c>
    </row>
    <row r="674" spans="1:75" x14ac:dyDescent="0.2">
      <c r="A674" t="s">
        <v>127</v>
      </c>
      <c r="B674" t="s">
        <v>128</v>
      </c>
      <c r="C674" t="s">
        <v>62</v>
      </c>
      <c r="D674" t="s">
        <v>63</v>
      </c>
      <c r="E674" t="s">
        <v>64</v>
      </c>
      <c r="F674" t="s">
        <v>129</v>
      </c>
      <c r="G674">
        <v>3.85</v>
      </c>
      <c r="H674">
        <v>7.5</v>
      </c>
      <c r="I674">
        <v>4.45</v>
      </c>
      <c r="J674">
        <v>0.95</v>
      </c>
      <c r="K674">
        <v>16.75</v>
      </c>
      <c r="L674">
        <v>3.1038961039999999</v>
      </c>
      <c r="M674">
        <v>88</v>
      </c>
      <c r="N674">
        <v>118</v>
      </c>
      <c r="O674">
        <v>30</v>
      </c>
      <c r="P674">
        <v>139</v>
      </c>
      <c r="Q674">
        <v>51</v>
      </c>
      <c r="R674">
        <v>25.5</v>
      </c>
      <c r="S674">
        <v>98.1</v>
      </c>
      <c r="T674">
        <v>57.954545449999998</v>
      </c>
      <c r="U674">
        <v>17.796610170000001</v>
      </c>
      <c r="V674">
        <v>7</v>
      </c>
      <c r="W674">
        <v>1</v>
      </c>
      <c r="X674">
        <v>10</v>
      </c>
      <c r="Y674">
        <v>3</v>
      </c>
      <c r="Z674">
        <v>42.857142860000003</v>
      </c>
      <c r="AA674" t="s">
        <v>66</v>
      </c>
      <c r="AB674" t="s">
        <v>66</v>
      </c>
      <c r="AC674" t="s">
        <v>66</v>
      </c>
      <c r="AD674" t="s">
        <v>66</v>
      </c>
      <c r="AE674">
        <v>96</v>
      </c>
      <c r="AF674">
        <v>114</v>
      </c>
      <c r="AG674" t="s">
        <v>66</v>
      </c>
      <c r="AH674">
        <v>50</v>
      </c>
      <c r="AI674">
        <v>32</v>
      </c>
      <c r="AJ674" t="s">
        <v>66</v>
      </c>
      <c r="AK674">
        <v>28</v>
      </c>
      <c r="AL674">
        <v>19</v>
      </c>
      <c r="AM674">
        <v>39</v>
      </c>
      <c r="AN674">
        <v>25.5</v>
      </c>
      <c r="AO674">
        <v>-34.61538462</v>
      </c>
      <c r="AP674">
        <v>18.75</v>
      </c>
      <c r="AQ674">
        <v>2.461538462</v>
      </c>
      <c r="AR674">
        <v>4.4705882350000001</v>
      </c>
      <c r="AS674">
        <v>2.0090497730000001</v>
      </c>
      <c r="AT674">
        <v>0</v>
      </c>
      <c r="AU674" t="s">
        <v>66</v>
      </c>
      <c r="AV674">
        <v>3</v>
      </c>
      <c r="AW674">
        <v>3</v>
      </c>
      <c r="AX674">
        <v>0</v>
      </c>
      <c r="AY674">
        <v>1</v>
      </c>
      <c r="AZ674">
        <v>1</v>
      </c>
      <c r="BA674">
        <v>1</v>
      </c>
      <c r="BB674" t="s">
        <v>66</v>
      </c>
      <c r="BC674">
        <v>31</v>
      </c>
      <c r="BD674">
        <v>51.1</v>
      </c>
      <c r="BE674">
        <v>64.838709679999994</v>
      </c>
      <c r="BF674">
        <v>0</v>
      </c>
      <c r="BG674">
        <v>35.770000000000003</v>
      </c>
      <c r="BH674">
        <v>15.387096769999999</v>
      </c>
      <c r="BI674">
        <v>139</v>
      </c>
      <c r="BJ674">
        <v>9.3000000000000007</v>
      </c>
      <c r="BK674" t="s">
        <v>66</v>
      </c>
      <c r="BL674">
        <f>139-66</f>
        <v>73</v>
      </c>
      <c r="BM674">
        <v>25</v>
      </c>
      <c r="BN674">
        <v>12</v>
      </c>
      <c r="BO674">
        <f t="shared" si="108"/>
        <v>18.5</v>
      </c>
      <c r="BP674">
        <v>3</v>
      </c>
      <c r="BQ674">
        <v>1</v>
      </c>
      <c r="BR674" t="s">
        <v>874</v>
      </c>
      <c r="BS674">
        <v>1</v>
      </c>
      <c r="BT674">
        <f t="shared" si="109"/>
        <v>36.690647482014391</v>
      </c>
      <c r="BU674">
        <f t="shared" si="110"/>
        <v>24.731182795698931</v>
      </c>
      <c r="BV674">
        <f t="shared" si="111"/>
        <v>-31.506849315068493</v>
      </c>
      <c r="BW674">
        <f t="shared" si="112"/>
        <v>-110.81081081081081</v>
      </c>
    </row>
    <row r="675" spans="1:75" x14ac:dyDescent="0.2">
      <c r="A675" t="s">
        <v>127</v>
      </c>
      <c r="B675" t="s">
        <v>128</v>
      </c>
      <c r="C675" t="s">
        <v>62</v>
      </c>
      <c r="D675" t="s">
        <v>63</v>
      </c>
      <c r="E675" t="s">
        <v>69</v>
      </c>
      <c r="F675" t="s">
        <v>131</v>
      </c>
      <c r="G675">
        <v>3.85</v>
      </c>
      <c r="H675">
        <v>7.5</v>
      </c>
      <c r="I675">
        <v>4.45</v>
      </c>
      <c r="J675">
        <v>0.95</v>
      </c>
      <c r="K675">
        <v>16.75</v>
      </c>
      <c r="L675">
        <v>3.1038961039999999</v>
      </c>
      <c r="M675">
        <v>34</v>
      </c>
      <c r="N675">
        <v>45</v>
      </c>
      <c r="O675">
        <v>11</v>
      </c>
      <c r="P675">
        <v>47</v>
      </c>
      <c r="Q675">
        <v>13</v>
      </c>
      <c r="R675">
        <v>6.5</v>
      </c>
      <c r="S675">
        <v>60.1</v>
      </c>
      <c r="T675">
        <v>38.235294119999999</v>
      </c>
      <c r="U675">
        <v>4.4444444440000002</v>
      </c>
      <c r="V675">
        <v>6</v>
      </c>
      <c r="W675">
        <v>8</v>
      </c>
      <c r="X675">
        <v>8</v>
      </c>
      <c r="Y675">
        <v>2</v>
      </c>
      <c r="Z675">
        <v>33.333333330000002</v>
      </c>
      <c r="AA675" t="s">
        <v>66</v>
      </c>
      <c r="AB675" t="s">
        <v>66</v>
      </c>
      <c r="AC675" t="s">
        <v>66</v>
      </c>
      <c r="AD675" t="s">
        <v>66</v>
      </c>
      <c r="AE675">
        <v>24</v>
      </c>
      <c r="AF675">
        <v>27</v>
      </c>
      <c r="AG675" t="s">
        <v>66</v>
      </c>
      <c r="AH675">
        <v>22</v>
      </c>
      <c r="AI675">
        <v>19</v>
      </c>
      <c r="AJ675" t="s">
        <v>66</v>
      </c>
      <c r="AK675">
        <v>13</v>
      </c>
      <c r="AL675">
        <v>10</v>
      </c>
      <c r="AM675">
        <v>17.5</v>
      </c>
      <c r="AN675">
        <v>14.5</v>
      </c>
      <c r="AO675">
        <v>-17.14285714</v>
      </c>
      <c r="AP675">
        <v>12.5</v>
      </c>
      <c r="AQ675">
        <v>1.371428571</v>
      </c>
      <c r="AR675">
        <v>1.862068966</v>
      </c>
      <c r="AS675">
        <v>0.49064039500000001</v>
      </c>
      <c r="AT675">
        <v>0</v>
      </c>
      <c r="AU675" t="s">
        <v>66</v>
      </c>
      <c r="AV675">
        <v>1</v>
      </c>
      <c r="AW675">
        <v>2</v>
      </c>
      <c r="AX675">
        <v>0</v>
      </c>
      <c r="AY675">
        <v>1</v>
      </c>
      <c r="AZ675">
        <v>1</v>
      </c>
      <c r="BA675">
        <v>1</v>
      </c>
      <c r="BB675" t="s">
        <v>66</v>
      </c>
      <c r="BC675">
        <v>25</v>
      </c>
      <c r="BD675">
        <v>41.5</v>
      </c>
      <c r="BE675">
        <v>66</v>
      </c>
      <c r="BF675">
        <v>0</v>
      </c>
      <c r="BG675">
        <v>29.05</v>
      </c>
      <c r="BH675">
        <v>16.2</v>
      </c>
      <c r="BI675">
        <v>110</v>
      </c>
      <c r="BJ675">
        <v>9.6</v>
      </c>
      <c r="BK675" t="s">
        <v>66</v>
      </c>
      <c r="BL675">
        <f>110-26</f>
        <v>84</v>
      </c>
      <c r="BM675">
        <v>39</v>
      </c>
      <c r="BN675">
        <v>28</v>
      </c>
      <c r="BO675">
        <f t="shared" si="108"/>
        <v>33.5</v>
      </c>
      <c r="BP675">
        <v>2</v>
      </c>
      <c r="BQ675">
        <v>1</v>
      </c>
      <c r="BR675" t="s">
        <v>874</v>
      </c>
      <c r="BS675">
        <v>1</v>
      </c>
      <c r="BT675">
        <f t="shared" si="109"/>
        <v>69.090909090909093</v>
      </c>
      <c r="BU675">
        <f t="shared" si="110"/>
        <v>37.5</v>
      </c>
      <c r="BV675">
        <f t="shared" si="111"/>
        <v>71.428571428571431</v>
      </c>
      <c r="BW675">
        <f t="shared" si="112"/>
        <v>47.761194029850742</v>
      </c>
    </row>
    <row r="676" spans="1:75" x14ac:dyDescent="0.2">
      <c r="A676" t="s">
        <v>127</v>
      </c>
      <c r="B676" t="s">
        <v>128</v>
      </c>
      <c r="C676" t="s">
        <v>62</v>
      </c>
      <c r="D676" t="s">
        <v>63</v>
      </c>
      <c r="E676" t="s">
        <v>81</v>
      </c>
      <c r="F676" t="s">
        <v>137</v>
      </c>
      <c r="G676">
        <v>3.85</v>
      </c>
      <c r="H676">
        <v>7.5</v>
      </c>
      <c r="I676">
        <v>4.45</v>
      </c>
      <c r="J676">
        <v>0.95</v>
      </c>
      <c r="K676">
        <v>16.75</v>
      </c>
      <c r="L676">
        <v>3.1038961039999999</v>
      </c>
      <c r="M676">
        <v>132</v>
      </c>
      <c r="N676">
        <v>125</v>
      </c>
      <c r="O676">
        <v>-7</v>
      </c>
      <c r="P676">
        <v>123</v>
      </c>
      <c r="Q676">
        <v>-9</v>
      </c>
      <c r="R676">
        <v>-4.5</v>
      </c>
      <c r="S676">
        <v>38.1</v>
      </c>
      <c r="T676">
        <v>-6.8181818180000002</v>
      </c>
      <c r="U676">
        <v>-1.6</v>
      </c>
      <c r="V676">
        <v>8</v>
      </c>
      <c r="W676">
        <v>10</v>
      </c>
      <c r="X676">
        <v>10</v>
      </c>
      <c r="Y676">
        <v>2</v>
      </c>
      <c r="Z676">
        <v>25</v>
      </c>
      <c r="AA676" t="s">
        <v>66</v>
      </c>
      <c r="AB676" t="s">
        <v>66</v>
      </c>
      <c r="AC676" t="s">
        <v>66</v>
      </c>
      <c r="AD676" t="s">
        <v>66</v>
      </c>
      <c r="AE676">
        <v>39</v>
      </c>
      <c r="AF676">
        <v>38</v>
      </c>
      <c r="AG676" t="s">
        <v>66</v>
      </c>
      <c r="AH676">
        <v>42</v>
      </c>
      <c r="AI676">
        <v>46</v>
      </c>
      <c r="AJ676" t="s">
        <v>66</v>
      </c>
      <c r="AK676">
        <v>14</v>
      </c>
      <c r="AL676">
        <v>24</v>
      </c>
      <c r="AM676">
        <v>28</v>
      </c>
      <c r="AN676">
        <v>35</v>
      </c>
      <c r="AO676">
        <v>25</v>
      </c>
      <c r="AP676">
        <v>-2.5641025640000001</v>
      </c>
      <c r="AQ676">
        <v>1.3928571430000001</v>
      </c>
      <c r="AR676">
        <v>1.085714286</v>
      </c>
      <c r="AS676">
        <v>-0.30714285699999999</v>
      </c>
      <c r="AT676">
        <v>0</v>
      </c>
      <c r="AU676" t="s">
        <v>66</v>
      </c>
      <c r="AV676">
        <v>3</v>
      </c>
      <c r="AW676">
        <v>4</v>
      </c>
      <c r="AX676">
        <v>0</v>
      </c>
      <c r="AY676">
        <v>1</v>
      </c>
      <c r="AZ676">
        <v>1</v>
      </c>
      <c r="BA676">
        <v>1</v>
      </c>
      <c r="BB676" t="s">
        <v>66</v>
      </c>
      <c r="BC676">
        <v>28.6</v>
      </c>
      <c r="BD676">
        <v>45.6</v>
      </c>
      <c r="BE676">
        <v>59.440559440000001</v>
      </c>
      <c r="BF676">
        <v>0</v>
      </c>
      <c r="BG676">
        <v>31.92</v>
      </c>
      <c r="BH676">
        <v>11.60839161</v>
      </c>
      <c r="BI676">
        <v>115</v>
      </c>
      <c r="BJ676">
        <v>14.5</v>
      </c>
      <c r="BK676" t="s">
        <v>66</v>
      </c>
      <c r="BL676">
        <f>115-91</f>
        <v>24</v>
      </c>
      <c r="BM676">
        <v>46</v>
      </c>
      <c r="BN676">
        <v>31</v>
      </c>
      <c r="BO676">
        <f t="shared" si="108"/>
        <v>38.5</v>
      </c>
      <c r="BP676">
        <v>4</v>
      </c>
      <c r="BQ676">
        <v>1</v>
      </c>
      <c r="BR676" t="s">
        <v>874</v>
      </c>
      <c r="BS676">
        <v>1</v>
      </c>
      <c r="BT676">
        <f t="shared" si="109"/>
        <v>-14.782608695652174</v>
      </c>
      <c r="BU676">
        <f t="shared" si="110"/>
        <v>44.827586206896555</v>
      </c>
      <c r="BV676">
        <f t="shared" si="111"/>
        <v>-62.5</v>
      </c>
      <c r="BW676">
        <f t="shared" si="112"/>
        <v>27.27272727272727</v>
      </c>
    </row>
    <row r="677" spans="1:75" x14ac:dyDescent="0.2">
      <c r="A677" t="s">
        <v>170</v>
      </c>
      <c r="B677" t="s">
        <v>171</v>
      </c>
      <c r="C677" t="s">
        <v>62</v>
      </c>
      <c r="D677" t="s">
        <v>63</v>
      </c>
      <c r="E677" t="s">
        <v>103</v>
      </c>
      <c r="F677" t="s">
        <v>191</v>
      </c>
      <c r="G677">
        <v>2.65</v>
      </c>
      <c r="H677">
        <v>15.9</v>
      </c>
      <c r="I677">
        <v>15.75</v>
      </c>
      <c r="J677">
        <v>1.4</v>
      </c>
      <c r="K677">
        <v>35.700000000000003</v>
      </c>
      <c r="L677">
        <v>11.943396229999999</v>
      </c>
      <c r="M677">
        <v>47</v>
      </c>
      <c r="N677">
        <v>56</v>
      </c>
      <c r="O677">
        <v>9</v>
      </c>
      <c r="P677">
        <v>56</v>
      </c>
      <c r="Q677">
        <v>9</v>
      </c>
      <c r="R677">
        <v>4.5</v>
      </c>
      <c r="S677">
        <v>56.1</v>
      </c>
      <c r="T677">
        <v>19.148936169999999</v>
      </c>
      <c r="U677">
        <v>0</v>
      </c>
      <c r="V677">
        <v>5</v>
      </c>
      <c r="W677">
        <v>7</v>
      </c>
      <c r="X677">
        <v>6</v>
      </c>
      <c r="Y677">
        <v>1</v>
      </c>
      <c r="Z677">
        <v>20</v>
      </c>
      <c r="AA677" t="s">
        <v>66</v>
      </c>
      <c r="AB677" t="s">
        <v>66</v>
      </c>
      <c r="AC677" t="s">
        <v>66</v>
      </c>
      <c r="AD677" t="s">
        <v>66</v>
      </c>
      <c r="AE677">
        <v>19</v>
      </c>
      <c r="AF677">
        <v>9</v>
      </c>
      <c r="AG677" t="s">
        <v>66</v>
      </c>
      <c r="AH677">
        <v>13</v>
      </c>
      <c r="AI677">
        <v>9</v>
      </c>
      <c r="AJ677" t="s">
        <v>66</v>
      </c>
      <c r="AK677">
        <v>7</v>
      </c>
      <c r="AL677">
        <v>8</v>
      </c>
      <c r="AM677">
        <v>10</v>
      </c>
      <c r="AN677">
        <v>8.5</v>
      </c>
      <c r="AO677">
        <v>-15</v>
      </c>
      <c r="AP677">
        <v>-52.631578949999998</v>
      </c>
      <c r="AQ677">
        <v>1.9</v>
      </c>
      <c r="AR677">
        <v>1.0588235290000001</v>
      </c>
      <c r="AS677">
        <v>-0.84117647100000004</v>
      </c>
      <c r="AT677">
        <v>0</v>
      </c>
      <c r="AU677" t="s">
        <v>66</v>
      </c>
      <c r="AV677">
        <v>2</v>
      </c>
      <c r="AW677">
        <v>4</v>
      </c>
      <c r="AX677">
        <v>0</v>
      </c>
      <c r="AY677">
        <v>1</v>
      </c>
      <c r="AZ677">
        <v>1</v>
      </c>
      <c r="BA677">
        <v>1</v>
      </c>
      <c r="BB677" t="s">
        <v>66</v>
      </c>
      <c r="BC677">
        <v>19.899999999999999</v>
      </c>
      <c r="BD677">
        <v>43.285714290000001</v>
      </c>
      <c r="BE677">
        <v>117.51615219999999</v>
      </c>
      <c r="BF677">
        <v>0</v>
      </c>
      <c r="BG677">
        <v>30.3</v>
      </c>
      <c r="BH677">
        <v>52.26130655</v>
      </c>
      <c r="BI677">
        <v>17</v>
      </c>
      <c r="BJ677">
        <v>6.2</v>
      </c>
      <c r="BK677" t="s">
        <v>66</v>
      </c>
      <c r="BL677">
        <v>5</v>
      </c>
      <c r="BM677">
        <v>2</v>
      </c>
      <c r="BN677">
        <v>1</v>
      </c>
      <c r="BO677">
        <f t="shared" si="108"/>
        <v>1.5</v>
      </c>
      <c r="BP677">
        <v>3</v>
      </c>
      <c r="BQ677">
        <v>1</v>
      </c>
      <c r="BR677" t="s">
        <v>879</v>
      </c>
      <c r="BS677">
        <v>1</v>
      </c>
      <c r="BT677">
        <f t="shared" si="109"/>
        <v>-176.47058823529412</v>
      </c>
      <c r="BU677">
        <f t="shared" si="110"/>
        <v>19.35483870967742</v>
      </c>
      <c r="BV677">
        <f t="shared" si="111"/>
        <v>-280</v>
      </c>
      <c r="BW677">
        <f t="shared" si="112"/>
        <v>-566.66666666666674</v>
      </c>
    </row>
    <row r="678" spans="1:75" x14ac:dyDescent="0.2">
      <c r="A678" t="s">
        <v>170</v>
      </c>
      <c r="B678" t="s">
        <v>171</v>
      </c>
      <c r="C678" t="s">
        <v>62</v>
      </c>
      <c r="D678" t="s">
        <v>63</v>
      </c>
      <c r="E678" t="s">
        <v>77</v>
      </c>
      <c r="F678" t="s">
        <v>178</v>
      </c>
      <c r="G678">
        <v>2.65</v>
      </c>
      <c r="H678">
        <v>15.9</v>
      </c>
      <c r="I678">
        <v>15.75</v>
      </c>
      <c r="J678">
        <v>1.4</v>
      </c>
      <c r="K678">
        <v>35.700000000000003</v>
      </c>
      <c r="L678">
        <v>11.943396229999999</v>
      </c>
      <c r="M678">
        <v>62</v>
      </c>
      <c r="N678">
        <v>77</v>
      </c>
      <c r="O678">
        <v>15</v>
      </c>
      <c r="P678">
        <v>70</v>
      </c>
      <c r="Q678">
        <v>8</v>
      </c>
      <c r="R678">
        <v>4</v>
      </c>
      <c r="S678">
        <v>55.1</v>
      </c>
      <c r="T678">
        <v>12.90322581</v>
      </c>
      <c r="U678">
        <v>-9.0909090910000003</v>
      </c>
      <c r="V678">
        <v>8</v>
      </c>
      <c r="W678">
        <v>9</v>
      </c>
      <c r="X678">
        <v>11</v>
      </c>
      <c r="Y678">
        <v>3</v>
      </c>
      <c r="Z678">
        <v>37.5</v>
      </c>
      <c r="AA678" t="s">
        <v>66</v>
      </c>
      <c r="AB678" t="s">
        <v>66</v>
      </c>
      <c r="AC678" t="s">
        <v>66</v>
      </c>
      <c r="AD678" t="s">
        <v>66</v>
      </c>
      <c r="AE678">
        <v>42</v>
      </c>
      <c r="AF678">
        <v>38</v>
      </c>
      <c r="AG678" t="s">
        <v>66</v>
      </c>
      <c r="AH678">
        <v>29</v>
      </c>
      <c r="AI678">
        <v>27</v>
      </c>
      <c r="AJ678" t="s">
        <v>66</v>
      </c>
      <c r="AK678">
        <v>15</v>
      </c>
      <c r="AL678">
        <v>10</v>
      </c>
      <c r="AM678">
        <v>22</v>
      </c>
      <c r="AN678">
        <v>18.5</v>
      </c>
      <c r="AO678">
        <v>-15.90909091</v>
      </c>
      <c r="AP678">
        <v>-9.5238095240000007</v>
      </c>
      <c r="AQ678">
        <v>1.9090909089999999</v>
      </c>
      <c r="AR678">
        <v>2.0540540539999999</v>
      </c>
      <c r="AS678">
        <v>0.14496314499999999</v>
      </c>
      <c r="AT678">
        <v>0</v>
      </c>
      <c r="AU678" t="s">
        <v>66</v>
      </c>
      <c r="AV678">
        <v>3</v>
      </c>
      <c r="AW678">
        <v>2</v>
      </c>
      <c r="AX678">
        <v>1</v>
      </c>
      <c r="AY678">
        <v>1</v>
      </c>
      <c r="AZ678">
        <v>1</v>
      </c>
      <c r="BA678">
        <v>1</v>
      </c>
      <c r="BB678" t="s">
        <v>66</v>
      </c>
      <c r="BC678">
        <v>30</v>
      </c>
      <c r="BD678">
        <v>42.5</v>
      </c>
      <c r="BE678">
        <v>41.666666669999998</v>
      </c>
      <c r="BF678">
        <v>0</v>
      </c>
      <c r="BG678">
        <v>29.75</v>
      </c>
      <c r="BH678">
        <v>-0.83333333300000001</v>
      </c>
      <c r="BI678">
        <v>72</v>
      </c>
      <c r="BJ678">
        <v>10.8</v>
      </c>
      <c r="BK678" t="s">
        <v>66</v>
      </c>
      <c r="BL678">
        <f>72-39</f>
        <v>33</v>
      </c>
      <c r="BM678">
        <v>31</v>
      </c>
      <c r="BN678">
        <v>24</v>
      </c>
      <c r="BO678">
        <f t="shared" si="108"/>
        <v>27.5</v>
      </c>
      <c r="BP678">
        <v>4</v>
      </c>
      <c r="BQ678">
        <v>1</v>
      </c>
      <c r="BR678" t="s">
        <v>874</v>
      </c>
      <c r="BS678">
        <v>1</v>
      </c>
      <c r="BT678">
        <f t="shared" si="109"/>
        <v>13.888888888888889</v>
      </c>
      <c r="BU678">
        <f t="shared" si="110"/>
        <v>25.925925925925931</v>
      </c>
      <c r="BV678">
        <f t="shared" si="111"/>
        <v>-27.27272727272727</v>
      </c>
      <c r="BW678">
        <f t="shared" si="112"/>
        <v>20</v>
      </c>
    </row>
    <row r="679" spans="1:75" x14ac:dyDescent="0.2">
      <c r="A679" t="s">
        <v>170</v>
      </c>
      <c r="B679" t="s">
        <v>171</v>
      </c>
      <c r="C679" t="s">
        <v>62</v>
      </c>
      <c r="D679" t="s">
        <v>63</v>
      </c>
      <c r="E679" t="s">
        <v>87</v>
      </c>
      <c r="F679" t="s">
        <v>183</v>
      </c>
      <c r="G679">
        <v>2.65</v>
      </c>
      <c r="H679">
        <v>15.9</v>
      </c>
      <c r="I679">
        <v>15.75</v>
      </c>
      <c r="J679">
        <v>1.4</v>
      </c>
      <c r="K679">
        <v>35.700000000000003</v>
      </c>
      <c r="L679">
        <v>11.943396229999999</v>
      </c>
      <c r="M679">
        <v>41</v>
      </c>
      <c r="N679">
        <v>55</v>
      </c>
      <c r="O679">
        <v>14</v>
      </c>
      <c r="P679">
        <v>57</v>
      </c>
      <c r="Q679">
        <v>16</v>
      </c>
      <c r="R679">
        <v>8</v>
      </c>
      <c r="S679">
        <v>63.1</v>
      </c>
      <c r="T679">
        <v>39.024390240000002</v>
      </c>
      <c r="U679">
        <v>3.636363636</v>
      </c>
      <c r="V679">
        <v>10</v>
      </c>
      <c r="W679">
        <v>9</v>
      </c>
      <c r="X679">
        <v>10</v>
      </c>
      <c r="Y679">
        <v>0</v>
      </c>
      <c r="Z679">
        <v>0</v>
      </c>
      <c r="AA679" t="s">
        <v>66</v>
      </c>
      <c r="AB679" t="s">
        <v>66</v>
      </c>
      <c r="AC679" t="s">
        <v>66</v>
      </c>
      <c r="AD679" t="s">
        <v>66</v>
      </c>
      <c r="AE679">
        <v>27</v>
      </c>
      <c r="AF679">
        <v>33</v>
      </c>
      <c r="AG679" t="s">
        <v>66</v>
      </c>
      <c r="AH679">
        <v>16</v>
      </c>
      <c r="AI679">
        <v>22</v>
      </c>
      <c r="AJ679" t="s">
        <v>66</v>
      </c>
      <c r="AK679">
        <v>12</v>
      </c>
      <c r="AL679">
        <v>15</v>
      </c>
      <c r="AM679">
        <v>14</v>
      </c>
      <c r="AN679">
        <v>18.5</v>
      </c>
      <c r="AO679">
        <v>32.142857139999997</v>
      </c>
      <c r="AP679">
        <v>22.222222219999999</v>
      </c>
      <c r="AQ679">
        <v>1.928571429</v>
      </c>
      <c r="AR679">
        <v>1.7837837839999999</v>
      </c>
      <c r="AS679">
        <v>-0.14478764499999999</v>
      </c>
      <c r="AT679">
        <v>0</v>
      </c>
      <c r="AU679" t="s">
        <v>66</v>
      </c>
      <c r="AV679">
        <v>1</v>
      </c>
      <c r="AW679">
        <v>2</v>
      </c>
      <c r="AX679">
        <v>1</v>
      </c>
      <c r="AY679">
        <v>1</v>
      </c>
      <c r="AZ679">
        <v>1</v>
      </c>
      <c r="BA679">
        <v>1</v>
      </c>
      <c r="BB679" t="s">
        <v>66</v>
      </c>
      <c r="BC679">
        <v>32.700000000000003</v>
      </c>
      <c r="BD679">
        <v>43.9</v>
      </c>
      <c r="BE679">
        <v>34.250764529999998</v>
      </c>
      <c r="BF679">
        <v>0</v>
      </c>
      <c r="BG679">
        <v>30.73</v>
      </c>
      <c r="BH679">
        <v>-6.0244648319999996</v>
      </c>
      <c r="BI679">
        <v>40</v>
      </c>
      <c r="BJ679">
        <v>10.8</v>
      </c>
      <c r="BK679" t="s">
        <v>66</v>
      </c>
      <c r="BL679">
        <v>15</v>
      </c>
      <c r="BM679">
        <v>25</v>
      </c>
      <c r="BN679">
        <v>18</v>
      </c>
      <c r="BO679">
        <f t="shared" si="108"/>
        <v>21.5</v>
      </c>
      <c r="BP679">
        <v>4</v>
      </c>
      <c r="BQ679">
        <v>1</v>
      </c>
      <c r="BR679" t="s">
        <v>874</v>
      </c>
      <c r="BS679">
        <v>1</v>
      </c>
      <c r="BT679">
        <f t="shared" si="109"/>
        <v>-2.5</v>
      </c>
      <c r="BU679">
        <f t="shared" si="110"/>
        <v>7.4074074074074137</v>
      </c>
      <c r="BV679">
        <f t="shared" si="111"/>
        <v>-80</v>
      </c>
      <c r="BW679">
        <f t="shared" si="112"/>
        <v>34.883720930232556</v>
      </c>
    </row>
    <row r="680" spans="1:75" x14ac:dyDescent="0.2">
      <c r="A680" t="s">
        <v>213</v>
      </c>
      <c r="B680" t="s">
        <v>214</v>
      </c>
      <c r="C680" t="s">
        <v>62</v>
      </c>
      <c r="D680" t="s">
        <v>63</v>
      </c>
      <c r="E680" t="s">
        <v>64</v>
      </c>
      <c r="F680" t="s">
        <v>215</v>
      </c>
      <c r="G680">
        <v>5</v>
      </c>
      <c r="H680">
        <v>6.75</v>
      </c>
      <c r="I680">
        <v>12.5</v>
      </c>
      <c r="J680">
        <v>15.2</v>
      </c>
      <c r="K680">
        <v>39.450000000000003</v>
      </c>
      <c r="L680">
        <v>3.85</v>
      </c>
      <c r="M680">
        <v>23</v>
      </c>
      <c r="N680">
        <v>29</v>
      </c>
      <c r="O680">
        <v>6</v>
      </c>
      <c r="P680">
        <v>33</v>
      </c>
      <c r="Q680">
        <v>10</v>
      </c>
      <c r="R680">
        <v>5</v>
      </c>
      <c r="S680">
        <v>57.1</v>
      </c>
      <c r="T680">
        <v>43.47826087</v>
      </c>
      <c r="U680">
        <v>13.79310345</v>
      </c>
      <c r="V680">
        <v>5</v>
      </c>
      <c r="W680">
        <v>4</v>
      </c>
      <c r="X680">
        <v>5</v>
      </c>
      <c r="Y680">
        <v>0</v>
      </c>
      <c r="Z680">
        <v>0</v>
      </c>
      <c r="AA680" t="s">
        <v>66</v>
      </c>
      <c r="AB680" t="s">
        <v>66</v>
      </c>
      <c r="AC680" t="s">
        <v>66</v>
      </c>
      <c r="AD680" t="s">
        <v>66</v>
      </c>
      <c r="AE680">
        <v>23</v>
      </c>
      <c r="AF680">
        <v>18</v>
      </c>
      <c r="AG680" t="s">
        <v>66</v>
      </c>
      <c r="AH680">
        <v>15</v>
      </c>
      <c r="AI680">
        <v>9</v>
      </c>
      <c r="AJ680" t="s">
        <v>66</v>
      </c>
      <c r="AK680">
        <v>12</v>
      </c>
      <c r="AL680">
        <v>7</v>
      </c>
      <c r="AM680">
        <v>13.5</v>
      </c>
      <c r="AN680">
        <v>8</v>
      </c>
      <c r="AO680">
        <v>-40.74074074</v>
      </c>
      <c r="AP680">
        <v>-21.739130429999999</v>
      </c>
      <c r="AQ680">
        <v>1.703703704</v>
      </c>
      <c r="AR680">
        <v>2.25</v>
      </c>
      <c r="AS680">
        <v>0.54629629599999996</v>
      </c>
      <c r="AT680">
        <v>0</v>
      </c>
      <c r="AU680" t="s">
        <v>66</v>
      </c>
      <c r="AV680">
        <v>1</v>
      </c>
      <c r="AW680">
        <v>1</v>
      </c>
      <c r="AX680">
        <v>0</v>
      </c>
      <c r="AY680">
        <v>1</v>
      </c>
      <c r="AZ680">
        <v>1</v>
      </c>
      <c r="BA680">
        <v>1</v>
      </c>
      <c r="BB680" t="s">
        <v>66</v>
      </c>
      <c r="BC680">
        <v>40.799999999999997</v>
      </c>
      <c r="BD680">
        <v>36.6</v>
      </c>
      <c r="BE680">
        <v>-10.29411765</v>
      </c>
      <c r="BF680">
        <v>0</v>
      </c>
      <c r="BG680">
        <v>25.62</v>
      </c>
      <c r="BH680">
        <v>-37.205882350000003</v>
      </c>
      <c r="BI680">
        <v>19</v>
      </c>
      <c r="BJ680">
        <v>5</v>
      </c>
      <c r="BK680" t="s">
        <v>66</v>
      </c>
      <c r="BL680">
        <v>13</v>
      </c>
      <c r="BM680">
        <v>21</v>
      </c>
      <c r="BN680">
        <v>10</v>
      </c>
      <c r="BO680">
        <f t="shared" si="108"/>
        <v>15.5</v>
      </c>
      <c r="BP680">
        <v>4</v>
      </c>
      <c r="BQ680">
        <v>1</v>
      </c>
      <c r="BR680" t="s">
        <v>879</v>
      </c>
      <c r="BS680">
        <v>1</v>
      </c>
      <c r="BT680">
        <f t="shared" si="109"/>
        <v>-21.052631578947366</v>
      </c>
      <c r="BU680">
        <f t="shared" si="110"/>
        <v>0</v>
      </c>
      <c r="BV680">
        <f t="shared" si="111"/>
        <v>-76.923076923076934</v>
      </c>
      <c r="BW680">
        <f t="shared" si="112"/>
        <v>12.903225806451612</v>
      </c>
    </row>
    <row r="681" spans="1:75" x14ac:dyDescent="0.2">
      <c r="A681" t="s">
        <v>127</v>
      </c>
      <c r="B681" t="s">
        <v>128</v>
      </c>
      <c r="C681" t="s">
        <v>62</v>
      </c>
      <c r="D681" t="s">
        <v>63</v>
      </c>
      <c r="E681" t="s">
        <v>97</v>
      </c>
      <c r="F681" t="s">
        <v>145</v>
      </c>
      <c r="G681">
        <v>3.85</v>
      </c>
      <c r="H681">
        <v>7.5</v>
      </c>
      <c r="I681">
        <v>4.45</v>
      </c>
      <c r="J681">
        <v>0.95</v>
      </c>
      <c r="K681">
        <v>16.75</v>
      </c>
      <c r="L681">
        <v>3.1038961039999999</v>
      </c>
      <c r="M681">
        <v>175</v>
      </c>
      <c r="N681">
        <v>180</v>
      </c>
      <c r="O681">
        <v>5</v>
      </c>
      <c r="P681">
        <v>191</v>
      </c>
      <c r="Q681">
        <v>16</v>
      </c>
      <c r="R681">
        <v>8</v>
      </c>
      <c r="S681">
        <v>63.1</v>
      </c>
      <c r="T681">
        <v>9.1428571430000005</v>
      </c>
      <c r="U681">
        <v>6.1111111109999996</v>
      </c>
      <c r="V681">
        <v>10</v>
      </c>
      <c r="W681">
        <v>13</v>
      </c>
      <c r="X681">
        <v>13</v>
      </c>
      <c r="Y681">
        <v>3</v>
      </c>
      <c r="Z681">
        <v>30</v>
      </c>
      <c r="AA681">
        <v>5</v>
      </c>
      <c r="AB681">
        <v>3</v>
      </c>
      <c r="AC681">
        <v>5</v>
      </c>
      <c r="AD681" t="s">
        <v>66</v>
      </c>
      <c r="AE681">
        <v>92</v>
      </c>
      <c r="AF681">
        <v>69</v>
      </c>
      <c r="AG681" t="s">
        <v>66</v>
      </c>
      <c r="AH681">
        <v>70</v>
      </c>
      <c r="AI681">
        <v>65</v>
      </c>
      <c r="AJ681" t="s">
        <v>66</v>
      </c>
      <c r="AK681">
        <v>38</v>
      </c>
      <c r="AL681">
        <v>44</v>
      </c>
      <c r="AM681">
        <v>54</v>
      </c>
      <c r="AN681">
        <v>54.5</v>
      </c>
      <c r="AO681">
        <v>0.92592592600000001</v>
      </c>
      <c r="AP681">
        <v>-25</v>
      </c>
      <c r="AQ681">
        <v>1.703703704</v>
      </c>
      <c r="AR681">
        <v>1.266055046</v>
      </c>
      <c r="AS681">
        <v>-0.43764865800000002</v>
      </c>
      <c r="AT681">
        <v>0</v>
      </c>
      <c r="AU681" t="s">
        <v>66</v>
      </c>
      <c r="AV681">
        <v>2</v>
      </c>
      <c r="AW681">
        <v>4</v>
      </c>
      <c r="AX681">
        <v>1</v>
      </c>
      <c r="AY681">
        <v>1</v>
      </c>
      <c r="AZ681">
        <v>1</v>
      </c>
      <c r="BA681">
        <v>1</v>
      </c>
      <c r="BB681" t="s">
        <v>66</v>
      </c>
      <c r="BC681">
        <v>40.5</v>
      </c>
      <c r="BD681">
        <v>59.3</v>
      </c>
      <c r="BE681">
        <v>46.41975309</v>
      </c>
      <c r="BF681">
        <v>1</v>
      </c>
      <c r="BG681">
        <v>41.51</v>
      </c>
      <c r="BH681">
        <v>2.4938271599999999</v>
      </c>
      <c r="BI681">
        <v>192</v>
      </c>
      <c r="BJ681">
        <v>13.2</v>
      </c>
      <c r="BK681">
        <v>7.4</v>
      </c>
      <c r="BL681">
        <f>192-126</f>
        <v>66</v>
      </c>
      <c r="BM681">
        <v>19</v>
      </c>
      <c r="BN681">
        <v>33</v>
      </c>
      <c r="BO681">
        <f t="shared" si="108"/>
        <v>26</v>
      </c>
      <c r="BP681">
        <v>4</v>
      </c>
      <c r="BQ681">
        <v>1</v>
      </c>
      <c r="BR681" t="s">
        <v>874</v>
      </c>
      <c r="BS681">
        <v>1</v>
      </c>
      <c r="BT681">
        <f t="shared" si="109"/>
        <v>8.8541666666666679</v>
      </c>
      <c r="BU681">
        <f t="shared" si="110"/>
        <v>24.242424242424239</v>
      </c>
      <c r="BV681">
        <f t="shared" si="111"/>
        <v>-39.393939393939391</v>
      </c>
      <c r="BW681">
        <f t="shared" si="112"/>
        <v>-107.69230769230769</v>
      </c>
    </row>
    <row r="682" spans="1:75" x14ac:dyDescent="0.2">
      <c r="A682" t="s">
        <v>127</v>
      </c>
      <c r="B682" t="s">
        <v>128</v>
      </c>
      <c r="C682" t="s">
        <v>62</v>
      </c>
      <c r="D682" t="s">
        <v>63</v>
      </c>
      <c r="E682" t="s">
        <v>83</v>
      </c>
      <c r="F682" t="s">
        <v>138</v>
      </c>
      <c r="G682">
        <v>3.85</v>
      </c>
      <c r="H682">
        <v>7.5</v>
      </c>
      <c r="I682">
        <v>4.45</v>
      </c>
      <c r="J682">
        <v>0.95</v>
      </c>
      <c r="K682">
        <v>16.75</v>
      </c>
      <c r="L682">
        <v>3.1038961039999999</v>
      </c>
      <c r="M682">
        <v>196</v>
      </c>
      <c r="N682">
        <v>208</v>
      </c>
      <c r="O682">
        <v>12</v>
      </c>
      <c r="P682">
        <v>207</v>
      </c>
      <c r="Q682">
        <v>11</v>
      </c>
      <c r="R682">
        <v>5.5</v>
      </c>
      <c r="S682">
        <v>58.1</v>
      </c>
      <c r="T682">
        <v>5.6122448980000001</v>
      </c>
      <c r="U682">
        <v>-0.48076923100000002</v>
      </c>
      <c r="V682">
        <v>11</v>
      </c>
      <c r="W682">
        <v>14</v>
      </c>
      <c r="X682">
        <v>15</v>
      </c>
      <c r="Y682">
        <v>4</v>
      </c>
      <c r="Z682">
        <v>36.363636360000001</v>
      </c>
      <c r="AA682">
        <v>5</v>
      </c>
      <c r="AB682">
        <v>6</v>
      </c>
      <c r="AC682">
        <v>6</v>
      </c>
      <c r="AD682" t="s">
        <v>66</v>
      </c>
      <c r="AE682">
        <v>116</v>
      </c>
      <c r="AF682">
        <v>79</v>
      </c>
      <c r="AG682" t="s">
        <v>66</v>
      </c>
      <c r="AH682">
        <v>52</v>
      </c>
      <c r="AI682">
        <v>45</v>
      </c>
      <c r="AJ682" t="s">
        <v>66</v>
      </c>
      <c r="AK682">
        <v>38</v>
      </c>
      <c r="AL682">
        <v>32</v>
      </c>
      <c r="AM682">
        <v>45</v>
      </c>
      <c r="AN682">
        <v>38.5</v>
      </c>
      <c r="AO682">
        <v>-14.44444444</v>
      </c>
      <c r="AP682">
        <v>-31.896551720000001</v>
      </c>
      <c r="AQ682">
        <v>2.5777777780000002</v>
      </c>
      <c r="AR682">
        <v>2.0519480520000002</v>
      </c>
      <c r="AS682">
        <v>-0.525829726</v>
      </c>
      <c r="AT682">
        <v>0</v>
      </c>
      <c r="AU682" t="s">
        <v>66</v>
      </c>
      <c r="AV682">
        <v>2</v>
      </c>
      <c r="AW682">
        <v>4</v>
      </c>
      <c r="AX682">
        <v>1</v>
      </c>
      <c r="AY682">
        <v>1</v>
      </c>
      <c r="AZ682">
        <v>1</v>
      </c>
      <c r="BA682">
        <v>1</v>
      </c>
      <c r="BB682" t="s">
        <v>66</v>
      </c>
      <c r="BC682">
        <v>42.8</v>
      </c>
      <c r="BD682">
        <v>73.599999999999994</v>
      </c>
      <c r="BE682">
        <v>71.962616819999994</v>
      </c>
      <c r="BF682">
        <v>2</v>
      </c>
      <c r="BG682">
        <v>51.52</v>
      </c>
      <c r="BH682">
        <v>20.37383178</v>
      </c>
      <c r="BI682">
        <v>208</v>
      </c>
      <c r="BJ682">
        <v>15.7</v>
      </c>
      <c r="BK682">
        <v>8.4</v>
      </c>
      <c r="BL682">
        <f>208-149</f>
        <v>59</v>
      </c>
      <c r="BM682">
        <v>30</v>
      </c>
      <c r="BN682">
        <v>29</v>
      </c>
      <c r="BO682">
        <f t="shared" si="108"/>
        <v>29.5</v>
      </c>
      <c r="BP682">
        <v>3</v>
      </c>
      <c r="BQ682">
        <v>1</v>
      </c>
      <c r="BR682" t="s">
        <v>874</v>
      </c>
      <c r="BS682">
        <v>1</v>
      </c>
      <c r="BT682">
        <f t="shared" si="109"/>
        <v>5.7692307692307692</v>
      </c>
      <c r="BU682">
        <f t="shared" si="110"/>
        <v>29.936305732484076</v>
      </c>
      <c r="BV682">
        <f t="shared" si="111"/>
        <v>-96.610169491525426</v>
      </c>
      <c r="BW682">
        <f t="shared" si="112"/>
        <v>-52.542372881355938</v>
      </c>
    </row>
    <row r="683" spans="1:75" x14ac:dyDescent="0.2">
      <c r="A683" t="s">
        <v>60</v>
      </c>
      <c r="B683" t="s">
        <v>61</v>
      </c>
      <c r="C683" t="s">
        <v>62</v>
      </c>
      <c r="D683" t="s">
        <v>342</v>
      </c>
      <c r="E683" t="s">
        <v>365</v>
      </c>
      <c r="F683" t="s">
        <v>366</v>
      </c>
      <c r="G683">
        <v>2.7</v>
      </c>
      <c r="H683">
        <v>5.9</v>
      </c>
      <c r="I683">
        <v>5.75</v>
      </c>
      <c r="J683">
        <v>3.6</v>
      </c>
      <c r="K683">
        <v>17.95</v>
      </c>
      <c r="L683">
        <v>4.3148148150000001</v>
      </c>
      <c r="M683">
        <v>46</v>
      </c>
      <c r="N683">
        <v>137</v>
      </c>
      <c r="O683">
        <v>91</v>
      </c>
      <c r="P683">
        <v>148</v>
      </c>
      <c r="Q683">
        <v>102</v>
      </c>
      <c r="R683">
        <v>51</v>
      </c>
      <c r="S683">
        <v>149.1</v>
      </c>
      <c r="T683">
        <v>221.73913039999999</v>
      </c>
      <c r="U683">
        <v>8.0291970799999994</v>
      </c>
      <c r="V683">
        <v>11</v>
      </c>
      <c r="W683">
        <v>11</v>
      </c>
      <c r="X683">
        <v>15</v>
      </c>
      <c r="Y683">
        <v>4</v>
      </c>
      <c r="Z683">
        <v>36.363636360000001</v>
      </c>
      <c r="AA683" t="s">
        <v>66</v>
      </c>
      <c r="AB683" t="s">
        <v>66</v>
      </c>
      <c r="AC683">
        <v>3</v>
      </c>
      <c r="AD683" t="s">
        <v>66</v>
      </c>
      <c r="AE683">
        <v>98</v>
      </c>
      <c r="AF683">
        <v>116</v>
      </c>
      <c r="AG683" t="s">
        <v>66</v>
      </c>
      <c r="AH683">
        <v>45</v>
      </c>
      <c r="AI683">
        <v>78</v>
      </c>
      <c r="AJ683" t="s">
        <v>66</v>
      </c>
      <c r="AK683">
        <v>38</v>
      </c>
      <c r="AL683">
        <v>54</v>
      </c>
      <c r="AM683">
        <v>41.5</v>
      </c>
      <c r="AN683">
        <v>66</v>
      </c>
      <c r="AO683">
        <v>59.036144579999998</v>
      </c>
      <c r="AP683">
        <v>18.367346940000001</v>
      </c>
      <c r="AQ683">
        <v>2.3614457830000002</v>
      </c>
      <c r="AR683">
        <v>1.757575758</v>
      </c>
      <c r="AS683">
        <v>-0.60387002499999998</v>
      </c>
      <c r="AT683">
        <v>0</v>
      </c>
      <c r="AU683" t="s">
        <v>66</v>
      </c>
      <c r="AV683">
        <v>0</v>
      </c>
      <c r="AW683">
        <v>2</v>
      </c>
      <c r="AX683">
        <v>0</v>
      </c>
      <c r="AY683">
        <v>1</v>
      </c>
      <c r="AZ683">
        <v>1</v>
      </c>
      <c r="BA683">
        <v>1</v>
      </c>
      <c r="BB683" t="s">
        <v>66</v>
      </c>
      <c r="BC683">
        <v>44.7</v>
      </c>
      <c r="BD683">
        <v>59.5</v>
      </c>
      <c r="BE683">
        <v>33.109619690000002</v>
      </c>
      <c r="BF683">
        <v>0</v>
      </c>
      <c r="BG683">
        <v>59.5</v>
      </c>
      <c r="BH683">
        <v>33.109619690000002</v>
      </c>
      <c r="BI683">
        <v>199</v>
      </c>
      <c r="BJ683">
        <v>4.9000000000000004</v>
      </c>
      <c r="BK683">
        <v>5.3</v>
      </c>
      <c r="BL683">
        <v>107</v>
      </c>
      <c r="BM683">
        <v>78</v>
      </c>
      <c r="BN683">
        <v>39</v>
      </c>
      <c r="BO683">
        <f t="shared" si="108"/>
        <v>58.5</v>
      </c>
      <c r="BP683">
        <v>4</v>
      </c>
      <c r="BQ683">
        <v>1</v>
      </c>
      <c r="BR683" t="s">
        <v>873</v>
      </c>
      <c r="BS683">
        <v>1</v>
      </c>
      <c r="BT683">
        <f t="shared" si="109"/>
        <v>76.884422110552762</v>
      </c>
      <c r="BU683">
        <f t="shared" si="110"/>
        <v>-124.48979591836734</v>
      </c>
      <c r="BV683">
        <f t="shared" si="111"/>
        <v>8.4112149532710276</v>
      </c>
      <c r="BW683">
        <f t="shared" si="112"/>
        <v>29.059829059829063</v>
      </c>
    </row>
    <row r="684" spans="1:75" x14ac:dyDescent="0.2">
      <c r="A684" t="s">
        <v>60</v>
      </c>
      <c r="B684" t="s">
        <v>61</v>
      </c>
      <c r="C684" t="s">
        <v>62</v>
      </c>
      <c r="D684" t="s">
        <v>342</v>
      </c>
      <c r="E684" t="s">
        <v>369</v>
      </c>
      <c r="F684" t="s">
        <v>370</v>
      </c>
      <c r="G684">
        <v>2.7</v>
      </c>
      <c r="H684">
        <v>5.9</v>
      </c>
      <c r="I684">
        <v>5.75</v>
      </c>
      <c r="J684">
        <v>3.6</v>
      </c>
      <c r="K684">
        <v>17.95</v>
      </c>
      <c r="L684">
        <v>4.3148148150000001</v>
      </c>
      <c r="M684">
        <v>102</v>
      </c>
      <c r="N684">
        <v>147</v>
      </c>
      <c r="O684">
        <v>45</v>
      </c>
      <c r="P684">
        <v>172</v>
      </c>
      <c r="Q684">
        <v>70</v>
      </c>
      <c r="R684">
        <v>35</v>
      </c>
      <c r="S684">
        <v>117.1</v>
      </c>
      <c r="T684">
        <v>68.627450980000006</v>
      </c>
      <c r="U684">
        <v>17.00680272</v>
      </c>
      <c r="V684">
        <v>12</v>
      </c>
      <c r="W684">
        <v>14</v>
      </c>
      <c r="X684">
        <v>19</v>
      </c>
      <c r="Y684">
        <v>7</v>
      </c>
      <c r="Z684">
        <v>58.333333330000002</v>
      </c>
      <c r="AA684" t="s">
        <v>66</v>
      </c>
      <c r="AB684">
        <v>2</v>
      </c>
      <c r="AC684">
        <v>5</v>
      </c>
      <c r="AD684" t="s">
        <v>66</v>
      </c>
      <c r="AE684">
        <v>126</v>
      </c>
      <c r="AF684">
        <v>146</v>
      </c>
      <c r="AG684" t="s">
        <v>66</v>
      </c>
      <c r="AH684">
        <v>70</v>
      </c>
      <c r="AI684">
        <v>75</v>
      </c>
      <c r="AJ684" t="s">
        <v>66</v>
      </c>
      <c r="AK684">
        <v>47</v>
      </c>
      <c r="AL684">
        <v>45</v>
      </c>
      <c r="AM684">
        <v>58.5</v>
      </c>
      <c r="AN684">
        <v>60</v>
      </c>
      <c r="AO684">
        <v>2.5641025640000001</v>
      </c>
      <c r="AP684">
        <v>15.87301587</v>
      </c>
      <c r="AQ684">
        <v>2.153846154</v>
      </c>
      <c r="AR684">
        <v>2.4333333330000002</v>
      </c>
      <c r="AS684">
        <v>0.27948717899999997</v>
      </c>
      <c r="AT684">
        <v>0</v>
      </c>
      <c r="AU684" t="s">
        <v>66</v>
      </c>
      <c r="AV684">
        <v>1</v>
      </c>
      <c r="AW684">
        <v>2</v>
      </c>
      <c r="AX684">
        <v>0</v>
      </c>
      <c r="AY684">
        <v>1</v>
      </c>
      <c r="AZ684">
        <v>1</v>
      </c>
      <c r="BA684">
        <v>1</v>
      </c>
      <c r="BB684" t="s">
        <v>66</v>
      </c>
      <c r="BC684">
        <v>44.6</v>
      </c>
      <c r="BD684">
        <v>59</v>
      </c>
      <c r="BE684">
        <v>32.286995519999998</v>
      </c>
      <c r="BF684">
        <v>0</v>
      </c>
      <c r="BG684">
        <v>59</v>
      </c>
      <c r="BH684">
        <v>32.286995519999998</v>
      </c>
      <c r="BI684">
        <v>316</v>
      </c>
      <c r="BJ684">
        <v>22.3</v>
      </c>
      <c r="BK684">
        <v>9.6999999999999993</v>
      </c>
      <c r="BL684">
        <f>316-28</f>
        <v>288</v>
      </c>
      <c r="BM684">
        <v>77</v>
      </c>
      <c r="BN684">
        <v>52</v>
      </c>
      <c r="BO684">
        <f t="shared" si="108"/>
        <v>64.5</v>
      </c>
      <c r="BP684">
        <v>4</v>
      </c>
      <c r="BQ684">
        <v>1</v>
      </c>
      <c r="BR684" t="s">
        <v>873</v>
      </c>
      <c r="BS684">
        <v>1</v>
      </c>
      <c r="BT684">
        <f t="shared" si="109"/>
        <v>67.721518987341767</v>
      </c>
      <c r="BU684">
        <f t="shared" si="110"/>
        <v>46.188340807174889</v>
      </c>
      <c r="BV684">
        <f t="shared" si="111"/>
        <v>56.25</v>
      </c>
      <c r="BW684">
        <f t="shared" si="112"/>
        <v>9.3023255813953494</v>
      </c>
    </row>
    <row r="685" spans="1:75" x14ac:dyDescent="0.2">
      <c r="A685" t="s">
        <v>60</v>
      </c>
      <c r="B685" t="s">
        <v>61</v>
      </c>
      <c r="C685" t="s">
        <v>62</v>
      </c>
      <c r="D685" t="s">
        <v>342</v>
      </c>
      <c r="E685" t="s">
        <v>371</v>
      </c>
      <c r="F685" t="s">
        <v>372</v>
      </c>
      <c r="G685">
        <v>2.7</v>
      </c>
      <c r="H685">
        <v>5.9</v>
      </c>
      <c r="I685">
        <v>5.75</v>
      </c>
      <c r="J685">
        <v>3.6</v>
      </c>
      <c r="K685">
        <v>17.95</v>
      </c>
      <c r="L685">
        <v>4.3148148150000001</v>
      </c>
      <c r="M685">
        <v>143</v>
      </c>
      <c r="N685">
        <v>236</v>
      </c>
      <c r="O685">
        <v>93</v>
      </c>
      <c r="P685">
        <v>302</v>
      </c>
      <c r="Q685">
        <v>159</v>
      </c>
      <c r="R685">
        <v>79.5</v>
      </c>
      <c r="S685">
        <v>206.1</v>
      </c>
      <c r="T685">
        <v>111.1888112</v>
      </c>
      <c r="U685">
        <v>27.966101689999999</v>
      </c>
      <c r="V685">
        <v>20</v>
      </c>
      <c r="W685">
        <v>28</v>
      </c>
      <c r="X685">
        <v>33</v>
      </c>
      <c r="Y685">
        <v>13</v>
      </c>
      <c r="Z685">
        <v>65</v>
      </c>
      <c r="AA685" t="s">
        <v>66</v>
      </c>
      <c r="AB685">
        <v>6</v>
      </c>
      <c r="AC685">
        <v>11</v>
      </c>
      <c r="AD685" t="s">
        <v>66</v>
      </c>
      <c r="AE685">
        <v>200</v>
      </c>
      <c r="AF685">
        <v>248</v>
      </c>
      <c r="AG685" t="s">
        <v>66</v>
      </c>
      <c r="AH685">
        <v>112</v>
      </c>
      <c r="AI685">
        <v>90</v>
      </c>
      <c r="AJ685" t="s">
        <v>66</v>
      </c>
      <c r="AK685">
        <v>102</v>
      </c>
      <c r="AL685">
        <v>86</v>
      </c>
      <c r="AM685">
        <v>107</v>
      </c>
      <c r="AN685">
        <v>88</v>
      </c>
      <c r="AO685">
        <v>-17.757009350000001</v>
      </c>
      <c r="AP685">
        <v>24</v>
      </c>
      <c r="AQ685">
        <v>1.869158879</v>
      </c>
      <c r="AR685">
        <v>2.8181818179999998</v>
      </c>
      <c r="AS685">
        <v>0.94902293900000001</v>
      </c>
      <c r="AT685">
        <v>0</v>
      </c>
      <c r="AU685" t="s">
        <v>66</v>
      </c>
      <c r="AV685">
        <v>1</v>
      </c>
      <c r="AW685">
        <v>3</v>
      </c>
      <c r="AX685">
        <v>0</v>
      </c>
      <c r="AY685">
        <v>1</v>
      </c>
      <c r="AZ685">
        <v>1</v>
      </c>
      <c r="BA685">
        <v>1</v>
      </c>
      <c r="BB685" t="s">
        <v>66</v>
      </c>
      <c r="BC685">
        <v>51.5</v>
      </c>
      <c r="BD685">
        <v>59.9</v>
      </c>
      <c r="BE685">
        <v>16.310679610000001</v>
      </c>
      <c r="BF685">
        <v>0</v>
      </c>
      <c r="BG685">
        <v>59.9</v>
      </c>
      <c r="BH685">
        <v>16.310679610000001</v>
      </c>
      <c r="BI685">
        <v>324</v>
      </c>
      <c r="BJ685">
        <v>31.8</v>
      </c>
      <c r="BK685">
        <v>20.3</v>
      </c>
      <c r="BL685">
        <f>324-57</f>
        <v>267</v>
      </c>
      <c r="BM685">
        <v>195</v>
      </c>
      <c r="BN685">
        <v>195</v>
      </c>
      <c r="BO685">
        <f t="shared" si="108"/>
        <v>195</v>
      </c>
      <c r="BP685">
        <v>4</v>
      </c>
      <c r="BQ685">
        <v>1</v>
      </c>
      <c r="BR685" t="s">
        <v>873</v>
      </c>
      <c r="BS685">
        <v>1</v>
      </c>
      <c r="BT685">
        <f t="shared" si="109"/>
        <v>55.864197530864203</v>
      </c>
      <c r="BU685">
        <f t="shared" si="110"/>
        <v>37.106918238993714</v>
      </c>
      <c r="BV685">
        <f t="shared" si="111"/>
        <v>25.0936329588015</v>
      </c>
      <c r="BW685">
        <f t="shared" si="112"/>
        <v>45.128205128205131</v>
      </c>
    </row>
    <row r="686" spans="1:75" x14ac:dyDescent="0.2">
      <c r="A686" t="s">
        <v>60</v>
      </c>
      <c r="B686" t="s">
        <v>61</v>
      </c>
      <c r="C686" t="s">
        <v>62</v>
      </c>
      <c r="D686" t="s">
        <v>342</v>
      </c>
      <c r="E686" t="s">
        <v>375</v>
      </c>
      <c r="F686" t="s">
        <v>376</v>
      </c>
      <c r="G686">
        <v>2.7</v>
      </c>
      <c r="H686">
        <v>5.9</v>
      </c>
      <c r="I686">
        <v>5.75</v>
      </c>
      <c r="J686">
        <v>3.6</v>
      </c>
      <c r="K686">
        <v>17.95</v>
      </c>
      <c r="L686">
        <v>4.3148148150000001</v>
      </c>
      <c r="M686">
        <v>141</v>
      </c>
      <c r="N686">
        <v>151</v>
      </c>
      <c r="O686">
        <v>10</v>
      </c>
      <c r="P686">
        <v>179</v>
      </c>
      <c r="Q686">
        <v>38</v>
      </c>
      <c r="R686">
        <v>19</v>
      </c>
      <c r="S686">
        <v>85.1</v>
      </c>
      <c r="T686">
        <v>26.950354610000002</v>
      </c>
      <c r="U686">
        <v>18.543046360000002</v>
      </c>
      <c r="V686">
        <v>15</v>
      </c>
      <c r="W686">
        <v>25</v>
      </c>
      <c r="X686">
        <v>26</v>
      </c>
      <c r="Y686">
        <v>11</v>
      </c>
      <c r="Z686">
        <v>73.333333330000002</v>
      </c>
      <c r="AA686">
        <v>4</v>
      </c>
      <c r="AB686">
        <v>3</v>
      </c>
      <c r="AC686">
        <v>5</v>
      </c>
      <c r="AD686" t="s">
        <v>66</v>
      </c>
      <c r="AE686">
        <v>126</v>
      </c>
      <c r="AF686">
        <v>157</v>
      </c>
      <c r="AG686" t="s">
        <v>66</v>
      </c>
      <c r="AH686">
        <v>80</v>
      </c>
      <c r="AI686">
        <v>85</v>
      </c>
      <c r="AJ686" t="s">
        <v>66</v>
      </c>
      <c r="AK686">
        <v>71</v>
      </c>
      <c r="AL686">
        <v>82</v>
      </c>
      <c r="AM686">
        <v>75.5</v>
      </c>
      <c r="AN686">
        <v>83.5</v>
      </c>
      <c r="AO686">
        <v>10.59602649</v>
      </c>
      <c r="AP686">
        <v>24.603174599999999</v>
      </c>
      <c r="AQ686">
        <v>1.668874172</v>
      </c>
      <c r="AR686">
        <v>1.880239521</v>
      </c>
      <c r="AS686">
        <v>0.21136534900000001</v>
      </c>
      <c r="AT686">
        <v>0</v>
      </c>
      <c r="AU686" t="s">
        <v>66</v>
      </c>
      <c r="AV686">
        <v>1</v>
      </c>
      <c r="AW686">
        <v>3</v>
      </c>
      <c r="AX686">
        <v>0</v>
      </c>
      <c r="AY686">
        <v>1</v>
      </c>
      <c r="AZ686">
        <v>1</v>
      </c>
      <c r="BA686">
        <v>1</v>
      </c>
      <c r="BB686" t="s">
        <v>66</v>
      </c>
      <c r="BC686">
        <v>39.299999999999997</v>
      </c>
      <c r="BD686">
        <v>51.9</v>
      </c>
      <c r="BE686">
        <v>32.0610687</v>
      </c>
      <c r="BF686">
        <v>0</v>
      </c>
      <c r="BG686">
        <v>51.9</v>
      </c>
      <c r="BH686">
        <v>32.0610687</v>
      </c>
      <c r="BI686">
        <v>252</v>
      </c>
      <c r="BJ686">
        <v>35.200000000000003</v>
      </c>
      <c r="BK686">
        <v>9.3000000000000007</v>
      </c>
      <c r="BL686">
        <f>252-23</f>
        <v>229</v>
      </c>
      <c r="BM686">
        <v>109</v>
      </c>
      <c r="BN686">
        <v>96</v>
      </c>
      <c r="BO686">
        <f t="shared" si="108"/>
        <v>102.5</v>
      </c>
      <c r="BP686">
        <v>4</v>
      </c>
      <c r="BQ686">
        <v>1</v>
      </c>
      <c r="BR686" t="s">
        <v>876</v>
      </c>
      <c r="BS686">
        <v>1</v>
      </c>
      <c r="BT686">
        <f t="shared" si="109"/>
        <v>44.047619047619044</v>
      </c>
      <c r="BU686">
        <f t="shared" si="110"/>
        <v>57.386363636363633</v>
      </c>
      <c r="BV686">
        <f t="shared" si="111"/>
        <v>44.978165938864628</v>
      </c>
      <c r="BW686">
        <f t="shared" si="112"/>
        <v>26.341463414634148</v>
      </c>
    </row>
    <row r="687" spans="1:75" x14ac:dyDescent="0.2">
      <c r="A687" t="s">
        <v>60</v>
      </c>
      <c r="B687" t="s">
        <v>61</v>
      </c>
      <c r="C687" t="s">
        <v>62</v>
      </c>
      <c r="D687" t="s">
        <v>342</v>
      </c>
      <c r="E687" t="s">
        <v>377</v>
      </c>
      <c r="F687" t="s">
        <v>378</v>
      </c>
      <c r="G687">
        <v>2.7</v>
      </c>
      <c r="H687">
        <v>5.9</v>
      </c>
      <c r="I687">
        <v>5.75</v>
      </c>
      <c r="J687">
        <v>3.6</v>
      </c>
      <c r="K687">
        <v>17.95</v>
      </c>
      <c r="L687">
        <v>4.3148148150000001</v>
      </c>
      <c r="M687">
        <v>182</v>
      </c>
      <c r="N687">
        <v>210</v>
      </c>
      <c r="O687">
        <v>28</v>
      </c>
      <c r="P687">
        <v>214</v>
      </c>
      <c r="Q687">
        <v>32</v>
      </c>
      <c r="R687">
        <v>16</v>
      </c>
      <c r="S687">
        <v>79.099999999999994</v>
      </c>
      <c r="T687">
        <v>17.582417580000001</v>
      </c>
      <c r="U687">
        <v>1.904761905</v>
      </c>
      <c r="V687">
        <v>17</v>
      </c>
      <c r="W687">
        <v>25</v>
      </c>
      <c r="X687">
        <v>27</v>
      </c>
      <c r="Y687">
        <v>10</v>
      </c>
      <c r="Z687">
        <v>58.823529409999999</v>
      </c>
      <c r="AA687">
        <v>5</v>
      </c>
      <c r="AB687">
        <v>8</v>
      </c>
      <c r="AC687">
        <v>10</v>
      </c>
      <c r="AD687" t="s">
        <v>66</v>
      </c>
      <c r="AE687">
        <v>173</v>
      </c>
      <c r="AF687">
        <v>179</v>
      </c>
      <c r="AG687" t="s">
        <v>66</v>
      </c>
      <c r="AH687">
        <v>100</v>
      </c>
      <c r="AI687">
        <v>95</v>
      </c>
      <c r="AJ687" t="s">
        <v>66</v>
      </c>
      <c r="AK687">
        <v>72</v>
      </c>
      <c r="AL687">
        <v>80</v>
      </c>
      <c r="AM687">
        <v>86</v>
      </c>
      <c r="AN687">
        <v>87.5</v>
      </c>
      <c r="AO687">
        <v>1.7441860469999999</v>
      </c>
      <c r="AP687">
        <v>3.4682080919999998</v>
      </c>
      <c r="AQ687">
        <v>2.0116279069999998</v>
      </c>
      <c r="AR687">
        <v>2.0457142859999999</v>
      </c>
      <c r="AS687">
        <v>3.4086379E-2</v>
      </c>
      <c r="AT687">
        <v>0</v>
      </c>
      <c r="AU687" t="s">
        <v>66</v>
      </c>
      <c r="AV687">
        <v>1</v>
      </c>
      <c r="AW687">
        <v>3</v>
      </c>
      <c r="AX687">
        <v>0</v>
      </c>
      <c r="AY687">
        <v>1</v>
      </c>
      <c r="AZ687">
        <v>1</v>
      </c>
      <c r="BA687">
        <v>1</v>
      </c>
      <c r="BB687" t="s">
        <v>66</v>
      </c>
      <c r="BC687">
        <v>51.9</v>
      </c>
      <c r="BD687">
        <v>61.1</v>
      </c>
      <c r="BE687">
        <v>17.726396919999999</v>
      </c>
      <c r="BF687">
        <v>0</v>
      </c>
      <c r="BG687">
        <v>61.1</v>
      </c>
      <c r="BH687">
        <v>17.726396919999999</v>
      </c>
      <c r="BI687">
        <v>343</v>
      </c>
      <c r="BJ687">
        <v>31.3</v>
      </c>
      <c r="BK687">
        <v>18.8</v>
      </c>
      <c r="BL687">
        <f>343-66</f>
        <v>277</v>
      </c>
      <c r="BM687">
        <v>124</v>
      </c>
      <c r="BN687">
        <v>78</v>
      </c>
      <c r="BO687">
        <f t="shared" si="108"/>
        <v>101</v>
      </c>
      <c r="BP687">
        <v>4</v>
      </c>
      <c r="BQ687">
        <v>1</v>
      </c>
      <c r="BR687" t="s">
        <v>875</v>
      </c>
      <c r="BS687">
        <v>1</v>
      </c>
      <c r="BT687">
        <f t="shared" si="109"/>
        <v>46.938775510204081</v>
      </c>
      <c r="BU687">
        <f t="shared" si="110"/>
        <v>45.686900958466452</v>
      </c>
      <c r="BV687">
        <f t="shared" si="111"/>
        <v>37.545126353790614</v>
      </c>
      <c r="BW687">
        <f t="shared" si="112"/>
        <v>14.85148514851485</v>
      </c>
    </row>
    <row r="688" spans="1:75" x14ac:dyDescent="0.2">
      <c r="A688" t="s">
        <v>60</v>
      </c>
      <c r="B688" t="s">
        <v>61</v>
      </c>
      <c r="C688" t="s">
        <v>62</v>
      </c>
      <c r="D688" t="s">
        <v>342</v>
      </c>
      <c r="E688" t="s">
        <v>379</v>
      </c>
      <c r="F688" t="s">
        <v>380</v>
      </c>
      <c r="G688">
        <v>2.7</v>
      </c>
      <c r="H688">
        <v>5.9</v>
      </c>
      <c r="I688">
        <v>5.75</v>
      </c>
      <c r="J688">
        <v>3.6</v>
      </c>
      <c r="K688">
        <v>17.95</v>
      </c>
      <c r="L688">
        <v>4.3148148150000001</v>
      </c>
      <c r="M688">
        <v>96</v>
      </c>
      <c r="N688">
        <v>143</v>
      </c>
      <c r="O688">
        <v>47</v>
      </c>
      <c r="P688">
        <v>136</v>
      </c>
      <c r="Q688">
        <v>40</v>
      </c>
      <c r="R688">
        <v>20</v>
      </c>
      <c r="S688">
        <v>87.1</v>
      </c>
      <c r="T688">
        <v>41.666666669999998</v>
      </c>
      <c r="U688">
        <v>-4.8951048950000002</v>
      </c>
      <c r="V688">
        <v>13</v>
      </c>
      <c r="W688">
        <v>23</v>
      </c>
      <c r="X688">
        <v>26</v>
      </c>
      <c r="Y688">
        <v>13</v>
      </c>
      <c r="Z688">
        <v>100</v>
      </c>
      <c r="AA688" t="s">
        <v>66</v>
      </c>
      <c r="AB688">
        <v>1</v>
      </c>
      <c r="AC688" t="s">
        <v>66</v>
      </c>
      <c r="AD688" t="s">
        <v>66</v>
      </c>
      <c r="AE688">
        <v>125</v>
      </c>
      <c r="AF688">
        <v>116</v>
      </c>
      <c r="AG688" t="s">
        <v>66</v>
      </c>
      <c r="AH688">
        <v>80</v>
      </c>
      <c r="AI688">
        <v>84</v>
      </c>
      <c r="AJ688" t="s">
        <v>66</v>
      </c>
      <c r="AK688">
        <v>55</v>
      </c>
      <c r="AL688">
        <v>64</v>
      </c>
      <c r="AM688">
        <v>67.5</v>
      </c>
      <c r="AN688">
        <v>74</v>
      </c>
      <c r="AO688">
        <v>9.6296296300000002</v>
      </c>
      <c r="AP688">
        <v>-7.2</v>
      </c>
      <c r="AQ688">
        <v>1.851851852</v>
      </c>
      <c r="AR688">
        <v>1.5675675680000001</v>
      </c>
      <c r="AS688">
        <v>-0.284284284</v>
      </c>
      <c r="AT688">
        <v>0</v>
      </c>
      <c r="AU688" t="s">
        <v>66</v>
      </c>
      <c r="AV688">
        <v>2</v>
      </c>
      <c r="AW688">
        <v>3</v>
      </c>
      <c r="AX688">
        <v>0</v>
      </c>
      <c r="AY688">
        <v>1</v>
      </c>
      <c r="AZ688">
        <v>1</v>
      </c>
      <c r="BA688">
        <v>1</v>
      </c>
      <c r="BB688" t="s">
        <v>66</v>
      </c>
      <c r="BC688">
        <v>45.1</v>
      </c>
      <c r="BD688">
        <v>63.4</v>
      </c>
      <c r="BE688">
        <v>40.576496669999997</v>
      </c>
      <c r="BF688">
        <v>0</v>
      </c>
      <c r="BG688">
        <v>63.4</v>
      </c>
      <c r="BH688">
        <v>40.576496669999997</v>
      </c>
      <c r="BI688">
        <v>236</v>
      </c>
      <c r="BJ688">
        <v>32.1</v>
      </c>
      <c r="BK688">
        <v>13.1</v>
      </c>
      <c r="BL688">
        <f>236-17</f>
        <v>219</v>
      </c>
      <c r="BM688">
        <v>121</v>
      </c>
      <c r="BN688">
        <v>84</v>
      </c>
      <c r="BO688">
        <f t="shared" si="108"/>
        <v>102.5</v>
      </c>
      <c r="BP688">
        <v>4</v>
      </c>
      <c r="BQ688">
        <v>1</v>
      </c>
      <c r="BR688" t="s">
        <v>873</v>
      </c>
      <c r="BS688">
        <v>1</v>
      </c>
      <c r="BT688">
        <f t="shared" si="109"/>
        <v>59.322033898305079</v>
      </c>
      <c r="BU688">
        <f t="shared" si="110"/>
        <v>59.501557632398757</v>
      </c>
      <c r="BV688">
        <f t="shared" si="111"/>
        <v>42.922374429223744</v>
      </c>
      <c r="BW688">
        <f t="shared" si="112"/>
        <v>34.146341463414636</v>
      </c>
    </row>
    <row r="689" spans="1:75" x14ac:dyDescent="0.2">
      <c r="A689" t="s">
        <v>127</v>
      </c>
      <c r="B689" t="s">
        <v>128</v>
      </c>
      <c r="C689" t="s">
        <v>62</v>
      </c>
      <c r="D689" t="s">
        <v>342</v>
      </c>
      <c r="E689" t="s">
        <v>367</v>
      </c>
      <c r="F689" t="s">
        <v>415</v>
      </c>
      <c r="G689">
        <v>3.85</v>
      </c>
      <c r="H689">
        <v>7.5</v>
      </c>
      <c r="I689">
        <v>4.45</v>
      </c>
      <c r="J689">
        <v>0.95</v>
      </c>
      <c r="K689">
        <v>16.75</v>
      </c>
      <c r="L689">
        <v>3.1038961039999999</v>
      </c>
      <c r="M689">
        <v>168</v>
      </c>
      <c r="N689">
        <v>181</v>
      </c>
      <c r="O689">
        <v>13</v>
      </c>
      <c r="P689">
        <v>207</v>
      </c>
      <c r="Q689">
        <v>39</v>
      </c>
      <c r="R689">
        <v>19.5</v>
      </c>
      <c r="S689">
        <v>86.1</v>
      </c>
      <c r="T689">
        <v>23.214285709999999</v>
      </c>
      <c r="U689">
        <v>14.36464088</v>
      </c>
      <c r="V689">
        <v>10</v>
      </c>
      <c r="W689">
        <v>16</v>
      </c>
      <c r="X689">
        <v>16</v>
      </c>
      <c r="Y689">
        <v>6</v>
      </c>
      <c r="Z689">
        <v>60</v>
      </c>
      <c r="AA689">
        <v>2</v>
      </c>
      <c r="AB689">
        <v>5</v>
      </c>
      <c r="AC689">
        <v>6</v>
      </c>
      <c r="AD689" t="s">
        <v>66</v>
      </c>
      <c r="AE689">
        <v>127</v>
      </c>
      <c r="AF689">
        <v>141</v>
      </c>
      <c r="AG689" t="s">
        <v>66</v>
      </c>
      <c r="AH689">
        <v>58</v>
      </c>
      <c r="AI689">
        <v>47</v>
      </c>
      <c r="AJ689" t="s">
        <v>66</v>
      </c>
      <c r="AK689">
        <v>59</v>
      </c>
      <c r="AL689">
        <v>51</v>
      </c>
      <c r="AM689">
        <v>58.5</v>
      </c>
      <c r="AN689">
        <v>49</v>
      </c>
      <c r="AO689">
        <v>-16.239316240000001</v>
      </c>
      <c r="AP689">
        <v>11.02362205</v>
      </c>
      <c r="AQ689">
        <v>2.1709401709999998</v>
      </c>
      <c r="AR689">
        <v>2.8775510199999998</v>
      </c>
      <c r="AS689">
        <v>0.70661084900000004</v>
      </c>
      <c r="AT689">
        <v>0</v>
      </c>
      <c r="AU689" t="s">
        <v>66</v>
      </c>
      <c r="AV689">
        <v>1</v>
      </c>
      <c r="AW689">
        <v>3</v>
      </c>
      <c r="AX689">
        <v>0</v>
      </c>
      <c r="AY689">
        <v>1</v>
      </c>
      <c r="AZ689">
        <v>1</v>
      </c>
      <c r="BA689">
        <v>1</v>
      </c>
      <c r="BB689" t="s">
        <v>66</v>
      </c>
      <c r="BC689">
        <v>52.1</v>
      </c>
      <c r="BD689">
        <v>71.599999999999994</v>
      </c>
      <c r="BE689">
        <v>37.428023029999999</v>
      </c>
      <c r="BF689">
        <v>0</v>
      </c>
      <c r="BG689">
        <v>71.599999999999994</v>
      </c>
      <c r="BH689">
        <v>37.428023029999999</v>
      </c>
      <c r="BI689">
        <v>227</v>
      </c>
      <c r="BJ689">
        <v>16.8</v>
      </c>
      <c r="BK689">
        <v>6</v>
      </c>
      <c r="BL689">
        <f>227-58</f>
        <v>169</v>
      </c>
      <c r="BM689">
        <v>32</v>
      </c>
      <c r="BN689">
        <v>30</v>
      </c>
      <c r="BO689">
        <f t="shared" si="108"/>
        <v>31</v>
      </c>
      <c r="BP689">
        <v>2</v>
      </c>
      <c r="BQ689">
        <v>1</v>
      </c>
      <c r="BR689" t="s">
        <v>874</v>
      </c>
      <c r="BS689">
        <v>1</v>
      </c>
      <c r="BT689">
        <f t="shared" si="109"/>
        <v>25.991189427312776</v>
      </c>
      <c r="BU689">
        <f t="shared" si="110"/>
        <v>40.476190476190474</v>
      </c>
      <c r="BV689">
        <f t="shared" si="111"/>
        <v>24.852071005917161</v>
      </c>
      <c r="BW689">
        <f t="shared" si="112"/>
        <v>-88.709677419354833</v>
      </c>
    </row>
    <row r="690" spans="1:75" x14ac:dyDescent="0.2">
      <c r="A690" t="s">
        <v>127</v>
      </c>
      <c r="B690" t="s">
        <v>128</v>
      </c>
      <c r="C690" t="s">
        <v>62</v>
      </c>
      <c r="D690" t="s">
        <v>342</v>
      </c>
      <c r="E690" t="s">
        <v>347</v>
      </c>
      <c r="F690" t="s">
        <v>405</v>
      </c>
      <c r="G690">
        <v>3.85</v>
      </c>
      <c r="H690">
        <v>7.5</v>
      </c>
      <c r="I690">
        <v>4.45</v>
      </c>
      <c r="J690">
        <v>0.95</v>
      </c>
      <c r="K690">
        <v>16.75</v>
      </c>
      <c r="L690">
        <v>3.1038961039999999</v>
      </c>
      <c r="M690">
        <v>173</v>
      </c>
      <c r="N690">
        <v>253</v>
      </c>
      <c r="O690">
        <v>80</v>
      </c>
      <c r="P690">
        <v>279</v>
      </c>
      <c r="Q690">
        <v>106</v>
      </c>
      <c r="R690">
        <v>53</v>
      </c>
      <c r="S690">
        <v>153.1</v>
      </c>
      <c r="T690">
        <v>61.271676300000003</v>
      </c>
      <c r="U690">
        <v>10.27667984</v>
      </c>
      <c r="V690">
        <v>24</v>
      </c>
      <c r="W690">
        <v>38</v>
      </c>
      <c r="X690">
        <v>39</v>
      </c>
      <c r="Y690">
        <v>15</v>
      </c>
      <c r="Z690">
        <v>62.5</v>
      </c>
      <c r="AA690">
        <v>9</v>
      </c>
      <c r="AB690">
        <v>14</v>
      </c>
      <c r="AC690">
        <v>15</v>
      </c>
      <c r="AD690" t="s">
        <v>66</v>
      </c>
      <c r="AE690">
        <v>243</v>
      </c>
      <c r="AF690">
        <v>255</v>
      </c>
      <c r="AG690" t="s">
        <v>66</v>
      </c>
      <c r="AH690">
        <v>165</v>
      </c>
      <c r="AI690">
        <v>155</v>
      </c>
      <c r="AJ690" t="s">
        <v>66</v>
      </c>
      <c r="AK690">
        <v>128</v>
      </c>
      <c r="AL690">
        <v>126</v>
      </c>
      <c r="AM690">
        <v>146.5</v>
      </c>
      <c r="AN690">
        <v>140.5</v>
      </c>
      <c r="AO690">
        <v>-4.0955631400000003</v>
      </c>
      <c r="AP690">
        <v>4.9382716049999997</v>
      </c>
      <c r="AQ690">
        <v>1.658703072</v>
      </c>
      <c r="AR690">
        <v>1.8149466190000001</v>
      </c>
      <c r="AS690">
        <v>0.15624354700000001</v>
      </c>
      <c r="AT690">
        <v>0</v>
      </c>
      <c r="AU690" t="s">
        <v>66</v>
      </c>
      <c r="AV690">
        <v>2</v>
      </c>
      <c r="AW690">
        <v>2</v>
      </c>
      <c r="AX690">
        <v>1</v>
      </c>
      <c r="AY690">
        <v>1</v>
      </c>
      <c r="AZ690">
        <v>1</v>
      </c>
      <c r="BA690">
        <v>1</v>
      </c>
      <c r="BB690" t="s">
        <v>66</v>
      </c>
      <c r="BC690">
        <v>64.900000000000006</v>
      </c>
      <c r="BD690">
        <v>67.599999999999994</v>
      </c>
      <c r="BE690">
        <v>4.1602465329999996</v>
      </c>
      <c r="BF690">
        <v>0</v>
      </c>
      <c r="BG690">
        <v>67.599999999999994</v>
      </c>
      <c r="BH690">
        <v>4.1602465329999996</v>
      </c>
      <c r="BI690">
        <f>166+284</f>
        <v>450</v>
      </c>
      <c r="BJ690">
        <v>58</v>
      </c>
      <c r="BK690">
        <v>29.8</v>
      </c>
      <c r="BL690">
        <f>450-34</f>
        <v>416</v>
      </c>
      <c r="BM690">
        <v>195</v>
      </c>
      <c r="BN690">
        <v>195</v>
      </c>
      <c r="BO690">
        <f t="shared" si="108"/>
        <v>195</v>
      </c>
      <c r="BP690">
        <v>4</v>
      </c>
      <c r="BQ690">
        <v>1</v>
      </c>
      <c r="BR690" t="s">
        <v>874</v>
      </c>
      <c r="BS690">
        <v>1</v>
      </c>
      <c r="BT690">
        <f t="shared" si="109"/>
        <v>61.55555555555555</v>
      </c>
      <c r="BU690">
        <f t="shared" si="110"/>
        <v>58.620689655172406</v>
      </c>
      <c r="BV690">
        <f t="shared" si="111"/>
        <v>41.586538461538467</v>
      </c>
      <c r="BW690">
        <f t="shared" si="112"/>
        <v>24.871794871794872</v>
      </c>
    </row>
    <row r="691" spans="1:75" x14ac:dyDescent="0.2">
      <c r="A691" t="s">
        <v>127</v>
      </c>
      <c r="B691" t="s">
        <v>128</v>
      </c>
      <c r="C691" t="s">
        <v>62</v>
      </c>
      <c r="D691" t="s">
        <v>342</v>
      </c>
      <c r="E691" t="s">
        <v>357</v>
      </c>
      <c r="F691" t="s">
        <v>410</v>
      </c>
      <c r="G691">
        <v>3.85</v>
      </c>
      <c r="H691">
        <v>7.5</v>
      </c>
      <c r="I691">
        <v>4.45</v>
      </c>
      <c r="J691">
        <v>0.95</v>
      </c>
      <c r="K691">
        <v>16.75</v>
      </c>
      <c r="L691">
        <v>3.1038961039999999</v>
      </c>
      <c r="M691">
        <v>194</v>
      </c>
      <c r="N691">
        <v>262</v>
      </c>
      <c r="O691">
        <v>68</v>
      </c>
      <c r="P691">
        <v>299</v>
      </c>
      <c r="Q691">
        <v>105</v>
      </c>
      <c r="R691">
        <v>52.5</v>
      </c>
      <c r="S691">
        <v>152.1</v>
      </c>
      <c r="T691">
        <v>54.12371134</v>
      </c>
      <c r="U691">
        <v>14.1221374</v>
      </c>
      <c r="V691">
        <v>11</v>
      </c>
      <c r="W691">
        <v>25</v>
      </c>
      <c r="X691">
        <v>30</v>
      </c>
      <c r="Y691">
        <v>19</v>
      </c>
      <c r="Z691">
        <v>172.72727269999999</v>
      </c>
      <c r="AA691">
        <v>7</v>
      </c>
      <c r="AB691">
        <v>10</v>
      </c>
      <c r="AC691">
        <v>13</v>
      </c>
      <c r="AD691" t="s">
        <v>66</v>
      </c>
      <c r="AE691">
        <v>217</v>
      </c>
      <c r="AF691">
        <v>253</v>
      </c>
      <c r="AG691" t="s">
        <v>66</v>
      </c>
      <c r="AH691">
        <v>85</v>
      </c>
      <c r="AI691">
        <v>99</v>
      </c>
      <c r="AJ691" t="s">
        <v>66</v>
      </c>
      <c r="AK691">
        <v>73</v>
      </c>
      <c r="AL691">
        <v>78</v>
      </c>
      <c r="AM691">
        <v>79</v>
      </c>
      <c r="AN691">
        <v>88.5</v>
      </c>
      <c r="AO691">
        <v>12.025316460000001</v>
      </c>
      <c r="AP691">
        <v>16.589861750000001</v>
      </c>
      <c r="AQ691">
        <v>2.7468354430000002</v>
      </c>
      <c r="AR691">
        <v>2.858757062</v>
      </c>
      <c r="AS691">
        <v>0.111921619</v>
      </c>
      <c r="AT691">
        <v>0</v>
      </c>
      <c r="AU691" t="s">
        <v>66</v>
      </c>
      <c r="AV691">
        <v>2</v>
      </c>
      <c r="AW691">
        <v>2</v>
      </c>
      <c r="AX691">
        <v>1</v>
      </c>
      <c r="AY691">
        <v>1</v>
      </c>
      <c r="AZ691">
        <v>1</v>
      </c>
      <c r="BA691">
        <v>1</v>
      </c>
      <c r="BB691" t="s">
        <v>66</v>
      </c>
      <c r="BC691">
        <v>54.1</v>
      </c>
      <c r="BD691">
        <v>69.7</v>
      </c>
      <c r="BE691">
        <v>28.83548983</v>
      </c>
      <c r="BF691">
        <v>0</v>
      </c>
      <c r="BG691">
        <v>69.7</v>
      </c>
      <c r="BH691">
        <v>28.83548983</v>
      </c>
      <c r="BI691">
        <v>290</v>
      </c>
      <c r="BJ691">
        <v>37.4</v>
      </c>
      <c r="BK691">
        <v>18.600000000000001</v>
      </c>
      <c r="BL691">
        <f>290-114</f>
        <v>176</v>
      </c>
      <c r="BM691">
        <v>110</v>
      </c>
      <c r="BN691">
        <v>61</v>
      </c>
      <c r="BO691">
        <f t="shared" si="108"/>
        <v>85.5</v>
      </c>
      <c r="BP691">
        <v>4</v>
      </c>
      <c r="BQ691">
        <v>1</v>
      </c>
      <c r="BR691" t="s">
        <v>874</v>
      </c>
      <c r="BS691">
        <v>1</v>
      </c>
      <c r="BT691">
        <f t="shared" si="109"/>
        <v>33.103448275862071</v>
      </c>
      <c r="BU691">
        <f t="shared" si="110"/>
        <v>70.588235294117638</v>
      </c>
      <c r="BV691">
        <f t="shared" si="111"/>
        <v>-23.295454545454543</v>
      </c>
      <c r="BW691">
        <f t="shared" si="112"/>
        <v>7.6023391812865491</v>
      </c>
    </row>
    <row r="692" spans="1:75" x14ac:dyDescent="0.2">
      <c r="A692" t="s">
        <v>170</v>
      </c>
      <c r="B692" t="s">
        <v>171</v>
      </c>
      <c r="C692" t="s">
        <v>62</v>
      </c>
      <c r="D692" t="s">
        <v>342</v>
      </c>
      <c r="E692" t="s">
        <v>353</v>
      </c>
      <c r="F692" t="s">
        <v>448</v>
      </c>
      <c r="G692">
        <v>2.65</v>
      </c>
      <c r="H692">
        <v>15.9</v>
      </c>
      <c r="I692">
        <v>15.75</v>
      </c>
      <c r="J692">
        <v>1.4</v>
      </c>
      <c r="K692">
        <v>35.700000000000003</v>
      </c>
      <c r="L692">
        <v>11.943396229999999</v>
      </c>
      <c r="M692">
        <v>80</v>
      </c>
      <c r="N692">
        <v>101</v>
      </c>
      <c r="O692">
        <v>21</v>
      </c>
      <c r="P692">
        <v>100</v>
      </c>
      <c r="Q692">
        <v>20</v>
      </c>
      <c r="R692">
        <v>10</v>
      </c>
      <c r="S692">
        <v>67.099999999999994</v>
      </c>
      <c r="T692">
        <v>25</v>
      </c>
      <c r="U692">
        <v>-0.99009901</v>
      </c>
      <c r="V692">
        <v>15</v>
      </c>
      <c r="W692">
        <v>24</v>
      </c>
      <c r="X692">
        <v>22</v>
      </c>
      <c r="Y692">
        <v>7</v>
      </c>
      <c r="Z692">
        <v>46.666666669999998</v>
      </c>
      <c r="AA692" t="s">
        <v>66</v>
      </c>
      <c r="AB692" t="s">
        <v>66</v>
      </c>
      <c r="AC692" t="s">
        <v>66</v>
      </c>
      <c r="AD692" t="s">
        <v>66</v>
      </c>
      <c r="AE692">
        <v>54</v>
      </c>
      <c r="AF692">
        <v>51</v>
      </c>
      <c r="AG692" t="s">
        <v>66</v>
      </c>
      <c r="AH692">
        <v>37</v>
      </c>
      <c r="AI692">
        <v>28</v>
      </c>
      <c r="AJ692" t="s">
        <v>66</v>
      </c>
      <c r="AK692">
        <v>29</v>
      </c>
      <c r="AL692">
        <v>26</v>
      </c>
      <c r="AM692">
        <v>33</v>
      </c>
      <c r="AN692">
        <v>27</v>
      </c>
      <c r="AO692">
        <v>-18.18181818</v>
      </c>
      <c r="AP692">
        <v>-5.5555555559999998</v>
      </c>
      <c r="AQ692">
        <v>1.636363636</v>
      </c>
      <c r="AR692">
        <v>1.888888889</v>
      </c>
      <c r="AS692">
        <v>0.25252525300000001</v>
      </c>
      <c r="AT692">
        <v>0</v>
      </c>
      <c r="AU692" t="s">
        <v>66</v>
      </c>
      <c r="AV692">
        <v>3</v>
      </c>
      <c r="AW692">
        <v>4</v>
      </c>
      <c r="AX692">
        <v>0</v>
      </c>
      <c r="AY692">
        <v>1</v>
      </c>
      <c r="AZ692">
        <v>1</v>
      </c>
      <c r="BA692">
        <v>1</v>
      </c>
      <c r="BB692" t="s">
        <v>66</v>
      </c>
      <c r="BC692">
        <v>32</v>
      </c>
      <c r="BD692">
        <v>32.1</v>
      </c>
      <c r="BE692">
        <v>0.3125</v>
      </c>
      <c r="BF692">
        <v>0</v>
      </c>
      <c r="BG692">
        <v>32.1</v>
      </c>
      <c r="BH692">
        <v>0.3125</v>
      </c>
      <c r="BI692">
        <v>129</v>
      </c>
      <c r="BJ692">
        <v>17.5</v>
      </c>
      <c r="BK692" t="s">
        <v>66</v>
      </c>
      <c r="BL692">
        <f>129-48</f>
        <v>81</v>
      </c>
      <c r="BM692">
        <v>25</v>
      </c>
      <c r="BN692">
        <v>26</v>
      </c>
      <c r="BO692">
        <f t="shared" si="108"/>
        <v>25.5</v>
      </c>
      <c r="BP692">
        <v>4</v>
      </c>
      <c r="BQ692">
        <v>1</v>
      </c>
      <c r="BR692" t="s">
        <v>879</v>
      </c>
      <c r="BS692">
        <v>1</v>
      </c>
      <c r="BT692">
        <f t="shared" si="109"/>
        <v>37.984496124031011</v>
      </c>
      <c r="BU692">
        <f t="shared" si="110"/>
        <v>14.285714285714285</v>
      </c>
      <c r="BV692">
        <f t="shared" si="111"/>
        <v>33.333333333333329</v>
      </c>
      <c r="BW692">
        <f t="shared" si="112"/>
        <v>-29.411764705882355</v>
      </c>
    </row>
    <row r="693" spans="1:75" x14ac:dyDescent="0.2">
      <c r="A693" t="s">
        <v>170</v>
      </c>
      <c r="B693" t="s">
        <v>171</v>
      </c>
      <c r="C693" t="s">
        <v>62</v>
      </c>
      <c r="D693" t="s">
        <v>342</v>
      </c>
      <c r="E693" t="s">
        <v>359</v>
      </c>
      <c r="F693" t="s">
        <v>451</v>
      </c>
      <c r="G693">
        <v>2.65</v>
      </c>
      <c r="H693">
        <v>15.9</v>
      </c>
      <c r="I693">
        <v>15.75</v>
      </c>
      <c r="J693">
        <v>1.4</v>
      </c>
      <c r="K693">
        <v>35.700000000000003</v>
      </c>
      <c r="L693">
        <v>11.943396229999999</v>
      </c>
      <c r="M693">
        <v>43</v>
      </c>
      <c r="N693">
        <v>56</v>
      </c>
      <c r="O693">
        <v>13</v>
      </c>
      <c r="P693">
        <v>54</v>
      </c>
      <c r="Q693">
        <v>11</v>
      </c>
      <c r="R693">
        <v>5.5</v>
      </c>
      <c r="S693">
        <v>58.1</v>
      </c>
      <c r="T693">
        <v>25.581395350000001</v>
      </c>
      <c r="U693">
        <v>-3.5714285710000002</v>
      </c>
      <c r="V693">
        <v>6</v>
      </c>
      <c r="W693">
        <v>7</v>
      </c>
      <c r="X693">
        <v>8</v>
      </c>
      <c r="Y693">
        <v>2</v>
      </c>
      <c r="Z693">
        <v>33.333333330000002</v>
      </c>
      <c r="AA693" t="s">
        <v>66</v>
      </c>
      <c r="AB693" t="s">
        <v>66</v>
      </c>
      <c r="AC693" t="s">
        <v>66</v>
      </c>
      <c r="AD693" t="s">
        <v>66</v>
      </c>
      <c r="AE693">
        <v>48</v>
      </c>
      <c r="AF693">
        <v>33</v>
      </c>
      <c r="AG693" t="s">
        <v>66</v>
      </c>
      <c r="AH693">
        <v>20</v>
      </c>
      <c r="AI693">
        <v>24</v>
      </c>
      <c r="AJ693" t="s">
        <v>66</v>
      </c>
      <c r="AK693">
        <v>18</v>
      </c>
      <c r="AL693">
        <v>13</v>
      </c>
      <c r="AM693">
        <v>19</v>
      </c>
      <c r="AN693">
        <v>18.5</v>
      </c>
      <c r="AO693">
        <v>-2.6315789469999999</v>
      </c>
      <c r="AP693">
        <v>-31.25</v>
      </c>
      <c r="AQ693">
        <v>2.5263157889999999</v>
      </c>
      <c r="AR693">
        <v>1.7837837839999999</v>
      </c>
      <c r="AS693">
        <v>-0.74253200500000005</v>
      </c>
      <c r="AT693">
        <v>0</v>
      </c>
      <c r="AU693" t="s">
        <v>66</v>
      </c>
      <c r="AV693">
        <v>2</v>
      </c>
      <c r="AW693">
        <v>2</v>
      </c>
      <c r="AX693">
        <v>0</v>
      </c>
      <c r="AY693">
        <v>1</v>
      </c>
      <c r="AZ693">
        <v>1</v>
      </c>
      <c r="BA693">
        <v>1</v>
      </c>
      <c r="BB693" t="s">
        <v>66</v>
      </c>
      <c r="BC693">
        <v>32.799999999999997</v>
      </c>
      <c r="BD693">
        <v>33</v>
      </c>
      <c r="BE693">
        <v>0.60975609799999997</v>
      </c>
      <c r="BF693">
        <v>0</v>
      </c>
      <c r="BG693">
        <v>33</v>
      </c>
      <c r="BH693">
        <v>0.60975609799999997</v>
      </c>
      <c r="BI693">
        <v>59</v>
      </c>
      <c r="BJ693">
        <v>6.6</v>
      </c>
      <c r="BK693" t="s">
        <v>66</v>
      </c>
      <c r="BL693">
        <f>59-12</f>
        <v>47</v>
      </c>
      <c r="BM693">
        <v>20</v>
      </c>
      <c r="BN693">
        <v>17</v>
      </c>
      <c r="BO693">
        <f t="shared" si="108"/>
        <v>18.5</v>
      </c>
      <c r="BP693">
        <v>4</v>
      </c>
      <c r="BQ693">
        <v>1</v>
      </c>
      <c r="BR693" t="s">
        <v>874</v>
      </c>
      <c r="BS693">
        <v>1</v>
      </c>
      <c r="BT693">
        <f t="shared" si="109"/>
        <v>27.118644067796609</v>
      </c>
      <c r="BU693">
        <f t="shared" si="110"/>
        <v>9.0909090909090864</v>
      </c>
      <c r="BV693">
        <f t="shared" si="111"/>
        <v>-2.1276595744680851</v>
      </c>
      <c r="BW693">
        <f t="shared" si="112"/>
        <v>-2.7027027027027026</v>
      </c>
    </row>
    <row r="694" spans="1:75" x14ac:dyDescent="0.2">
      <c r="A694" t="s">
        <v>170</v>
      </c>
      <c r="B694" t="s">
        <v>171</v>
      </c>
      <c r="C694" t="s">
        <v>62</v>
      </c>
      <c r="D694" t="s">
        <v>342</v>
      </c>
      <c r="E694" t="s">
        <v>367</v>
      </c>
      <c r="F694" t="s">
        <v>455</v>
      </c>
      <c r="G694">
        <v>2.65</v>
      </c>
      <c r="H694">
        <v>15.9</v>
      </c>
      <c r="I694">
        <v>15.75</v>
      </c>
      <c r="J694">
        <v>1.4</v>
      </c>
      <c r="K694">
        <v>35.700000000000003</v>
      </c>
      <c r="L694">
        <v>11.943396229999999</v>
      </c>
      <c r="M694">
        <v>128</v>
      </c>
      <c r="N694">
        <v>133</v>
      </c>
      <c r="O694">
        <v>5</v>
      </c>
      <c r="P694">
        <v>125</v>
      </c>
      <c r="Q694">
        <v>-3</v>
      </c>
      <c r="R694">
        <v>-1.5</v>
      </c>
      <c r="S694">
        <v>44.1</v>
      </c>
      <c r="T694">
        <v>-2.34375</v>
      </c>
      <c r="U694">
        <v>-6.0150375939999998</v>
      </c>
      <c r="V694">
        <v>12</v>
      </c>
      <c r="W694">
        <v>21</v>
      </c>
      <c r="X694">
        <v>22</v>
      </c>
      <c r="Y694">
        <v>10</v>
      </c>
      <c r="Z694">
        <v>83.333333330000002</v>
      </c>
      <c r="AA694" t="s">
        <v>66</v>
      </c>
      <c r="AB694" t="s">
        <v>66</v>
      </c>
      <c r="AC694" t="s">
        <v>66</v>
      </c>
      <c r="AD694" t="s">
        <v>66</v>
      </c>
      <c r="AE694">
        <v>100</v>
      </c>
      <c r="AF694">
        <v>82</v>
      </c>
      <c r="AG694" t="s">
        <v>66</v>
      </c>
      <c r="AH694">
        <v>69</v>
      </c>
      <c r="AI694">
        <v>47</v>
      </c>
      <c r="AJ694" t="s">
        <v>66</v>
      </c>
      <c r="AK694">
        <v>50</v>
      </c>
      <c r="AL694">
        <v>45</v>
      </c>
      <c r="AM694">
        <v>59.5</v>
      </c>
      <c r="AN694">
        <v>46</v>
      </c>
      <c r="AO694">
        <v>-22.689075630000001</v>
      </c>
      <c r="AP694">
        <v>-18</v>
      </c>
      <c r="AQ694">
        <v>1.680672269</v>
      </c>
      <c r="AR694">
        <v>1.782608696</v>
      </c>
      <c r="AS694">
        <v>0.101936427</v>
      </c>
      <c r="AT694">
        <v>0</v>
      </c>
      <c r="AU694" t="s">
        <v>66</v>
      </c>
      <c r="AV694">
        <v>1</v>
      </c>
      <c r="AW694">
        <v>3</v>
      </c>
      <c r="AX694">
        <v>0</v>
      </c>
      <c r="AY694">
        <v>1</v>
      </c>
      <c r="AZ694">
        <v>1</v>
      </c>
      <c r="BA694">
        <v>1</v>
      </c>
      <c r="BB694" t="s">
        <v>66</v>
      </c>
      <c r="BC694">
        <v>38</v>
      </c>
      <c r="BD694">
        <v>35.1</v>
      </c>
      <c r="BE694">
        <v>-7.6315789470000004</v>
      </c>
      <c r="BF694">
        <v>0</v>
      </c>
      <c r="BG694">
        <v>35.1</v>
      </c>
      <c r="BH694">
        <v>-7.6315789470000004</v>
      </c>
      <c r="BI694">
        <v>127</v>
      </c>
      <c r="BJ694">
        <v>20</v>
      </c>
      <c r="BK694" t="s">
        <v>66</v>
      </c>
      <c r="BL694">
        <f>127-44</f>
        <v>83</v>
      </c>
      <c r="BM694">
        <v>45</v>
      </c>
      <c r="BN694">
        <v>35</v>
      </c>
      <c r="BO694">
        <f t="shared" si="108"/>
        <v>40</v>
      </c>
      <c r="BP694">
        <v>4</v>
      </c>
      <c r="BQ694">
        <v>1</v>
      </c>
      <c r="BR694" t="s">
        <v>874</v>
      </c>
      <c r="BS694">
        <v>1</v>
      </c>
      <c r="BT694">
        <f t="shared" si="109"/>
        <v>-0.78740157480314954</v>
      </c>
      <c r="BU694">
        <f t="shared" si="110"/>
        <v>40</v>
      </c>
      <c r="BV694">
        <f t="shared" si="111"/>
        <v>-20.481927710843372</v>
      </c>
      <c r="BW694">
        <f t="shared" si="112"/>
        <v>-48.75</v>
      </c>
    </row>
    <row r="695" spans="1:75" x14ac:dyDescent="0.2">
      <c r="A695" t="s">
        <v>170</v>
      </c>
      <c r="B695" t="s">
        <v>171</v>
      </c>
      <c r="C695" t="s">
        <v>62</v>
      </c>
      <c r="D695" t="s">
        <v>342</v>
      </c>
      <c r="E695" t="s">
        <v>345</v>
      </c>
      <c r="F695" t="s">
        <v>444</v>
      </c>
      <c r="G695">
        <v>2.65</v>
      </c>
      <c r="H695">
        <v>15.9</v>
      </c>
      <c r="I695">
        <v>15.75</v>
      </c>
      <c r="J695">
        <v>1.4</v>
      </c>
      <c r="K695">
        <v>35.700000000000003</v>
      </c>
      <c r="L695">
        <v>11.943396229999999</v>
      </c>
      <c r="M695">
        <v>146</v>
      </c>
      <c r="N695">
        <v>120</v>
      </c>
      <c r="O695">
        <v>-26</v>
      </c>
      <c r="P695">
        <v>108</v>
      </c>
      <c r="Q695">
        <v>-38</v>
      </c>
      <c r="R695">
        <v>-19</v>
      </c>
      <c r="S695">
        <v>9.1</v>
      </c>
      <c r="T695">
        <v>-26.027397260000001</v>
      </c>
      <c r="U695">
        <v>-10</v>
      </c>
      <c r="V695">
        <v>15</v>
      </c>
      <c r="W695">
        <v>18</v>
      </c>
      <c r="X695">
        <v>17</v>
      </c>
      <c r="Y695">
        <v>2</v>
      </c>
      <c r="Z695">
        <v>13.33333333</v>
      </c>
      <c r="AA695">
        <v>3</v>
      </c>
      <c r="AB695" t="s">
        <v>66</v>
      </c>
      <c r="AC695" t="s">
        <v>66</v>
      </c>
      <c r="AD695" t="s">
        <v>66</v>
      </c>
      <c r="AE695">
        <v>83</v>
      </c>
      <c r="AF695">
        <v>72</v>
      </c>
      <c r="AG695" t="s">
        <v>66</v>
      </c>
      <c r="AH695">
        <v>58</v>
      </c>
      <c r="AI695">
        <v>33</v>
      </c>
      <c r="AJ695" t="s">
        <v>66</v>
      </c>
      <c r="AK695">
        <v>58</v>
      </c>
      <c r="AL695">
        <v>42</v>
      </c>
      <c r="AM695">
        <v>58</v>
      </c>
      <c r="AN695">
        <v>37.5</v>
      </c>
      <c r="AO695">
        <v>-35.344827590000001</v>
      </c>
      <c r="AP695">
        <v>-13.253012050000001</v>
      </c>
      <c r="AQ695">
        <v>1.4310344829999999</v>
      </c>
      <c r="AR695">
        <v>1.92</v>
      </c>
      <c r="AS695">
        <v>0.48896551700000002</v>
      </c>
      <c r="AT695">
        <v>0</v>
      </c>
      <c r="AU695" t="s">
        <v>66</v>
      </c>
      <c r="AV695">
        <v>2</v>
      </c>
      <c r="AW695">
        <v>3</v>
      </c>
      <c r="AX695">
        <v>1</v>
      </c>
      <c r="AY695">
        <v>1</v>
      </c>
      <c r="AZ695">
        <v>1</v>
      </c>
      <c r="BA695">
        <v>1</v>
      </c>
      <c r="BB695" t="s">
        <v>66</v>
      </c>
      <c r="BC695">
        <v>25.6</v>
      </c>
      <c r="BD695">
        <v>48.8</v>
      </c>
      <c r="BE695">
        <v>90.625</v>
      </c>
      <c r="BF695">
        <v>0</v>
      </c>
      <c r="BG695">
        <v>48.8</v>
      </c>
      <c r="BH695">
        <v>90.625</v>
      </c>
      <c r="BI695">
        <v>119</v>
      </c>
      <c r="BJ695">
        <v>17.600000000000001</v>
      </c>
      <c r="BK695" t="s">
        <v>66</v>
      </c>
      <c r="BL695">
        <f>119-37</f>
        <v>82</v>
      </c>
      <c r="BM695">
        <v>37</v>
      </c>
      <c r="BN695">
        <v>31</v>
      </c>
      <c r="BO695">
        <f t="shared" si="108"/>
        <v>34</v>
      </c>
      <c r="BP695">
        <v>4</v>
      </c>
      <c r="BQ695">
        <v>1</v>
      </c>
      <c r="BR695" t="s">
        <v>874</v>
      </c>
      <c r="BS695">
        <v>1</v>
      </c>
      <c r="BT695">
        <f t="shared" si="109"/>
        <v>-22.689075630252102</v>
      </c>
      <c r="BU695">
        <f t="shared" si="110"/>
        <v>14.772727272727279</v>
      </c>
      <c r="BV695">
        <f t="shared" si="111"/>
        <v>-1.2195121951219512</v>
      </c>
      <c r="BW695">
        <f t="shared" si="112"/>
        <v>-70.588235294117652</v>
      </c>
    </row>
    <row r="696" spans="1:75" x14ac:dyDescent="0.2">
      <c r="A696" t="s">
        <v>170</v>
      </c>
      <c r="B696" t="s">
        <v>171</v>
      </c>
      <c r="C696" t="s">
        <v>62</v>
      </c>
      <c r="D696" t="s">
        <v>342</v>
      </c>
      <c r="E696" t="s">
        <v>351</v>
      </c>
      <c r="F696" t="s">
        <v>447</v>
      </c>
      <c r="G696">
        <v>2.65</v>
      </c>
      <c r="H696">
        <v>15.9</v>
      </c>
      <c r="I696">
        <v>15.75</v>
      </c>
      <c r="J696">
        <v>1.4</v>
      </c>
      <c r="K696">
        <v>35.700000000000003</v>
      </c>
      <c r="L696">
        <v>11.943396229999999</v>
      </c>
      <c r="M696">
        <v>166</v>
      </c>
      <c r="N696">
        <v>180</v>
      </c>
      <c r="O696">
        <v>14</v>
      </c>
      <c r="P696">
        <v>189</v>
      </c>
      <c r="Q696">
        <v>23</v>
      </c>
      <c r="R696">
        <v>11.5</v>
      </c>
      <c r="S696">
        <v>70.099999999999994</v>
      </c>
      <c r="T696">
        <v>13.85542169</v>
      </c>
      <c r="U696">
        <v>5</v>
      </c>
      <c r="V696">
        <v>17</v>
      </c>
      <c r="W696">
        <v>25</v>
      </c>
      <c r="X696">
        <v>25</v>
      </c>
      <c r="Y696">
        <v>8</v>
      </c>
      <c r="Z696">
        <v>47.058823529999998</v>
      </c>
      <c r="AA696">
        <v>5</v>
      </c>
      <c r="AB696">
        <v>6</v>
      </c>
      <c r="AC696">
        <v>6</v>
      </c>
      <c r="AD696" t="s">
        <v>66</v>
      </c>
      <c r="AE696">
        <v>132</v>
      </c>
      <c r="AF696">
        <v>116</v>
      </c>
      <c r="AG696" t="s">
        <v>66</v>
      </c>
      <c r="AH696">
        <v>50</v>
      </c>
      <c r="AI696">
        <v>54</v>
      </c>
      <c r="AJ696" t="s">
        <v>66</v>
      </c>
      <c r="AK696">
        <v>29</v>
      </c>
      <c r="AL696">
        <v>33</v>
      </c>
      <c r="AM696">
        <v>39.5</v>
      </c>
      <c r="AN696">
        <v>43.5</v>
      </c>
      <c r="AO696">
        <v>10.126582279999999</v>
      </c>
      <c r="AP696">
        <v>-12.121212119999999</v>
      </c>
      <c r="AQ696">
        <v>3.3417721519999999</v>
      </c>
      <c r="AR696">
        <v>2.6666666669999999</v>
      </c>
      <c r="AS696">
        <v>-0.67510548500000001</v>
      </c>
      <c r="AT696">
        <v>0</v>
      </c>
      <c r="AU696" t="s">
        <v>66</v>
      </c>
      <c r="AV696">
        <v>3</v>
      </c>
      <c r="AW696">
        <v>2</v>
      </c>
      <c r="AX696">
        <v>1</v>
      </c>
      <c r="AY696">
        <v>1</v>
      </c>
      <c r="AZ696">
        <v>1</v>
      </c>
      <c r="BA696">
        <v>1</v>
      </c>
      <c r="BB696" t="s">
        <v>66</v>
      </c>
      <c r="BC696">
        <v>50.5</v>
      </c>
      <c r="BD696">
        <v>41.7</v>
      </c>
      <c r="BE696">
        <v>-17.425742570000001</v>
      </c>
      <c r="BF696">
        <v>0</v>
      </c>
      <c r="BG696">
        <v>41.7</v>
      </c>
      <c r="BH696">
        <v>-17.425742570000001</v>
      </c>
      <c r="BI696">
        <v>179</v>
      </c>
      <c r="BJ696">
        <v>25.2</v>
      </c>
      <c r="BK696">
        <v>8.6</v>
      </c>
      <c r="BL696">
        <f>179-63</f>
        <v>116</v>
      </c>
      <c r="BM696">
        <v>52</v>
      </c>
      <c r="BN696">
        <v>50</v>
      </c>
      <c r="BO696">
        <f t="shared" si="108"/>
        <v>51</v>
      </c>
      <c r="BP696">
        <v>4</v>
      </c>
      <c r="BQ696">
        <v>1</v>
      </c>
      <c r="BR696" t="s">
        <v>874</v>
      </c>
      <c r="BS696">
        <v>1</v>
      </c>
      <c r="BT696">
        <f t="shared" si="109"/>
        <v>7.2625698324022352</v>
      </c>
      <c r="BU696">
        <f t="shared" si="110"/>
        <v>32.539682539682538</v>
      </c>
      <c r="BV696">
        <f t="shared" si="111"/>
        <v>-13.793103448275861</v>
      </c>
      <c r="BW696">
        <f t="shared" si="112"/>
        <v>22.549019607843139</v>
      </c>
    </row>
    <row r="697" spans="1:75" x14ac:dyDescent="0.2">
      <c r="A697" t="s">
        <v>170</v>
      </c>
      <c r="B697" t="s">
        <v>171</v>
      </c>
      <c r="C697" t="s">
        <v>62</v>
      </c>
      <c r="D697" t="s">
        <v>342</v>
      </c>
      <c r="E697" t="s">
        <v>357</v>
      </c>
      <c r="F697" t="s">
        <v>450</v>
      </c>
      <c r="G697">
        <v>2.65</v>
      </c>
      <c r="H697">
        <v>15.9</v>
      </c>
      <c r="I697">
        <v>15.75</v>
      </c>
      <c r="J697">
        <v>1.4</v>
      </c>
      <c r="K697">
        <v>35.700000000000003</v>
      </c>
      <c r="L697">
        <v>11.943396229999999</v>
      </c>
      <c r="M697">
        <v>120</v>
      </c>
      <c r="N697">
        <v>110</v>
      </c>
      <c r="O697">
        <v>-10</v>
      </c>
      <c r="P697">
        <v>108</v>
      </c>
      <c r="Q697">
        <v>-12</v>
      </c>
      <c r="R697">
        <v>-6</v>
      </c>
      <c r="S697">
        <v>35.1</v>
      </c>
      <c r="T697">
        <v>-10</v>
      </c>
      <c r="U697">
        <v>-1.818181818</v>
      </c>
      <c r="V697">
        <v>13</v>
      </c>
      <c r="W697">
        <v>16</v>
      </c>
      <c r="X697">
        <v>16</v>
      </c>
      <c r="Y697">
        <v>3</v>
      </c>
      <c r="Z697">
        <v>23.07692308</v>
      </c>
      <c r="AA697" t="s">
        <v>66</v>
      </c>
      <c r="AB697" t="s">
        <v>66</v>
      </c>
      <c r="AC697" t="s">
        <v>66</v>
      </c>
      <c r="AD697" t="s">
        <v>66</v>
      </c>
      <c r="AE697">
        <v>63</v>
      </c>
      <c r="AF697">
        <v>59</v>
      </c>
      <c r="AG697" t="s">
        <v>66</v>
      </c>
      <c r="AH697">
        <v>50</v>
      </c>
      <c r="AI697">
        <v>44</v>
      </c>
      <c r="AJ697" t="s">
        <v>66</v>
      </c>
      <c r="AK697">
        <v>21</v>
      </c>
      <c r="AL697">
        <v>35</v>
      </c>
      <c r="AM697">
        <v>35.5</v>
      </c>
      <c r="AN697">
        <v>39.5</v>
      </c>
      <c r="AO697">
        <v>11.26760563</v>
      </c>
      <c r="AP697">
        <v>-6.3492063490000001</v>
      </c>
      <c r="AQ697">
        <v>1.774647887</v>
      </c>
      <c r="AR697">
        <v>1.4936708860000001</v>
      </c>
      <c r="AS697">
        <v>-0.280977001</v>
      </c>
      <c r="AT697">
        <v>0</v>
      </c>
      <c r="AU697" t="s">
        <v>66</v>
      </c>
      <c r="AV697">
        <v>2</v>
      </c>
      <c r="AW697">
        <v>4</v>
      </c>
      <c r="AX697">
        <v>1</v>
      </c>
      <c r="AY697">
        <v>1</v>
      </c>
      <c r="AZ697">
        <v>1</v>
      </c>
      <c r="BA697">
        <v>1</v>
      </c>
      <c r="BB697" t="s">
        <v>66</v>
      </c>
      <c r="BC697">
        <v>28</v>
      </c>
      <c r="BD697">
        <v>28.3</v>
      </c>
      <c r="BE697">
        <v>1.071428571</v>
      </c>
      <c r="BF697">
        <v>0</v>
      </c>
      <c r="BG697">
        <v>28.3</v>
      </c>
      <c r="BH697">
        <v>1.071428571</v>
      </c>
      <c r="BI697">
        <v>109</v>
      </c>
      <c r="BJ697">
        <v>14.5</v>
      </c>
      <c r="BK697" t="s">
        <v>66</v>
      </c>
      <c r="BL697">
        <v>59</v>
      </c>
      <c r="BM697">
        <v>49</v>
      </c>
      <c r="BN697">
        <v>36</v>
      </c>
      <c r="BO697">
        <f t="shared" si="108"/>
        <v>42.5</v>
      </c>
      <c r="BP697">
        <v>4</v>
      </c>
      <c r="BQ697">
        <v>1</v>
      </c>
      <c r="BR697" t="s">
        <v>874</v>
      </c>
      <c r="BS697">
        <v>1</v>
      </c>
      <c r="BT697">
        <f t="shared" si="109"/>
        <v>-10.091743119266056</v>
      </c>
      <c r="BU697">
        <f t="shared" si="110"/>
        <v>10.344827586206897</v>
      </c>
      <c r="BV697">
        <f t="shared" si="111"/>
        <v>-6.7796610169491522</v>
      </c>
      <c r="BW697">
        <f t="shared" si="112"/>
        <v>16.470588235294116</v>
      </c>
    </row>
    <row r="698" spans="1:75" x14ac:dyDescent="0.2">
      <c r="A698" t="s">
        <v>170</v>
      </c>
      <c r="B698" t="s">
        <v>171</v>
      </c>
      <c r="C698" t="s">
        <v>62</v>
      </c>
      <c r="D698" t="s">
        <v>342</v>
      </c>
      <c r="E698" t="s">
        <v>363</v>
      </c>
      <c r="F698" t="s">
        <v>453</v>
      </c>
      <c r="G698">
        <v>2.65</v>
      </c>
      <c r="H698">
        <v>15.9</v>
      </c>
      <c r="I698">
        <v>15.75</v>
      </c>
      <c r="J698">
        <v>1.4</v>
      </c>
      <c r="K698">
        <v>35.700000000000003</v>
      </c>
      <c r="L698">
        <v>11.943396229999999</v>
      </c>
      <c r="M698">
        <v>150</v>
      </c>
      <c r="N698">
        <v>130</v>
      </c>
      <c r="O698">
        <v>-20</v>
      </c>
      <c r="P698">
        <v>145</v>
      </c>
      <c r="Q698">
        <v>-5</v>
      </c>
      <c r="R698">
        <v>-2.5</v>
      </c>
      <c r="S698">
        <v>42.1</v>
      </c>
      <c r="T698">
        <v>-3.3333333330000001</v>
      </c>
      <c r="U698">
        <v>11.53846154</v>
      </c>
      <c r="V698">
        <v>18</v>
      </c>
      <c r="W698">
        <v>23</v>
      </c>
      <c r="X698">
        <v>23</v>
      </c>
      <c r="Y698">
        <v>5</v>
      </c>
      <c r="Z698">
        <v>27.777777780000001</v>
      </c>
      <c r="AA698">
        <v>3</v>
      </c>
      <c r="AB698" t="s">
        <v>66</v>
      </c>
      <c r="AC698">
        <v>2</v>
      </c>
      <c r="AD698" t="s">
        <v>66</v>
      </c>
      <c r="AE698">
        <v>90</v>
      </c>
      <c r="AF698">
        <v>98</v>
      </c>
      <c r="AG698" t="s">
        <v>66</v>
      </c>
      <c r="AH698">
        <v>60</v>
      </c>
      <c r="AI698">
        <v>70</v>
      </c>
      <c r="AJ698" t="s">
        <v>66</v>
      </c>
      <c r="AK698">
        <v>52</v>
      </c>
      <c r="AL698">
        <v>57</v>
      </c>
      <c r="AM698">
        <v>56</v>
      </c>
      <c r="AN698">
        <v>63.5</v>
      </c>
      <c r="AO698">
        <v>13.39285714</v>
      </c>
      <c r="AP698">
        <v>8.8888888890000004</v>
      </c>
      <c r="AQ698">
        <v>1.6071428569999999</v>
      </c>
      <c r="AR698">
        <v>1.5433070870000001</v>
      </c>
      <c r="AS698">
        <v>-6.383577E-2</v>
      </c>
      <c r="AT698">
        <v>0</v>
      </c>
      <c r="AU698" t="s">
        <v>66</v>
      </c>
      <c r="AV698">
        <v>1</v>
      </c>
      <c r="AW698">
        <v>1</v>
      </c>
      <c r="AX698">
        <v>1</v>
      </c>
      <c r="AY698">
        <v>1</v>
      </c>
      <c r="AZ698">
        <v>1</v>
      </c>
      <c r="BA698">
        <v>1</v>
      </c>
      <c r="BB698" t="s">
        <v>66</v>
      </c>
      <c r="BC698">
        <v>38.4</v>
      </c>
      <c r="BD698">
        <v>43.8</v>
      </c>
      <c r="BE698">
        <v>14.0625</v>
      </c>
      <c r="BF698">
        <v>0</v>
      </c>
      <c r="BG698">
        <v>43.8</v>
      </c>
      <c r="BH698">
        <v>14.0625</v>
      </c>
      <c r="BI698">
        <v>195</v>
      </c>
      <c r="BJ698">
        <v>25.7</v>
      </c>
      <c r="BK698">
        <v>8</v>
      </c>
      <c r="BL698">
        <f>195-48</f>
        <v>147</v>
      </c>
      <c r="BM698">
        <v>61</v>
      </c>
      <c r="BN698">
        <v>42</v>
      </c>
      <c r="BO698">
        <f t="shared" si="108"/>
        <v>51.5</v>
      </c>
      <c r="BP698">
        <v>4</v>
      </c>
      <c r="BQ698">
        <v>1</v>
      </c>
      <c r="BR698" t="s">
        <v>874</v>
      </c>
      <c r="BS698">
        <v>1</v>
      </c>
      <c r="BT698">
        <f t="shared" si="109"/>
        <v>23.076923076923077</v>
      </c>
      <c r="BU698">
        <f t="shared" si="110"/>
        <v>29.961089494163424</v>
      </c>
      <c r="BV698">
        <f t="shared" si="111"/>
        <v>38.775510204081634</v>
      </c>
      <c r="BW698">
        <f t="shared" si="112"/>
        <v>-8.7378640776699026</v>
      </c>
    </row>
    <row r="699" spans="1:75" x14ac:dyDescent="0.2">
      <c r="A699" t="s">
        <v>170</v>
      </c>
      <c r="B699" t="s">
        <v>171</v>
      </c>
      <c r="C699" t="s">
        <v>62</v>
      </c>
      <c r="D699" t="s">
        <v>342</v>
      </c>
      <c r="E699" t="s">
        <v>373</v>
      </c>
      <c r="F699" t="s">
        <v>458</v>
      </c>
      <c r="G699">
        <v>2.65</v>
      </c>
      <c r="H699">
        <v>15.9</v>
      </c>
      <c r="I699">
        <v>15.75</v>
      </c>
      <c r="J699">
        <v>1.4</v>
      </c>
      <c r="K699">
        <v>35.700000000000003</v>
      </c>
      <c r="L699">
        <v>11.943396229999999</v>
      </c>
      <c r="M699">
        <v>92</v>
      </c>
      <c r="N699">
        <v>108</v>
      </c>
      <c r="O699">
        <v>16</v>
      </c>
      <c r="P699">
        <v>124</v>
      </c>
      <c r="Q699">
        <v>32</v>
      </c>
      <c r="R699">
        <v>16</v>
      </c>
      <c r="S699">
        <v>79.099999999999994</v>
      </c>
      <c r="T699">
        <v>34.782608699999997</v>
      </c>
      <c r="U699">
        <v>14.81481481</v>
      </c>
      <c r="V699">
        <v>13</v>
      </c>
      <c r="W699">
        <v>14</v>
      </c>
      <c r="X699">
        <v>17</v>
      </c>
      <c r="Y699">
        <v>4</v>
      </c>
      <c r="Z699">
        <v>30.76923077</v>
      </c>
      <c r="AA699" t="s">
        <v>66</v>
      </c>
      <c r="AB699" t="s">
        <v>66</v>
      </c>
      <c r="AC699" t="s">
        <v>66</v>
      </c>
      <c r="AD699" t="s">
        <v>66</v>
      </c>
      <c r="AE699">
        <v>65</v>
      </c>
      <c r="AF699">
        <v>68</v>
      </c>
      <c r="AG699" t="s">
        <v>66</v>
      </c>
      <c r="AH699">
        <v>48</v>
      </c>
      <c r="AI699">
        <v>53</v>
      </c>
      <c r="AJ699" t="s">
        <v>66</v>
      </c>
      <c r="AK699">
        <v>25</v>
      </c>
      <c r="AL699">
        <v>29</v>
      </c>
      <c r="AM699">
        <v>36.5</v>
      </c>
      <c r="AN699">
        <v>41</v>
      </c>
      <c r="AO699">
        <v>12.32876712</v>
      </c>
      <c r="AP699">
        <v>4.615384615</v>
      </c>
      <c r="AQ699">
        <v>1.780821918</v>
      </c>
      <c r="AR699">
        <v>1.658536585</v>
      </c>
      <c r="AS699">
        <v>-0.122285333</v>
      </c>
      <c r="AT699">
        <v>0</v>
      </c>
      <c r="AU699" t="s">
        <v>66</v>
      </c>
      <c r="AV699">
        <v>2</v>
      </c>
      <c r="AW699">
        <v>2</v>
      </c>
      <c r="AX699">
        <v>1</v>
      </c>
      <c r="AY699">
        <v>1</v>
      </c>
      <c r="AZ699">
        <v>1</v>
      </c>
      <c r="BA699">
        <v>1</v>
      </c>
      <c r="BB699" t="s">
        <v>66</v>
      </c>
      <c r="BC699">
        <v>36.700000000000003</v>
      </c>
      <c r="BD699">
        <v>49.6</v>
      </c>
      <c r="BE699">
        <v>35.149863760000002</v>
      </c>
      <c r="BF699">
        <v>0</v>
      </c>
      <c r="BG699">
        <v>49.6</v>
      </c>
      <c r="BH699">
        <v>35.149863760000002</v>
      </c>
      <c r="BI699">
        <v>155</v>
      </c>
      <c r="BJ699">
        <v>15.4</v>
      </c>
      <c r="BK699">
        <v>2.2999999999999998</v>
      </c>
      <c r="BL699">
        <v>115</v>
      </c>
      <c r="BM699">
        <v>60</v>
      </c>
      <c r="BN699">
        <v>30</v>
      </c>
      <c r="BO699">
        <f t="shared" si="108"/>
        <v>45</v>
      </c>
      <c r="BP699">
        <v>3</v>
      </c>
      <c r="BQ699">
        <v>1</v>
      </c>
      <c r="BR699" t="s">
        <v>874</v>
      </c>
      <c r="BS699">
        <v>1</v>
      </c>
      <c r="BT699">
        <f t="shared" si="109"/>
        <v>40.645161290322577</v>
      </c>
      <c r="BU699">
        <f t="shared" si="110"/>
        <v>15.584415584415586</v>
      </c>
      <c r="BV699">
        <f t="shared" si="111"/>
        <v>43.478260869565219</v>
      </c>
      <c r="BW699">
        <f t="shared" si="112"/>
        <v>18.888888888888889</v>
      </c>
    </row>
    <row r="700" spans="1:75" x14ac:dyDescent="0.2">
      <c r="A700" t="s">
        <v>213</v>
      </c>
      <c r="B700" t="s">
        <v>214</v>
      </c>
      <c r="C700" t="s">
        <v>62</v>
      </c>
      <c r="D700" t="s">
        <v>342</v>
      </c>
      <c r="E700" t="s">
        <v>355</v>
      </c>
      <c r="F700" t="s">
        <v>489</v>
      </c>
      <c r="G700">
        <v>5</v>
      </c>
      <c r="H700">
        <v>6.75</v>
      </c>
      <c r="I700">
        <v>12.5</v>
      </c>
      <c r="J700">
        <v>15.2</v>
      </c>
      <c r="K700">
        <v>39.450000000000003</v>
      </c>
      <c r="L700">
        <v>3.85</v>
      </c>
      <c r="M700">
        <v>132</v>
      </c>
      <c r="N700">
        <v>141</v>
      </c>
      <c r="O700">
        <v>9</v>
      </c>
      <c r="P700">
        <v>153</v>
      </c>
      <c r="Q700">
        <v>21</v>
      </c>
      <c r="R700">
        <v>10.5</v>
      </c>
      <c r="S700">
        <v>68.099999999999994</v>
      </c>
      <c r="T700">
        <v>15.90909091</v>
      </c>
      <c r="U700">
        <v>8.5106382979999999</v>
      </c>
      <c r="V700">
        <v>15</v>
      </c>
      <c r="W700">
        <v>17</v>
      </c>
      <c r="X700">
        <v>22</v>
      </c>
      <c r="Y700">
        <v>7</v>
      </c>
      <c r="Z700">
        <v>46.666666669999998</v>
      </c>
      <c r="AA700" t="s">
        <v>66</v>
      </c>
      <c r="AB700">
        <v>2</v>
      </c>
      <c r="AC700">
        <v>2</v>
      </c>
      <c r="AD700" t="s">
        <v>66</v>
      </c>
      <c r="AE700">
        <v>104</v>
      </c>
      <c r="AF700">
        <v>103</v>
      </c>
      <c r="AG700" t="s">
        <v>66</v>
      </c>
      <c r="AH700">
        <v>70</v>
      </c>
      <c r="AI700">
        <v>71</v>
      </c>
      <c r="AJ700" t="s">
        <v>66</v>
      </c>
      <c r="AK700">
        <v>67</v>
      </c>
      <c r="AL700">
        <v>48</v>
      </c>
      <c r="AM700">
        <v>68.5</v>
      </c>
      <c r="AN700">
        <v>59.5</v>
      </c>
      <c r="AO700">
        <v>-13.13868613</v>
      </c>
      <c r="AP700">
        <v>-0.96153846200000004</v>
      </c>
      <c r="AQ700">
        <v>1.5182481750000001</v>
      </c>
      <c r="AR700">
        <v>1.731092437</v>
      </c>
      <c r="AS700">
        <v>0.21284426200000001</v>
      </c>
      <c r="AT700">
        <v>0</v>
      </c>
      <c r="AU700" t="s">
        <v>66</v>
      </c>
      <c r="AV700">
        <v>1</v>
      </c>
      <c r="AW700">
        <v>1</v>
      </c>
      <c r="AX700">
        <v>0</v>
      </c>
      <c r="AY700">
        <v>1</v>
      </c>
      <c r="AZ700">
        <v>1</v>
      </c>
      <c r="BA700">
        <v>1</v>
      </c>
      <c r="BB700" t="s">
        <v>66</v>
      </c>
      <c r="BC700">
        <v>41</v>
      </c>
      <c r="BD700">
        <v>42.7</v>
      </c>
      <c r="BE700">
        <v>4.1463414629999997</v>
      </c>
      <c r="BF700">
        <v>0</v>
      </c>
      <c r="BG700">
        <v>42.7</v>
      </c>
      <c r="BH700">
        <v>4.1463414629999997</v>
      </c>
      <c r="BI700">
        <v>149</v>
      </c>
      <c r="BJ700">
        <v>21.4</v>
      </c>
      <c r="BK700">
        <v>2.1</v>
      </c>
      <c r="BL700">
        <f>149-63</f>
        <v>86</v>
      </c>
      <c r="BM700">
        <v>55</v>
      </c>
      <c r="BN700">
        <v>37</v>
      </c>
      <c r="BO700">
        <f t="shared" si="108"/>
        <v>46</v>
      </c>
      <c r="BP700">
        <v>4</v>
      </c>
      <c r="BQ700">
        <v>1</v>
      </c>
      <c r="BR700" t="s">
        <v>878</v>
      </c>
      <c r="BS700">
        <v>1</v>
      </c>
      <c r="BT700">
        <f t="shared" si="109"/>
        <v>11.409395973154362</v>
      </c>
      <c r="BU700">
        <f t="shared" si="110"/>
        <v>29.906542056074763</v>
      </c>
      <c r="BV700">
        <f t="shared" si="111"/>
        <v>-20.930232558139537</v>
      </c>
      <c r="BW700">
        <f t="shared" si="112"/>
        <v>-48.913043478260867</v>
      </c>
    </row>
    <row r="701" spans="1:75" x14ac:dyDescent="0.2">
      <c r="A701" t="s">
        <v>213</v>
      </c>
      <c r="B701" t="s">
        <v>214</v>
      </c>
      <c r="C701" t="s">
        <v>62</v>
      </c>
      <c r="D701" t="s">
        <v>342</v>
      </c>
      <c r="E701" t="s">
        <v>361</v>
      </c>
      <c r="F701" t="s">
        <v>492</v>
      </c>
      <c r="G701">
        <v>5</v>
      </c>
      <c r="H701">
        <v>6.75</v>
      </c>
      <c r="I701">
        <v>12.5</v>
      </c>
      <c r="J701">
        <v>15.2</v>
      </c>
      <c r="K701">
        <v>39.450000000000003</v>
      </c>
      <c r="L701">
        <v>3.85</v>
      </c>
      <c r="M701">
        <v>140</v>
      </c>
      <c r="N701">
        <v>174</v>
      </c>
      <c r="O701">
        <v>34</v>
      </c>
      <c r="P701">
        <v>176</v>
      </c>
      <c r="Q701">
        <v>36</v>
      </c>
      <c r="R701">
        <v>18</v>
      </c>
      <c r="S701">
        <v>83.1</v>
      </c>
      <c r="T701">
        <v>25.714285709999999</v>
      </c>
      <c r="U701">
        <v>1.1494252869999999</v>
      </c>
      <c r="V701">
        <v>10</v>
      </c>
      <c r="W701">
        <v>13</v>
      </c>
      <c r="X701">
        <v>22</v>
      </c>
      <c r="Y701">
        <v>12</v>
      </c>
      <c r="Z701">
        <v>120</v>
      </c>
      <c r="AA701" t="s">
        <v>66</v>
      </c>
      <c r="AB701">
        <v>4</v>
      </c>
      <c r="AC701">
        <v>7</v>
      </c>
      <c r="AD701" t="s">
        <v>66</v>
      </c>
      <c r="AE701">
        <v>102</v>
      </c>
      <c r="AF701">
        <v>93</v>
      </c>
      <c r="AG701" t="s">
        <v>66</v>
      </c>
      <c r="AH701">
        <v>47</v>
      </c>
      <c r="AI701">
        <v>42</v>
      </c>
      <c r="AJ701" t="s">
        <v>66</v>
      </c>
      <c r="AK701">
        <v>45</v>
      </c>
      <c r="AL701">
        <v>38</v>
      </c>
      <c r="AM701">
        <v>46</v>
      </c>
      <c r="AN701">
        <v>40</v>
      </c>
      <c r="AO701">
        <v>-13.043478260000001</v>
      </c>
      <c r="AP701">
        <v>-8.8235294119999992</v>
      </c>
      <c r="AQ701">
        <v>2.217391304</v>
      </c>
      <c r="AR701">
        <v>2.3250000000000002</v>
      </c>
      <c r="AS701">
        <v>0.107608696</v>
      </c>
      <c r="AT701">
        <v>0</v>
      </c>
      <c r="AU701" t="s">
        <v>66</v>
      </c>
      <c r="AV701">
        <v>1</v>
      </c>
      <c r="AW701">
        <v>1</v>
      </c>
      <c r="AX701">
        <v>0</v>
      </c>
      <c r="AY701">
        <v>1</v>
      </c>
      <c r="AZ701">
        <v>1</v>
      </c>
      <c r="BA701">
        <v>1</v>
      </c>
      <c r="BB701" t="s">
        <v>66</v>
      </c>
      <c r="BC701">
        <v>41.4</v>
      </c>
      <c r="BD701">
        <v>56.1</v>
      </c>
      <c r="BE701">
        <v>35.507246379999998</v>
      </c>
      <c r="BF701">
        <v>0</v>
      </c>
      <c r="BG701">
        <v>56.1</v>
      </c>
      <c r="BH701">
        <v>35.507246379999998</v>
      </c>
      <c r="BI701">
        <v>113</v>
      </c>
      <c r="BJ701">
        <v>17</v>
      </c>
      <c r="BK701" t="s">
        <v>66</v>
      </c>
      <c r="BL701">
        <f>113-18</f>
        <v>95</v>
      </c>
      <c r="BM701">
        <v>55</v>
      </c>
      <c r="BN701">
        <v>33</v>
      </c>
      <c r="BO701">
        <f t="shared" si="108"/>
        <v>44</v>
      </c>
      <c r="BP701">
        <v>4</v>
      </c>
      <c r="BQ701">
        <v>1</v>
      </c>
      <c r="BR701" t="s">
        <v>878</v>
      </c>
      <c r="BS701">
        <v>1</v>
      </c>
      <c r="BT701">
        <f t="shared" si="109"/>
        <v>-23.893805309734514</v>
      </c>
      <c r="BU701">
        <f t="shared" si="110"/>
        <v>41.17647058823529</v>
      </c>
      <c r="BV701">
        <f t="shared" si="111"/>
        <v>-7.3684210526315779</v>
      </c>
      <c r="BW701">
        <f t="shared" si="112"/>
        <v>-4.5454545454545459</v>
      </c>
    </row>
    <row r="702" spans="1:75" x14ac:dyDescent="0.2">
      <c r="A702" t="s">
        <v>213</v>
      </c>
      <c r="B702" t="s">
        <v>214</v>
      </c>
      <c r="C702" t="s">
        <v>62</v>
      </c>
      <c r="D702" t="s">
        <v>342</v>
      </c>
      <c r="E702" t="s">
        <v>365</v>
      </c>
      <c r="F702" t="s">
        <v>494</v>
      </c>
      <c r="G702">
        <v>5</v>
      </c>
      <c r="H702">
        <v>6.75</v>
      </c>
      <c r="I702">
        <v>12.5</v>
      </c>
      <c r="J702">
        <v>15.2</v>
      </c>
      <c r="K702">
        <v>39.450000000000003</v>
      </c>
      <c r="L702">
        <v>3.85</v>
      </c>
      <c r="M702">
        <v>73</v>
      </c>
      <c r="N702">
        <v>41</v>
      </c>
      <c r="O702">
        <v>-32</v>
      </c>
      <c r="P702">
        <v>26</v>
      </c>
      <c r="Q702">
        <v>-47</v>
      </c>
      <c r="R702">
        <v>-23.5</v>
      </c>
      <c r="S702">
        <v>0.1</v>
      </c>
      <c r="T702">
        <v>-64.383561639999996</v>
      </c>
      <c r="U702">
        <v>-36.585365850000002</v>
      </c>
      <c r="V702">
        <v>6</v>
      </c>
      <c r="W702">
        <v>8</v>
      </c>
      <c r="X702">
        <v>4</v>
      </c>
      <c r="Y702">
        <v>-2</v>
      </c>
      <c r="Z702">
        <v>-33.333333330000002</v>
      </c>
      <c r="AA702" t="s">
        <v>66</v>
      </c>
      <c r="AB702" t="s">
        <v>66</v>
      </c>
      <c r="AC702" t="s">
        <v>66</v>
      </c>
      <c r="AD702" t="s">
        <v>66</v>
      </c>
      <c r="AE702">
        <v>33</v>
      </c>
      <c r="AF702">
        <v>21</v>
      </c>
      <c r="AG702" t="s">
        <v>66</v>
      </c>
      <c r="AH702">
        <v>19</v>
      </c>
      <c r="AI702">
        <v>13</v>
      </c>
      <c r="AJ702" t="s">
        <v>66</v>
      </c>
      <c r="AK702">
        <v>12</v>
      </c>
      <c r="AL702">
        <v>10</v>
      </c>
      <c r="AM702">
        <v>15.5</v>
      </c>
      <c r="AN702">
        <v>11.5</v>
      </c>
      <c r="AO702">
        <v>-25.80645161</v>
      </c>
      <c r="AP702">
        <v>-36.363636360000001</v>
      </c>
      <c r="AQ702">
        <v>2.1290322580000001</v>
      </c>
      <c r="AR702">
        <v>1.826086957</v>
      </c>
      <c r="AS702">
        <v>-0.302945301</v>
      </c>
      <c r="AT702">
        <v>0</v>
      </c>
      <c r="AU702" t="s">
        <v>66</v>
      </c>
      <c r="AV702">
        <v>1</v>
      </c>
      <c r="AW702">
        <v>1</v>
      </c>
      <c r="AX702">
        <v>0</v>
      </c>
      <c r="AY702">
        <v>1</v>
      </c>
      <c r="AZ702">
        <v>1</v>
      </c>
      <c r="BA702">
        <v>1</v>
      </c>
      <c r="BB702" t="s">
        <v>66</v>
      </c>
      <c r="BC702">
        <v>34.200000000000003</v>
      </c>
      <c r="BD702">
        <v>38.200000000000003</v>
      </c>
      <c r="BE702">
        <v>11.695906430000001</v>
      </c>
      <c r="BF702">
        <v>0</v>
      </c>
      <c r="BG702">
        <v>38.200000000000003</v>
      </c>
      <c r="BH702">
        <v>11.695906430000001</v>
      </c>
      <c r="BI702">
        <v>35</v>
      </c>
      <c r="BJ702">
        <v>8.5</v>
      </c>
      <c r="BL702">
        <v>27</v>
      </c>
      <c r="BM702">
        <v>28</v>
      </c>
      <c r="BN702">
        <v>13</v>
      </c>
      <c r="BO702">
        <f t="shared" si="108"/>
        <v>20.5</v>
      </c>
      <c r="BP702">
        <v>4</v>
      </c>
      <c r="BQ702">
        <v>1</v>
      </c>
      <c r="BR702" t="s">
        <v>879</v>
      </c>
      <c r="BS702">
        <v>1</v>
      </c>
      <c r="BT702">
        <f t="shared" si="109"/>
        <v>-108.57142857142857</v>
      </c>
      <c r="BU702">
        <f t="shared" si="110"/>
        <v>29.411764705882355</v>
      </c>
      <c r="BV702">
        <f t="shared" si="111"/>
        <v>-22.222222222222221</v>
      </c>
      <c r="BW702">
        <f t="shared" si="112"/>
        <v>24.390243902439025</v>
      </c>
    </row>
    <row r="703" spans="1:75" x14ac:dyDescent="0.2">
      <c r="A703" t="s">
        <v>213</v>
      </c>
      <c r="B703" t="s">
        <v>214</v>
      </c>
      <c r="C703" t="s">
        <v>62</v>
      </c>
      <c r="D703" t="s">
        <v>342</v>
      </c>
      <c r="E703" t="s">
        <v>373</v>
      </c>
      <c r="F703" t="s">
        <v>498</v>
      </c>
      <c r="G703">
        <v>5</v>
      </c>
      <c r="H703">
        <v>6.75</v>
      </c>
      <c r="I703">
        <v>12.5</v>
      </c>
      <c r="J703">
        <v>15.2</v>
      </c>
      <c r="K703">
        <v>39.450000000000003</v>
      </c>
      <c r="L703">
        <v>3.85</v>
      </c>
      <c r="M703">
        <v>79</v>
      </c>
      <c r="N703">
        <v>92</v>
      </c>
      <c r="O703">
        <v>13</v>
      </c>
      <c r="P703">
        <v>95</v>
      </c>
      <c r="Q703">
        <v>16</v>
      </c>
      <c r="R703">
        <v>8</v>
      </c>
      <c r="S703">
        <v>63.1</v>
      </c>
      <c r="T703">
        <v>20.253164559999998</v>
      </c>
      <c r="U703">
        <v>3.2608695650000001</v>
      </c>
      <c r="V703">
        <v>7</v>
      </c>
      <c r="W703">
        <v>11</v>
      </c>
      <c r="X703">
        <v>9</v>
      </c>
      <c r="Y703">
        <v>2</v>
      </c>
      <c r="Z703">
        <v>28.571428569999998</v>
      </c>
      <c r="AA703" t="s">
        <v>66</v>
      </c>
      <c r="AB703" t="s">
        <v>66</v>
      </c>
      <c r="AC703" t="s">
        <v>66</v>
      </c>
      <c r="AD703" t="s">
        <v>66</v>
      </c>
      <c r="AE703">
        <v>60</v>
      </c>
      <c r="AF703">
        <v>58</v>
      </c>
      <c r="AG703" t="s">
        <v>66</v>
      </c>
      <c r="AH703">
        <v>27</v>
      </c>
      <c r="AI703">
        <v>23</v>
      </c>
      <c r="AJ703" t="s">
        <v>66</v>
      </c>
      <c r="AK703">
        <v>16</v>
      </c>
      <c r="AL703">
        <v>15</v>
      </c>
      <c r="AM703">
        <v>21.5</v>
      </c>
      <c r="AN703">
        <v>19</v>
      </c>
      <c r="AO703">
        <v>-11.627906980000001</v>
      </c>
      <c r="AP703">
        <v>-3.3333333330000001</v>
      </c>
      <c r="AQ703">
        <v>2.790697674</v>
      </c>
      <c r="AR703">
        <v>3.0526315789999998</v>
      </c>
      <c r="AS703">
        <v>0.26193390500000002</v>
      </c>
      <c r="AT703">
        <v>0</v>
      </c>
      <c r="AU703" t="s">
        <v>66</v>
      </c>
      <c r="AV703">
        <v>0</v>
      </c>
      <c r="AW703">
        <v>0</v>
      </c>
      <c r="AX703">
        <v>0</v>
      </c>
      <c r="AY703">
        <v>1</v>
      </c>
      <c r="AZ703">
        <v>1</v>
      </c>
      <c r="BA703">
        <v>1</v>
      </c>
      <c r="BB703" t="s">
        <v>66</v>
      </c>
      <c r="BC703">
        <v>43.7</v>
      </c>
      <c r="BD703">
        <v>54.3</v>
      </c>
      <c r="BE703">
        <v>24.256292909999999</v>
      </c>
      <c r="BF703">
        <v>0</v>
      </c>
      <c r="BG703">
        <v>54.3</v>
      </c>
      <c r="BH703">
        <v>24.256292909999999</v>
      </c>
      <c r="BI703">
        <v>35</v>
      </c>
      <c r="BJ703">
        <v>10.3</v>
      </c>
      <c r="BK703" t="s">
        <v>66</v>
      </c>
      <c r="BL703">
        <v>31</v>
      </c>
      <c r="BM703">
        <v>24</v>
      </c>
      <c r="BN703">
        <v>15</v>
      </c>
      <c r="BO703">
        <f t="shared" si="108"/>
        <v>19.5</v>
      </c>
      <c r="BP703">
        <v>4</v>
      </c>
      <c r="BQ703">
        <v>1</v>
      </c>
      <c r="BR703" t="s">
        <v>879</v>
      </c>
      <c r="BS703">
        <v>1</v>
      </c>
      <c r="BT703">
        <f t="shared" si="109"/>
        <v>-125.71428571428571</v>
      </c>
      <c r="BU703">
        <f t="shared" si="110"/>
        <v>32.038834951456316</v>
      </c>
      <c r="BV703">
        <f t="shared" si="111"/>
        <v>-93.548387096774192</v>
      </c>
      <c r="BW703">
        <f t="shared" si="112"/>
        <v>-10.256410256410255</v>
      </c>
    </row>
    <row r="704" spans="1:75" x14ac:dyDescent="0.2">
      <c r="A704" t="s">
        <v>213</v>
      </c>
      <c r="B704" t="s">
        <v>214</v>
      </c>
      <c r="C704" t="s">
        <v>62</v>
      </c>
      <c r="D704" t="s">
        <v>342</v>
      </c>
      <c r="E704" t="s">
        <v>379</v>
      </c>
      <c r="F704" t="s">
        <v>501</v>
      </c>
      <c r="G704">
        <v>5</v>
      </c>
      <c r="H704">
        <v>6.75</v>
      </c>
      <c r="I704">
        <v>12.5</v>
      </c>
      <c r="J704">
        <v>15.2</v>
      </c>
      <c r="K704">
        <v>39.450000000000003</v>
      </c>
      <c r="L704">
        <v>3.85</v>
      </c>
      <c r="M704">
        <v>202</v>
      </c>
      <c r="N704">
        <v>212</v>
      </c>
      <c r="O704">
        <v>10</v>
      </c>
      <c r="P704">
        <v>221</v>
      </c>
      <c r="Q704">
        <v>19</v>
      </c>
      <c r="R704">
        <v>9.5</v>
      </c>
      <c r="S704">
        <v>66.099999999999994</v>
      </c>
      <c r="T704">
        <v>9.4059405940000005</v>
      </c>
      <c r="U704">
        <v>4.2452830190000004</v>
      </c>
      <c r="V704">
        <v>26</v>
      </c>
      <c r="W704">
        <v>30</v>
      </c>
      <c r="X704">
        <v>29</v>
      </c>
      <c r="Y704">
        <v>3</v>
      </c>
      <c r="Z704">
        <v>11.53846154</v>
      </c>
      <c r="AA704" t="s">
        <v>66</v>
      </c>
      <c r="AB704">
        <v>9</v>
      </c>
      <c r="AC704">
        <v>11</v>
      </c>
      <c r="AD704" t="s">
        <v>66</v>
      </c>
      <c r="AE704">
        <v>137</v>
      </c>
      <c r="AF704">
        <v>149</v>
      </c>
      <c r="AG704" t="s">
        <v>66</v>
      </c>
      <c r="AH704">
        <v>77</v>
      </c>
      <c r="AI704">
        <v>85</v>
      </c>
      <c r="AJ704" t="s">
        <v>66</v>
      </c>
      <c r="AK704">
        <v>55</v>
      </c>
      <c r="AL704">
        <v>58</v>
      </c>
      <c r="AM704">
        <v>66</v>
      </c>
      <c r="AN704">
        <v>71.5</v>
      </c>
      <c r="AO704">
        <v>8.3333333330000006</v>
      </c>
      <c r="AP704">
        <v>8.7591240880000001</v>
      </c>
      <c r="AQ704">
        <v>2.075757576</v>
      </c>
      <c r="AR704">
        <v>2.0839160840000002</v>
      </c>
      <c r="AS704">
        <v>8.1585080000000001E-3</v>
      </c>
      <c r="AT704">
        <v>0</v>
      </c>
      <c r="AU704" t="s">
        <v>66</v>
      </c>
      <c r="AV704">
        <v>1</v>
      </c>
      <c r="AW704">
        <v>1</v>
      </c>
      <c r="AX704">
        <v>0</v>
      </c>
      <c r="AY704">
        <v>1</v>
      </c>
      <c r="AZ704">
        <v>1</v>
      </c>
      <c r="BA704">
        <v>1</v>
      </c>
      <c r="BB704" t="s">
        <v>66</v>
      </c>
      <c r="BC704">
        <v>59</v>
      </c>
      <c r="BD704">
        <v>60.1</v>
      </c>
      <c r="BE704">
        <v>1.8644067799999999</v>
      </c>
      <c r="BF704">
        <v>0</v>
      </c>
      <c r="BG704">
        <v>60.1</v>
      </c>
      <c r="BH704">
        <v>1.8644067799999999</v>
      </c>
      <c r="BI704">
        <v>300</v>
      </c>
      <c r="BJ704">
        <v>39.4</v>
      </c>
      <c r="BK704">
        <v>17.600000000000001</v>
      </c>
      <c r="BL704">
        <v>201</v>
      </c>
      <c r="BM704">
        <v>120</v>
      </c>
      <c r="BN704">
        <v>100</v>
      </c>
      <c r="BO704">
        <f t="shared" si="108"/>
        <v>110</v>
      </c>
      <c r="BP704">
        <v>4</v>
      </c>
      <c r="BQ704">
        <v>1</v>
      </c>
      <c r="BR704" t="s">
        <v>874</v>
      </c>
      <c r="BS704">
        <v>1</v>
      </c>
      <c r="BT704">
        <f t="shared" si="109"/>
        <v>32.666666666666664</v>
      </c>
      <c r="BU704">
        <f t="shared" si="110"/>
        <v>34.010152284263953</v>
      </c>
      <c r="BV704">
        <f t="shared" si="111"/>
        <v>31.840796019900498</v>
      </c>
      <c r="BW704">
        <f t="shared" si="112"/>
        <v>40</v>
      </c>
    </row>
    <row r="705" spans="1:75" x14ac:dyDescent="0.2">
      <c r="A705" t="s">
        <v>299</v>
      </c>
      <c r="B705" t="s">
        <v>300</v>
      </c>
      <c r="C705" t="s">
        <v>62</v>
      </c>
      <c r="D705" t="s">
        <v>342</v>
      </c>
      <c r="E705" t="s">
        <v>357</v>
      </c>
      <c r="F705" t="s">
        <v>570</v>
      </c>
      <c r="G705">
        <v>8.0500000000000007</v>
      </c>
      <c r="H705">
        <v>11.7</v>
      </c>
      <c r="I705">
        <v>17.45</v>
      </c>
      <c r="J705">
        <v>6.05</v>
      </c>
      <c r="K705">
        <v>43.25</v>
      </c>
      <c r="L705">
        <v>3.6211180120000002</v>
      </c>
      <c r="M705">
        <v>25</v>
      </c>
      <c r="N705">
        <v>13</v>
      </c>
      <c r="O705">
        <v>-12</v>
      </c>
      <c r="P705">
        <v>12</v>
      </c>
      <c r="Q705">
        <v>-13</v>
      </c>
      <c r="R705">
        <v>-6.5</v>
      </c>
      <c r="S705">
        <v>34.1</v>
      </c>
      <c r="T705">
        <v>-52</v>
      </c>
      <c r="U705">
        <v>-7.692307692</v>
      </c>
      <c r="V705">
        <v>2</v>
      </c>
      <c r="W705">
        <v>1</v>
      </c>
      <c r="X705">
        <v>1</v>
      </c>
      <c r="Y705">
        <v>-1</v>
      </c>
      <c r="Z705">
        <v>-50</v>
      </c>
      <c r="AA705" t="s">
        <v>66</v>
      </c>
      <c r="AB705" t="s">
        <v>66</v>
      </c>
      <c r="AC705" t="s">
        <v>66</v>
      </c>
      <c r="AD705" t="s">
        <v>66</v>
      </c>
      <c r="AE705">
        <v>4</v>
      </c>
      <c r="AF705">
        <v>2</v>
      </c>
      <c r="AG705" t="s">
        <v>66</v>
      </c>
      <c r="AH705">
        <v>7</v>
      </c>
      <c r="AI705">
        <v>5</v>
      </c>
      <c r="AJ705" t="s">
        <v>66</v>
      </c>
      <c r="AK705">
        <v>5</v>
      </c>
      <c r="AL705">
        <v>2</v>
      </c>
      <c r="AM705">
        <v>6</v>
      </c>
      <c r="AN705">
        <v>3.5</v>
      </c>
      <c r="AO705">
        <v>-41.666666669999998</v>
      </c>
      <c r="AP705">
        <v>-50</v>
      </c>
      <c r="AQ705">
        <v>0.66666666699999999</v>
      </c>
      <c r="AR705">
        <v>0.571428571</v>
      </c>
      <c r="AS705">
        <v>-9.5238095999999994E-2</v>
      </c>
      <c r="AT705">
        <v>0</v>
      </c>
      <c r="AU705" t="s">
        <v>66</v>
      </c>
      <c r="AV705">
        <v>1</v>
      </c>
      <c r="AW705">
        <v>4</v>
      </c>
      <c r="AX705">
        <v>0</v>
      </c>
      <c r="AY705">
        <v>1</v>
      </c>
      <c r="AZ705">
        <v>1</v>
      </c>
      <c r="BA705">
        <v>1</v>
      </c>
      <c r="BB705" t="s">
        <v>66</v>
      </c>
      <c r="BC705">
        <v>35.5</v>
      </c>
      <c r="BD705">
        <v>26.5</v>
      </c>
      <c r="BE705">
        <v>-25.352112680000001</v>
      </c>
      <c r="BF705">
        <v>0</v>
      </c>
      <c r="BG705">
        <v>26.5</v>
      </c>
      <c r="BH705">
        <v>-25.352112680000001</v>
      </c>
      <c r="BI705" t="s">
        <v>66</v>
      </c>
      <c r="BJ705" t="s">
        <v>66</v>
      </c>
      <c r="BK705" t="s">
        <v>66</v>
      </c>
      <c r="BL705" t="s">
        <v>66</v>
      </c>
      <c r="BM705" t="s">
        <v>66</v>
      </c>
      <c r="BN705" t="s">
        <v>66</v>
      </c>
      <c r="BO705" t="s">
        <v>66</v>
      </c>
      <c r="BP705" t="s">
        <v>66</v>
      </c>
      <c r="BQ705">
        <v>0</v>
      </c>
      <c r="BR705" t="s">
        <v>879</v>
      </c>
      <c r="BS705">
        <v>1</v>
      </c>
      <c r="BT705" t="s">
        <v>66</v>
      </c>
      <c r="BU705" t="s">
        <v>66</v>
      </c>
      <c r="BV705" t="s">
        <v>66</v>
      </c>
      <c r="BW705" t="s">
        <v>66</v>
      </c>
    </row>
    <row r="706" spans="1:75" x14ac:dyDescent="0.2">
      <c r="A706" t="s">
        <v>299</v>
      </c>
      <c r="B706" t="s">
        <v>300</v>
      </c>
      <c r="C706" t="s">
        <v>62</v>
      </c>
      <c r="D706" t="s">
        <v>342</v>
      </c>
      <c r="E706" t="s">
        <v>355</v>
      </c>
      <c r="F706" t="s">
        <v>569</v>
      </c>
      <c r="G706">
        <v>8.0500000000000007</v>
      </c>
      <c r="H706">
        <v>11.7</v>
      </c>
      <c r="I706">
        <v>17.45</v>
      </c>
      <c r="J706">
        <v>6.05</v>
      </c>
      <c r="K706">
        <v>43.25</v>
      </c>
      <c r="L706">
        <v>3.6211180120000002</v>
      </c>
      <c r="M706">
        <v>109</v>
      </c>
      <c r="N706">
        <v>108</v>
      </c>
      <c r="O706">
        <v>-1</v>
      </c>
      <c r="P706">
        <v>91</v>
      </c>
      <c r="Q706">
        <v>-18</v>
      </c>
      <c r="R706">
        <v>-9</v>
      </c>
      <c r="S706">
        <v>29.1</v>
      </c>
      <c r="T706">
        <v>-16.513761469999999</v>
      </c>
      <c r="U706">
        <v>-15.74074074</v>
      </c>
      <c r="V706">
        <v>11</v>
      </c>
      <c r="W706">
        <v>12</v>
      </c>
      <c r="X706">
        <v>18</v>
      </c>
      <c r="Y706">
        <v>7</v>
      </c>
      <c r="Z706">
        <v>63.636363639999999</v>
      </c>
      <c r="AA706" t="s">
        <v>66</v>
      </c>
      <c r="AB706" t="s">
        <v>66</v>
      </c>
      <c r="AC706" t="s">
        <v>66</v>
      </c>
      <c r="AD706" t="s">
        <v>66</v>
      </c>
      <c r="AE706">
        <v>78</v>
      </c>
      <c r="AF706">
        <v>62</v>
      </c>
      <c r="AG706" t="s">
        <v>66</v>
      </c>
      <c r="AH706">
        <v>81</v>
      </c>
      <c r="AI706">
        <v>45</v>
      </c>
      <c r="AJ706" t="s">
        <v>66</v>
      </c>
      <c r="AK706">
        <v>50</v>
      </c>
      <c r="AL706">
        <v>29</v>
      </c>
      <c r="AM706">
        <v>65.5</v>
      </c>
      <c r="AN706">
        <v>37</v>
      </c>
      <c r="AO706">
        <v>-43.511450379999999</v>
      </c>
      <c r="AP706">
        <v>-20.512820510000001</v>
      </c>
      <c r="AQ706">
        <v>1.190839695</v>
      </c>
      <c r="AR706">
        <v>1.675675676</v>
      </c>
      <c r="AS706">
        <v>0.48483598100000003</v>
      </c>
      <c r="AT706">
        <v>0</v>
      </c>
      <c r="AU706" t="s">
        <v>66</v>
      </c>
      <c r="AV706">
        <v>1</v>
      </c>
      <c r="AW706">
        <v>4</v>
      </c>
      <c r="AX706">
        <v>0</v>
      </c>
      <c r="AY706">
        <v>1</v>
      </c>
      <c r="AZ706">
        <v>1</v>
      </c>
      <c r="BA706">
        <v>1</v>
      </c>
      <c r="BB706" t="s">
        <v>66</v>
      </c>
      <c r="BC706">
        <v>37.4</v>
      </c>
      <c r="BD706">
        <v>51</v>
      </c>
      <c r="BE706">
        <v>36.363636360000001</v>
      </c>
      <c r="BF706">
        <v>0</v>
      </c>
      <c r="BG706">
        <v>51</v>
      </c>
      <c r="BH706">
        <v>36.363636360000001</v>
      </c>
      <c r="BI706">
        <v>113</v>
      </c>
      <c r="BJ706">
        <v>16.5</v>
      </c>
      <c r="BK706" t="s">
        <v>66</v>
      </c>
      <c r="BL706">
        <f>113-36</f>
        <v>77</v>
      </c>
      <c r="BM706">
        <v>45</v>
      </c>
      <c r="BN706">
        <v>34</v>
      </c>
      <c r="BO706">
        <f t="shared" ref="BO706:BO721" si="113">AVERAGE(BM706,BN706)</f>
        <v>39.5</v>
      </c>
      <c r="BP706">
        <v>4</v>
      </c>
      <c r="BQ706">
        <v>1</v>
      </c>
      <c r="BR706" t="s">
        <v>874</v>
      </c>
      <c r="BS706">
        <v>1</v>
      </c>
      <c r="BT706">
        <f t="shared" ref="BT706:BT721" si="114">(BI706-M706)/BI706*100</f>
        <v>3.5398230088495577</v>
      </c>
      <c r="BU706">
        <f t="shared" ref="BU706:BU721" si="115">(BJ706-V706)/BJ706*100</f>
        <v>33.333333333333329</v>
      </c>
      <c r="BV706">
        <f t="shared" ref="BV706:BV721" si="116">(BL706-AE706)/BL706*100</f>
        <v>-1.2987012987012987</v>
      </c>
      <c r="BW706">
        <f t="shared" ref="BW706:BW721" si="117">(BO706-AM706)/BO706*100</f>
        <v>-65.822784810126578</v>
      </c>
    </row>
    <row r="707" spans="1:75" x14ac:dyDescent="0.2">
      <c r="A707" t="s">
        <v>299</v>
      </c>
      <c r="B707" t="s">
        <v>300</v>
      </c>
      <c r="C707" t="s">
        <v>62</v>
      </c>
      <c r="D707" t="s">
        <v>342</v>
      </c>
      <c r="E707" t="s">
        <v>367</v>
      </c>
      <c r="F707" t="s">
        <v>575</v>
      </c>
      <c r="G707">
        <v>8.0500000000000007</v>
      </c>
      <c r="H707">
        <v>11.7</v>
      </c>
      <c r="I707">
        <v>17.45</v>
      </c>
      <c r="J707">
        <v>6.05</v>
      </c>
      <c r="K707">
        <v>43.25</v>
      </c>
      <c r="L707">
        <v>3.6211180120000002</v>
      </c>
      <c r="M707">
        <v>59</v>
      </c>
      <c r="N707">
        <v>68</v>
      </c>
      <c r="O707">
        <v>9</v>
      </c>
      <c r="P707">
        <v>69</v>
      </c>
      <c r="Q707">
        <v>10</v>
      </c>
      <c r="R707">
        <v>5</v>
      </c>
      <c r="S707">
        <v>57.1</v>
      </c>
      <c r="T707">
        <v>16.94915254</v>
      </c>
      <c r="U707">
        <v>1.4705882349999999</v>
      </c>
      <c r="V707">
        <v>5</v>
      </c>
      <c r="W707">
        <v>9</v>
      </c>
      <c r="X707">
        <v>10</v>
      </c>
      <c r="Y707">
        <v>5</v>
      </c>
      <c r="Z707">
        <v>100</v>
      </c>
      <c r="AA707" t="s">
        <v>66</v>
      </c>
      <c r="AB707" t="s">
        <v>66</v>
      </c>
      <c r="AC707" t="s">
        <v>66</v>
      </c>
      <c r="AD707" t="s">
        <v>66</v>
      </c>
      <c r="AE707">
        <v>36</v>
      </c>
      <c r="AF707">
        <v>30</v>
      </c>
      <c r="AG707" t="s">
        <v>66</v>
      </c>
      <c r="AH707">
        <v>31</v>
      </c>
      <c r="AI707">
        <v>27</v>
      </c>
      <c r="AJ707" t="s">
        <v>66</v>
      </c>
      <c r="AK707">
        <v>10</v>
      </c>
      <c r="AL707">
        <v>14</v>
      </c>
      <c r="AM707">
        <v>20.5</v>
      </c>
      <c r="AN707">
        <v>20.5</v>
      </c>
      <c r="AO707">
        <v>0</v>
      </c>
      <c r="AP707">
        <v>-16.666666670000001</v>
      </c>
      <c r="AQ707">
        <v>1.756097561</v>
      </c>
      <c r="AR707">
        <v>1.463414634</v>
      </c>
      <c r="AS707">
        <v>-0.29268292699999998</v>
      </c>
      <c r="AT707">
        <v>0</v>
      </c>
      <c r="AU707" t="s">
        <v>66</v>
      </c>
      <c r="AV707">
        <v>0</v>
      </c>
      <c r="AW707">
        <v>2</v>
      </c>
      <c r="AX707">
        <v>0</v>
      </c>
      <c r="AY707">
        <v>1</v>
      </c>
      <c r="AZ707">
        <v>1</v>
      </c>
      <c r="BA707">
        <v>1</v>
      </c>
      <c r="BB707" t="s">
        <v>66</v>
      </c>
      <c r="BC707">
        <v>34.700000000000003</v>
      </c>
      <c r="BD707">
        <v>40.799999999999997</v>
      </c>
      <c r="BE707">
        <v>17.579250720000001</v>
      </c>
      <c r="BF707">
        <v>0</v>
      </c>
      <c r="BG707">
        <v>40.799999999999997</v>
      </c>
      <c r="BH707">
        <v>17.579250720000001</v>
      </c>
      <c r="BI707">
        <v>80</v>
      </c>
      <c r="BJ707">
        <v>10.6</v>
      </c>
      <c r="BK707" t="s">
        <v>66</v>
      </c>
      <c r="BL707">
        <v>32</v>
      </c>
      <c r="BM707">
        <v>20</v>
      </c>
      <c r="BN707">
        <v>14</v>
      </c>
      <c r="BO707">
        <f t="shared" si="113"/>
        <v>17</v>
      </c>
      <c r="BP707">
        <v>4</v>
      </c>
      <c r="BQ707">
        <v>1</v>
      </c>
      <c r="BR707" t="s">
        <v>879</v>
      </c>
      <c r="BS707">
        <v>1</v>
      </c>
      <c r="BT707">
        <f t="shared" si="114"/>
        <v>26.25</v>
      </c>
      <c r="BU707">
        <f t="shared" si="115"/>
        <v>52.830188679245282</v>
      </c>
      <c r="BV707">
        <f t="shared" si="116"/>
        <v>-12.5</v>
      </c>
      <c r="BW707">
        <f t="shared" si="117"/>
        <v>-20.588235294117645</v>
      </c>
    </row>
    <row r="708" spans="1:75" x14ac:dyDescent="0.2">
      <c r="A708" t="s">
        <v>299</v>
      </c>
      <c r="B708" t="s">
        <v>300</v>
      </c>
      <c r="C708" t="s">
        <v>62</v>
      </c>
      <c r="D708" t="s">
        <v>342</v>
      </c>
      <c r="E708" t="s">
        <v>349</v>
      </c>
      <c r="F708" t="s">
        <v>566</v>
      </c>
      <c r="G708">
        <v>8.0500000000000007</v>
      </c>
      <c r="H708">
        <v>11.7</v>
      </c>
      <c r="I708">
        <v>17.45</v>
      </c>
      <c r="J708">
        <v>6.05</v>
      </c>
      <c r="K708">
        <v>43.25</v>
      </c>
      <c r="L708">
        <v>3.6211180120000002</v>
      </c>
      <c r="M708">
        <v>134</v>
      </c>
      <c r="N708">
        <v>223</v>
      </c>
      <c r="O708">
        <v>89</v>
      </c>
      <c r="P708">
        <v>189</v>
      </c>
      <c r="Q708">
        <v>55</v>
      </c>
      <c r="R708">
        <v>27.5</v>
      </c>
      <c r="S708">
        <v>102.1</v>
      </c>
      <c r="T708">
        <v>41.044776120000002</v>
      </c>
      <c r="U708">
        <v>-15.24663677</v>
      </c>
      <c r="V708">
        <v>14</v>
      </c>
      <c r="W708">
        <v>18</v>
      </c>
      <c r="X708">
        <v>16</v>
      </c>
      <c r="Y708">
        <v>2</v>
      </c>
      <c r="Z708">
        <v>14.28571429</v>
      </c>
      <c r="AA708" t="s">
        <v>66</v>
      </c>
      <c r="AB708">
        <v>6</v>
      </c>
      <c r="AC708">
        <v>7</v>
      </c>
      <c r="AD708" t="s">
        <v>66</v>
      </c>
      <c r="AE708">
        <v>169</v>
      </c>
      <c r="AF708">
        <v>91</v>
      </c>
      <c r="AG708" t="s">
        <v>66</v>
      </c>
      <c r="AH708">
        <v>71</v>
      </c>
      <c r="AI708">
        <v>68</v>
      </c>
      <c r="AJ708" t="s">
        <v>66</v>
      </c>
      <c r="AK708">
        <v>43</v>
      </c>
      <c r="AL708">
        <v>52</v>
      </c>
      <c r="AM708">
        <v>57</v>
      </c>
      <c r="AN708">
        <v>60</v>
      </c>
      <c r="AO708">
        <v>5.263157895</v>
      </c>
      <c r="AP708">
        <v>-46.15384615</v>
      </c>
      <c r="AQ708">
        <v>2.9649122810000001</v>
      </c>
      <c r="AR708">
        <v>1.516666667</v>
      </c>
      <c r="AS708">
        <v>-1.448245614</v>
      </c>
      <c r="AT708">
        <v>0</v>
      </c>
      <c r="AU708" t="s">
        <v>66</v>
      </c>
      <c r="AV708">
        <v>1</v>
      </c>
      <c r="AW708">
        <v>3</v>
      </c>
      <c r="AX708">
        <v>1</v>
      </c>
      <c r="AY708">
        <v>1</v>
      </c>
      <c r="AZ708">
        <v>1</v>
      </c>
      <c r="BA708">
        <v>1</v>
      </c>
      <c r="BB708" t="s">
        <v>66</v>
      </c>
      <c r="BC708">
        <v>43.8</v>
      </c>
      <c r="BD708">
        <v>49.7</v>
      </c>
      <c r="BE708">
        <v>13.470319630000001</v>
      </c>
      <c r="BF708">
        <v>0</v>
      </c>
      <c r="BG708">
        <v>49.7</v>
      </c>
      <c r="BH708">
        <v>13.470319630000001</v>
      </c>
      <c r="BI708">
        <v>215</v>
      </c>
      <c r="BJ708">
        <v>21.1</v>
      </c>
      <c r="BK708">
        <v>6.2</v>
      </c>
      <c r="BL708">
        <v>185</v>
      </c>
      <c r="BM708">
        <v>69</v>
      </c>
      <c r="BN708">
        <v>36</v>
      </c>
      <c r="BO708">
        <f t="shared" si="113"/>
        <v>52.5</v>
      </c>
      <c r="BP708">
        <v>4</v>
      </c>
      <c r="BQ708">
        <v>1</v>
      </c>
      <c r="BR708" t="s">
        <v>874</v>
      </c>
      <c r="BS708">
        <v>1</v>
      </c>
      <c r="BT708">
        <f t="shared" si="114"/>
        <v>37.674418604651159</v>
      </c>
      <c r="BU708">
        <f t="shared" si="115"/>
        <v>33.649289099526072</v>
      </c>
      <c r="BV708">
        <f t="shared" si="116"/>
        <v>8.6486486486486491</v>
      </c>
      <c r="BW708">
        <f t="shared" si="117"/>
        <v>-8.5714285714285712</v>
      </c>
    </row>
    <row r="709" spans="1:75" x14ac:dyDescent="0.2">
      <c r="A709" t="s">
        <v>299</v>
      </c>
      <c r="B709" t="s">
        <v>300</v>
      </c>
      <c r="C709" t="s">
        <v>62</v>
      </c>
      <c r="D709" t="s">
        <v>342</v>
      </c>
      <c r="E709" t="s">
        <v>365</v>
      </c>
      <c r="F709" t="s">
        <v>574</v>
      </c>
      <c r="G709">
        <v>8.0500000000000007</v>
      </c>
      <c r="H709">
        <v>11.7</v>
      </c>
      <c r="I709">
        <v>17.45</v>
      </c>
      <c r="J709">
        <v>6.05</v>
      </c>
      <c r="K709">
        <v>43.25</v>
      </c>
      <c r="L709">
        <v>3.6211180120000002</v>
      </c>
      <c r="M709">
        <v>214</v>
      </c>
      <c r="N709">
        <v>225</v>
      </c>
      <c r="O709">
        <v>11</v>
      </c>
      <c r="P709">
        <v>262</v>
      </c>
      <c r="Q709">
        <v>48</v>
      </c>
      <c r="R709">
        <v>24</v>
      </c>
      <c r="S709">
        <v>95.1</v>
      </c>
      <c r="T709">
        <v>22.429906540000001</v>
      </c>
      <c r="U709">
        <v>16.444444440000002</v>
      </c>
      <c r="V709">
        <v>36</v>
      </c>
      <c r="W709">
        <v>53</v>
      </c>
      <c r="X709">
        <v>47</v>
      </c>
      <c r="Y709">
        <v>11</v>
      </c>
      <c r="Z709">
        <v>30.555555559999998</v>
      </c>
      <c r="AA709">
        <v>11</v>
      </c>
      <c r="AB709">
        <v>15</v>
      </c>
      <c r="AC709">
        <v>14</v>
      </c>
      <c r="AD709" t="s">
        <v>66</v>
      </c>
      <c r="AE709">
        <v>247</v>
      </c>
      <c r="AF709">
        <v>223</v>
      </c>
      <c r="AG709" t="s">
        <v>66</v>
      </c>
      <c r="AH709">
        <v>128</v>
      </c>
      <c r="AI709">
        <v>112</v>
      </c>
      <c r="AJ709" t="s">
        <v>66</v>
      </c>
      <c r="AK709">
        <v>66</v>
      </c>
      <c r="AL709">
        <v>85</v>
      </c>
      <c r="AM709">
        <v>97</v>
      </c>
      <c r="AN709">
        <v>98.5</v>
      </c>
      <c r="AO709">
        <v>1.546391753</v>
      </c>
      <c r="AP709">
        <v>-9.7165991900000002</v>
      </c>
      <c r="AQ709">
        <v>2.546391753</v>
      </c>
      <c r="AR709">
        <v>2.2639593910000002</v>
      </c>
      <c r="AS709">
        <v>-0.28243236199999999</v>
      </c>
      <c r="AT709">
        <v>0</v>
      </c>
      <c r="AU709" t="s">
        <v>66</v>
      </c>
      <c r="AV709">
        <v>2</v>
      </c>
      <c r="AW709">
        <v>2</v>
      </c>
      <c r="AX709">
        <v>1</v>
      </c>
      <c r="AY709">
        <v>1</v>
      </c>
      <c r="AZ709">
        <v>1</v>
      </c>
      <c r="BA709">
        <v>1</v>
      </c>
      <c r="BB709" t="s">
        <v>66</v>
      </c>
      <c r="BC709">
        <v>55.5</v>
      </c>
      <c r="BD709">
        <v>37.5</v>
      </c>
      <c r="BE709">
        <v>-32.432432429999999</v>
      </c>
      <c r="BF709">
        <v>0</v>
      </c>
      <c r="BG709">
        <v>37.5</v>
      </c>
      <c r="BH709">
        <v>-32.432432429999999</v>
      </c>
      <c r="BI709">
        <v>350</v>
      </c>
      <c r="BJ709">
        <v>54.6</v>
      </c>
      <c r="BK709">
        <v>22.4</v>
      </c>
      <c r="BL709">
        <v>293</v>
      </c>
      <c r="BM709">
        <v>115</v>
      </c>
      <c r="BN709">
        <v>100</v>
      </c>
      <c r="BO709">
        <f t="shared" si="113"/>
        <v>107.5</v>
      </c>
      <c r="BP709">
        <v>4</v>
      </c>
      <c r="BQ709">
        <v>1</v>
      </c>
      <c r="BR709" t="s">
        <v>874</v>
      </c>
      <c r="BS709">
        <v>1</v>
      </c>
      <c r="BT709">
        <f t="shared" si="114"/>
        <v>38.857142857142854</v>
      </c>
      <c r="BU709">
        <f t="shared" si="115"/>
        <v>34.065934065934066</v>
      </c>
      <c r="BV709">
        <f t="shared" si="116"/>
        <v>15.699658703071673</v>
      </c>
      <c r="BW709">
        <f t="shared" si="117"/>
        <v>9.7674418604651159</v>
      </c>
    </row>
    <row r="710" spans="1:75" x14ac:dyDescent="0.2">
      <c r="A710" t="s">
        <v>299</v>
      </c>
      <c r="B710" t="s">
        <v>300</v>
      </c>
      <c r="C710" t="s">
        <v>62</v>
      </c>
      <c r="D710" t="s">
        <v>342</v>
      </c>
      <c r="E710" t="s">
        <v>369</v>
      </c>
      <c r="F710" t="s">
        <v>576</v>
      </c>
      <c r="G710">
        <v>8.0500000000000007</v>
      </c>
      <c r="H710">
        <v>11.7</v>
      </c>
      <c r="I710">
        <v>17.45</v>
      </c>
      <c r="J710">
        <v>6.05</v>
      </c>
      <c r="K710">
        <v>43.25</v>
      </c>
      <c r="L710">
        <v>3.6211180120000002</v>
      </c>
      <c r="M710">
        <v>145</v>
      </c>
      <c r="N710">
        <v>185</v>
      </c>
      <c r="O710">
        <v>40</v>
      </c>
      <c r="P710">
        <v>187</v>
      </c>
      <c r="Q710">
        <v>42</v>
      </c>
      <c r="R710">
        <v>21</v>
      </c>
      <c r="S710">
        <v>89.1</v>
      </c>
      <c r="T710">
        <v>28.96551724</v>
      </c>
      <c r="U710">
        <v>1.081081081</v>
      </c>
      <c r="V710">
        <v>15</v>
      </c>
      <c r="W710">
        <v>22</v>
      </c>
      <c r="X710">
        <v>24</v>
      </c>
      <c r="Y710">
        <v>9</v>
      </c>
      <c r="Z710">
        <v>60</v>
      </c>
      <c r="AA710">
        <v>4</v>
      </c>
      <c r="AB710">
        <v>5</v>
      </c>
      <c r="AC710">
        <v>6</v>
      </c>
      <c r="AD710" t="s">
        <v>66</v>
      </c>
      <c r="AE710">
        <v>107</v>
      </c>
      <c r="AF710">
        <v>110</v>
      </c>
      <c r="AG710" t="s">
        <v>66</v>
      </c>
      <c r="AH710">
        <v>57</v>
      </c>
      <c r="AI710">
        <v>66</v>
      </c>
      <c r="AJ710" t="s">
        <v>66</v>
      </c>
      <c r="AK710">
        <v>41</v>
      </c>
      <c r="AL710">
        <v>48</v>
      </c>
      <c r="AM710">
        <v>49</v>
      </c>
      <c r="AN710">
        <v>57</v>
      </c>
      <c r="AO710">
        <v>16.326530609999999</v>
      </c>
      <c r="AP710">
        <v>2.8037383180000002</v>
      </c>
      <c r="AQ710">
        <v>2.1836734689999999</v>
      </c>
      <c r="AR710">
        <v>1.929824561</v>
      </c>
      <c r="AS710">
        <v>-0.25384890799999998</v>
      </c>
      <c r="AT710">
        <v>0</v>
      </c>
      <c r="AU710" t="s">
        <v>66</v>
      </c>
      <c r="AV710">
        <v>1</v>
      </c>
      <c r="AW710">
        <v>1</v>
      </c>
      <c r="AX710">
        <v>1</v>
      </c>
      <c r="AY710">
        <v>1</v>
      </c>
      <c r="AZ710">
        <v>1</v>
      </c>
      <c r="BA710">
        <v>1</v>
      </c>
      <c r="BB710" t="s">
        <v>66</v>
      </c>
      <c r="BC710">
        <v>48.4</v>
      </c>
      <c r="BD710">
        <v>38.5</v>
      </c>
      <c r="BE710">
        <v>-20.454545450000001</v>
      </c>
      <c r="BF710">
        <v>0</v>
      </c>
      <c r="BG710">
        <v>38.5</v>
      </c>
      <c r="BH710">
        <v>-20.454545450000001</v>
      </c>
      <c r="BI710">
        <v>228</v>
      </c>
      <c r="BJ710">
        <v>29.9</v>
      </c>
      <c r="BK710">
        <v>6.1</v>
      </c>
      <c r="BL710">
        <f>228-75</f>
        <v>153</v>
      </c>
      <c r="BM710">
        <v>65</v>
      </c>
      <c r="BN710">
        <v>38</v>
      </c>
      <c r="BO710">
        <f t="shared" si="113"/>
        <v>51.5</v>
      </c>
      <c r="BP710">
        <v>3</v>
      </c>
      <c r="BQ710">
        <v>1</v>
      </c>
      <c r="BR710" t="s">
        <v>874</v>
      </c>
      <c r="BS710">
        <v>1</v>
      </c>
      <c r="BT710">
        <f t="shared" si="114"/>
        <v>36.403508771929829</v>
      </c>
      <c r="BU710">
        <f t="shared" si="115"/>
        <v>49.832775919732441</v>
      </c>
      <c r="BV710">
        <f t="shared" si="116"/>
        <v>30.065359477124183</v>
      </c>
      <c r="BW710">
        <f t="shared" si="117"/>
        <v>4.8543689320388346</v>
      </c>
    </row>
    <row r="711" spans="1:75" x14ac:dyDescent="0.2">
      <c r="A711" t="s">
        <v>60</v>
      </c>
      <c r="B711" t="s">
        <v>61</v>
      </c>
      <c r="C711" t="s">
        <v>62</v>
      </c>
      <c r="D711" t="s">
        <v>342</v>
      </c>
      <c r="E711" t="s">
        <v>361</v>
      </c>
      <c r="F711" t="s">
        <v>362</v>
      </c>
      <c r="G711">
        <v>2.7</v>
      </c>
      <c r="H711">
        <v>5.9</v>
      </c>
      <c r="I711">
        <v>5.75</v>
      </c>
      <c r="J711">
        <v>3.6</v>
      </c>
      <c r="K711">
        <v>17.95</v>
      </c>
      <c r="L711">
        <v>4.3148148150000001</v>
      </c>
      <c r="M711">
        <v>142</v>
      </c>
      <c r="N711">
        <v>177</v>
      </c>
      <c r="O711">
        <v>35</v>
      </c>
      <c r="P711">
        <v>176</v>
      </c>
      <c r="Q711">
        <v>34</v>
      </c>
      <c r="R711">
        <v>17</v>
      </c>
      <c r="S711">
        <v>81.099999999999994</v>
      </c>
      <c r="T711">
        <v>23.943661970000001</v>
      </c>
      <c r="U711">
        <v>-0.56497175099999997</v>
      </c>
      <c r="V711">
        <v>12</v>
      </c>
      <c r="W711">
        <v>15</v>
      </c>
      <c r="X711">
        <v>17</v>
      </c>
      <c r="Y711">
        <v>5</v>
      </c>
      <c r="Z711">
        <v>41.666666669999998</v>
      </c>
      <c r="AA711">
        <v>3</v>
      </c>
      <c r="AB711">
        <v>3</v>
      </c>
      <c r="AC711">
        <v>3</v>
      </c>
      <c r="AD711" t="s">
        <v>66</v>
      </c>
      <c r="AE711">
        <v>136</v>
      </c>
      <c r="AF711">
        <v>163</v>
      </c>
      <c r="AG711" t="s">
        <v>66</v>
      </c>
      <c r="AH711">
        <v>60</v>
      </c>
      <c r="AI711">
        <v>80</v>
      </c>
      <c r="AJ711" t="s">
        <v>66</v>
      </c>
      <c r="AK711">
        <v>42</v>
      </c>
      <c r="AL711">
        <v>44</v>
      </c>
      <c r="AM711">
        <v>51</v>
      </c>
      <c r="AN711">
        <v>62</v>
      </c>
      <c r="AO711">
        <v>21.568627450000001</v>
      </c>
      <c r="AP711">
        <v>19.852941179999998</v>
      </c>
      <c r="AQ711">
        <v>2.6666666669999999</v>
      </c>
      <c r="AR711">
        <v>2.6290322580000001</v>
      </c>
      <c r="AS711">
        <v>-3.7634409000000001E-2</v>
      </c>
      <c r="AT711">
        <v>0</v>
      </c>
      <c r="AU711" t="s">
        <v>66</v>
      </c>
      <c r="AV711">
        <v>1</v>
      </c>
      <c r="AW711">
        <v>2</v>
      </c>
      <c r="AX711">
        <v>0</v>
      </c>
      <c r="AY711">
        <v>1</v>
      </c>
      <c r="AZ711">
        <v>1</v>
      </c>
      <c r="BA711">
        <v>1</v>
      </c>
      <c r="BB711" t="s">
        <v>66</v>
      </c>
      <c r="BC711">
        <v>48.5</v>
      </c>
      <c r="BD711">
        <v>80.099999999999994</v>
      </c>
      <c r="BE711">
        <v>65.154639180000004</v>
      </c>
      <c r="BF711">
        <v>1</v>
      </c>
      <c r="BG711">
        <v>80.099999999999994</v>
      </c>
      <c r="BH711">
        <v>65.154639180000004</v>
      </c>
      <c r="BI711">
        <v>212</v>
      </c>
      <c r="BJ711">
        <v>18.3</v>
      </c>
      <c r="BK711">
        <v>7.3</v>
      </c>
      <c r="BL711">
        <f>212-26</f>
        <v>186</v>
      </c>
      <c r="BM711">
        <v>113</v>
      </c>
      <c r="BN711">
        <v>72</v>
      </c>
      <c r="BO711">
        <f t="shared" si="113"/>
        <v>92.5</v>
      </c>
      <c r="BP711">
        <v>4</v>
      </c>
      <c r="BQ711">
        <v>1</v>
      </c>
      <c r="BR711" t="s">
        <v>874</v>
      </c>
      <c r="BS711">
        <v>1</v>
      </c>
      <c r="BT711">
        <f t="shared" si="114"/>
        <v>33.018867924528301</v>
      </c>
      <c r="BU711">
        <f t="shared" si="115"/>
        <v>34.426229508196727</v>
      </c>
      <c r="BV711">
        <f t="shared" si="116"/>
        <v>26.881720430107524</v>
      </c>
      <c r="BW711">
        <f t="shared" si="117"/>
        <v>44.86486486486487</v>
      </c>
    </row>
    <row r="712" spans="1:75" x14ac:dyDescent="0.2">
      <c r="A712" t="s">
        <v>60</v>
      </c>
      <c r="B712" t="s">
        <v>61</v>
      </c>
      <c r="C712" t="s">
        <v>62</v>
      </c>
      <c r="D712" t="s">
        <v>342</v>
      </c>
      <c r="E712" t="s">
        <v>343</v>
      </c>
      <c r="F712" t="s">
        <v>344</v>
      </c>
      <c r="G712">
        <v>2.7</v>
      </c>
      <c r="H712">
        <v>5.9</v>
      </c>
      <c r="I712">
        <v>5.75</v>
      </c>
      <c r="J712">
        <v>3.6</v>
      </c>
      <c r="K712">
        <v>17.95</v>
      </c>
      <c r="L712">
        <v>4.3148148150000001</v>
      </c>
      <c r="M712">
        <v>150</v>
      </c>
      <c r="N712">
        <v>189</v>
      </c>
      <c r="O712">
        <v>39</v>
      </c>
      <c r="P712">
        <v>193</v>
      </c>
      <c r="Q712">
        <v>43</v>
      </c>
      <c r="R712">
        <v>21.5</v>
      </c>
      <c r="S712">
        <v>90.1</v>
      </c>
      <c r="T712">
        <v>28.666666670000001</v>
      </c>
      <c r="U712">
        <v>2.1164021160000002</v>
      </c>
      <c r="V712">
        <v>14</v>
      </c>
      <c r="W712">
        <v>17</v>
      </c>
      <c r="X712">
        <v>20</v>
      </c>
      <c r="Y712">
        <v>6</v>
      </c>
      <c r="Z712">
        <v>42.857142860000003</v>
      </c>
      <c r="AA712" t="s">
        <v>66</v>
      </c>
      <c r="AB712">
        <v>5</v>
      </c>
      <c r="AC712">
        <v>6</v>
      </c>
      <c r="AD712" t="s">
        <v>66</v>
      </c>
      <c r="AE712">
        <v>167</v>
      </c>
      <c r="AF712">
        <v>161</v>
      </c>
      <c r="AG712" t="s">
        <v>66</v>
      </c>
      <c r="AH712">
        <v>68</v>
      </c>
      <c r="AI712">
        <v>78</v>
      </c>
      <c r="AJ712" t="s">
        <v>66</v>
      </c>
      <c r="AK712">
        <v>51</v>
      </c>
      <c r="AL712">
        <v>54</v>
      </c>
      <c r="AM712">
        <v>59.5</v>
      </c>
      <c r="AN712">
        <v>66</v>
      </c>
      <c r="AO712">
        <v>10.92436975</v>
      </c>
      <c r="AP712">
        <v>-3.5928143709999998</v>
      </c>
      <c r="AQ712">
        <v>2.8067226889999999</v>
      </c>
      <c r="AR712">
        <v>2.4393939389999999</v>
      </c>
      <c r="AS712">
        <v>-0.36732874999999998</v>
      </c>
      <c r="AT712">
        <v>0</v>
      </c>
      <c r="AU712" t="s">
        <v>66</v>
      </c>
      <c r="AV712">
        <v>2</v>
      </c>
      <c r="AW712">
        <v>2</v>
      </c>
      <c r="AX712">
        <v>0</v>
      </c>
      <c r="AY712">
        <v>1</v>
      </c>
      <c r="AZ712">
        <v>1</v>
      </c>
      <c r="BA712">
        <v>1</v>
      </c>
      <c r="BB712" t="s">
        <v>66</v>
      </c>
      <c r="BC712">
        <v>46.9</v>
      </c>
      <c r="BD712">
        <v>62.4</v>
      </c>
      <c r="BE712">
        <v>33.049040509999998</v>
      </c>
      <c r="BF712">
        <v>3</v>
      </c>
      <c r="BG712">
        <v>62.4</v>
      </c>
      <c r="BH712">
        <v>33.049040509999998</v>
      </c>
      <c r="BI712">
        <v>247</v>
      </c>
      <c r="BJ712">
        <v>25</v>
      </c>
      <c r="BK712">
        <v>8.8000000000000007</v>
      </c>
      <c r="BL712">
        <f>247-58</f>
        <v>189</v>
      </c>
      <c r="BM712">
        <v>121</v>
      </c>
      <c r="BN712">
        <v>62</v>
      </c>
      <c r="BO712">
        <f t="shared" si="113"/>
        <v>91.5</v>
      </c>
      <c r="BP712">
        <v>4</v>
      </c>
      <c r="BQ712">
        <v>1</v>
      </c>
      <c r="BR712" t="s">
        <v>873</v>
      </c>
      <c r="BS712">
        <v>1</v>
      </c>
      <c r="BT712">
        <f t="shared" si="114"/>
        <v>39.271255060728741</v>
      </c>
      <c r="BU712">
        <f t="shared" si="115"/>
        <v>44</v>
      </c>
      <c r="BV712">
        <f t="shared" si="116"/>
        <v>11.640211640211639</v>
      </c>
      <c r="BW712">
        <f t="shared" si="117"/>
        <v>34.972677595628419</v>
      </c>
    </row>
    <row r="713" spans="1:75" x14ac:dyDescent="0.2">
      <c r="A713" t="s">
        <v>60</v>
      </c>
      <c r="B713" t="s">
        <v>61</v>
      </c>
      <c r="C713" t="s">
        <v>62</v>
      </c>
      <c r="D713" t="s">
        <v>342</v>
      </c>
      <c r="E713" t="s">
        <v>345</v>
      </c>
      <c r="F713" t="s">
        <v>346</v>
      </c>
      <c r="G713">
        <v>2.7</v>
      </c>
      <c r="H713">
        <v>5.9</v>
      </c>
      <c r="I713">
        <v>5.75</v>
      </c>
      <c r="J713">
        <v>3.6</v>
      </c>
      <c r="K713">
        <v>17.95</v>
      </c>
      <c r="L713">
        <v>4.3148148150000001</v>
      </c>
      <c r="M713">
        <v>125</v>
      </c>
      <c r="N713">
        <v>183</v>
      </c>
      <c r="O713">
        <v>58</v>
      </c>
      <c r="P713">
        <v>217</v>
      </c>
      <c r="Q713">
        <v>92</v>
      </c>
      <c r="R713">
        <v>46</v>
      </c>
      <c r="S713">
        <v>139.1</v>
      </c>
      <c r="T713">
        <v>73.599999999999994</v>
      </c>
      <c r="U713">
        <v>18.579234970000002</v>
      </c>
      <c r="V713">
        <v>11</v>
      </c>
      <c r="W713">
        <v>23</v>
      </c>
      <c r="X713">
        <v>28</v>
      </c>
      <c r="Y713">
        <v>17</v>
      </c>
      <c r="Z713">
        <v>154.54545450000001</v>
      </c>
      <c r="AA713" t="s">
        <v>66</v>
      </c>
      <c r="AB713">
        <v>5</v>
      </c>
      <c r="AC713">
        <v>9</v>
      </c>
      <c r="AD713" t="s">
        <v>66</v>
      </c>
      <c r="AE713">
        <v>156</v>
      </c>
      <c r="AF713">
        <v>192</v>
      </c>
      <c r="AG713" t="s">
        <v>66</v>
      </c>
      <c r="AH713">
        <v>94</v>
      </c>
      <c r="AI713">
        <v>92</v>
      </c>
      <c r="AJ713" t="s">
        <v>66</v>
      </c>
      <c r="AK713">
        <v>63</v>
      </c>
      <c r="AL713">
        <v>83</v>
      </c>
      <c r="AM713">
        <v>78.5</v>
      </c>
      <c r="AN713">
        <v>87.5</v>
      </c>
      <c r="AO713">
        <v>11.464968150000001</v>
      </c>
      <c r="AP713">
        <v>23.07692308</v>
      </c>
      <c r="AQ713">
        <v>1.987261146</v>
      </c>
      <c r="AR713">
        <v>2.1942857139999998</v>
      </c>
      <c r="AS713">
        <v>0.20702456799999999</v>
      </c>
      <c r="AT713">
        <v>0</v>
      </c>
      <c r="AU713" t="s">
        <v>66</v>
      </c>
      <c r="AV713">
        <v>1</v>
      </c>
      <c r="AW713">
        <v>3</v>
      </c>
      <c r="AX713">
        <v>0</v>
      </c>
      <c r="AY713">
        <v>1</v>
      </c>
      <c r="AZ713">
        <v>1</v>
      </c>
      <c r="BA713">
        <v>1</v>
      </c>
      <c r="BB713" t="s">
        <v>66</v>
      </c>
      <c r="BC713">
        <v>44.6</v>
      </c>
      <c r="BD713">
        <v>70.2</v>
      </c>
      <c r="BE713">
        <v>57.399103140000001</v>
      </c>
      <c r="BF713">
        <v>4</v>
      </c>
      <c r="BG713">
        <v>70.2</v>
      </c>
      <c r="BH713">
        <v>57.399103140000001</v>
      </c>
      <c r="BI713">
        <v>278</v>
      </c>
      <c r="BJ713">
        <v>23.9</v>
      </c>
      <c r="BK713">
        <v>16.600000000000001</v>
      </c>
      <c r="BL713">
        <f>278-58</f>
        <v>220</v>
      </c>
      <c r="BM713">
        <v>89</v>
      </c>
      <c r="BN713">
        <v>80</v>
      </c>
      <c r="BO713">
        <f t="shared" si="113"/>
        <v>84.5</v>
      </c>
      <c r="BP713">
        <v>4</v>
      </c>
      <c r="BQ713">
        <v>1</v>
      </c>
      <c r="BR713" t="s">
        <v>873</v>
      </c>
      <c r="BS713">
        <v>1</v>
      </c>
      <c r="BT713">
        <f t="shared" si="114"/>
        <v>55.035971223021583</v>
      </c>
      <c r="BU713">
        <f t="shared" si="115"/>
        <v>53.97489539748954</v>
      </c>
      <c r="BV713">
        <f t="shared" si="116"/>
        <v>29.09090909090909</v>
      </c>
      <c r="BW713">
        <f t="shared" si="117"/>
        <v>7.1005917159763312</v>
      </c>
    </row>
    <row r="714" spans="1:75" x14ac:dyDescent="0.2">
      <c r="A714" t="s">
        <v>127</v>
      </c>
      <c r="B714" t="s">
        <v>128</v>
      </c>
      <c r="C714" t="s">
        <v>62</v>
      </c>
      <c r="D714" t="s">
        <v>342</v>
      </c>
      <c r="E714" t="s">
        <v>355</v>
      </c>
      <c r="F714" t="s">
        <v>409</v>
      </c>
      <c r="G714">
        <v>3.85</v>
      </c>
      <c r="H714">
        <v>7.5</v>
      </c>
      <c r="I714">
        <v>4.45</v>
      </c>
      <c r="J714">
        <v>0.95</v>
      </c>
      <c r="K714">
        <v>16.75</v>
      </c>
      <c r="L714">
        <v>3.1038961039999999</v>
      </c>
      <c r="M714">
        <v>118</v>
      </c>
      <c r="N714">
        <v>197</v>
      </c>
      <c r="O714">
        <v>79</v>
      </c>
      <c r="P714">
        <v>171</v>
      </c>
      <c r="Q714">
        <v>53</v>
      </c>
      <c r="R714">
        <v>26.5</v>
      </c>
      <c r="S714">
        <v>100.1</v>
      </c>
      <c r="T714">
        <v>44.915254240000003</v>
      </c>
      <c r="U714">
        <v>-13.197969540000001</v>
      </c>
      <c r="V714">
        <v>12</v>
      </c>
      <c r="W714">
        <v>17</v>
      </c>
      <c r="X714">
        <v>19</v>
      </c>
      <c r="Y714">
        <v>7</v>
      </c>
      <c r="Z714">
        <v>58.333333330000002</v>
      </c>
      <c r="AA714" t="s">
        <v>66</v>
      </c>
      <c r="AB714">
        <v>3</v>
      </c>
      <c r="AC714">
        <v>6</v>
      </c>
      <c r="AD714" t="s">
        <v>66</v>
      </c>
      <c r="AE714">
        <v>173</v>
      </c>
      <c r="AF714">
        <v>147</v>
      </c>
      <c r="AG714" t="s">
        <v>66</v>
      </c>
      <c r="AH714">
        <v>95</v>
      </c>
      <c r="AI714">
        <v>78</v>
      </c>
      <c r="AJ714" t="s">
        <v>66</v>
      </c>
      <c r="AK714">
        <v>68</v>
      </c>
      <c r="AL714">
        <v>59</v>
      </c>
      <c r="AM714">
        <v>81.5</v>
      </c>
      <c r="AN714">
        <v>68.5</v>
      </c>
      <c r="AO714">
        <v>-15.950920249999999</v>
      </c>
      <c r="AP714">
        <v>-15.028901729999999</v>
      </c>
      <c r="AQ714">
        <v>2.1226993869999999</v>
      </c>
      <c r="AR714">
        <v>2.1459854009999999</v>
      </c>
      <c r="AS714">
        <v>2.3286014000000001E-2</v>
      </c>
      <c r="AT714">
        <v>0</v>
      </c>
      <c r="AU714" t="s">
        <v>66</v>
      </c>
      <c r="AV714">
        <v>1</v>
      </c>
      <c r="AW714">
        <v>1</v>
      </c>
      <c r="AX714">
        <v>1</v>
      </c>
      <c r="AY714">
        <v>1</v>
      </c>
      <c r="AZ714">
        <v>1</v>
      </c>
      <c r="BA714">
        <v>1</v>
      </c>
      <c r="BB714" t="s">
        <v>66</v>
      </c>
      <c r="BC714">
        <v>55.4</v>
      </c>
      <c r="BD714">
        <v>61.5</v>
      </c>
      <c r="BE714">
        <v>11.01083032</v>
      </c>
      <c r="BF714">
        <v>4</v>
      </c>
      <c r="BG714">
        <v>61.5</v>
      </c>
      <c r="BH714">
        <v>11.01083032</v>
      </c>
      <c r="BI714">
        <v>320</v>
      </c>
      <c r="BJ714">
        <v>11.4</v>
      </c>
      <c r="BK714">
        <v>12</v>
      </c>
      <c r="BL714">
        <f>320-48</f>
        <v>272</v>
      </c>
      <c r="BM714">
        <v>79</v>
      </c>
      <c r="BN714">
        <v>66</v>
      </c>
      <c r="BO714">
        <f t="shared" si="113"/>
        <v>72.5</v>
      </c>
      <c r="BP714">
        <v>4</v>
      </c>
      <c r="BQ714">
        <v>1</v>
      </c>
      <c r="BR714" t="s">
        <v>874</v>
      </c>
      <c r="BS714">
        <v>1</v>
      </c>
      <c r="BT714">
        <f t="shared" si="114"/>
        <v>63.125</v>
      </c>
      <c r="BU714">
        <f t="shared" si="115"/>
        <v>-5.2631578947368389</v>
      </c>
      <c r="BV714">
        <f t="shared" si="116"/>
        <v>36.397058823529413</v>
      </c>
      <c r="BW714">
        <f t="shared" si="117"/>
        <v>-12.413793103448276</v>
      </c>
    </row>
    <row r="715" spans="1:75" x14ac:dyDescent="0.2">
      <c r="A715" t="s">
        <v>170</v>
      </c>
      <c r="B715" t="s">
        <v>171</v>
      </c>
      <c r="C715" t="s">
        <v>62</v>
      </c>
      <c r="D715" t="s">
        <v>342</v>
      </c>
      <c r="E715" t="s">
        <v>361</v>
      </c>
      <c r="F715" t="s">
        <v>452</v>
      </c>
      <c r="G715">
        <v>2.65</v>
      </c>
      <c r="H715">
        <v>15.9</v>
      </c>
      <c r="I715">
        <v>15.75</v>
      </c>
      <c r="J715">
        <v>1.4</v>
      </c>
      <c r="K715">
        <v>35.700000000000003</v>
      </c>
      <c r="L715">
        <v>11.943396229999999</v>
      </c>
      <c r="M715">
        <v>124</v>
      </c>
      <c r="N715">
        <v>150</v>
      </c>
      <c r="O715">
        <v>26</v>
      </c>
      <c r="P715">
        <v>130</v>
      </c>
      <c r="Q715">
        <v>6</v>
      </c>
      <c r="R715">
        <v>3</v>
      </c>
      <c r="S715">
        <v>53.1</v>
      </c>
      <c r="T715">
        <v>4.8387096769999998</v>
      </c>
      <c r="U715">
        <v>-13.33333333</v>
      </c>
      <c r="V715">
        <v>14</v>
      </c>
      <c r="W715">
        <v>17</v>
      </c>
      <c r="X715">
        <v>17</v>
      </c>
      <c r="Y715">
        <v>3</v>
      </c>
      <c r="Z715">
        <v>21.428571430000002</v>
      </c>
      <c r="AA715" t="s">
        <v>66</v>
      </c>
      <c r="AB715">
        <v>1</v>
      </c>
      <c r="AC715" t="s">
        <v>66</v>
      </c>
      <c r="AD715" t="s">
        <v>66</v>
      </c>
      <c r="AE715">
        <v>82</v>
      </c>
      <c r="AF715">
        <v>39</v>
      </c>
      <c r="AG715" t="s">
        <v>66</v>
      </c>
      <c r="AH715">
        <v>49</v>
      </c>
      <c r="AI715">
        <v>49</v>
      </c>
      <c r="AJ715" t="s">
        <v>66</v>
      </c>
      <c r="AK715">
        <v>43</v>
      </c>
      <c r="AL715">
        <v>35</v>
      </c>
      <c r="AM715">
        <v>46</v>
      </c>
      <c r="AN715">
        <v>42</v>
      </c>
      <c r="AO715">
        <v>-8.6956521739999992</v>
      </c>
      <c r="AP715">
        <v>-52.43902439</v>
      </c>
      <c r="AQ715">
        <v>1.782608696</v>
      </c>
      <c r="AR715">
        <v>0.928571429</v>
      </c>
      <c r="AS715">
        <v>-0.85403726700000004</v>
      </c>
      <c r="AT715">
        <v>0</v>
      </c>
      <c r="AU715" t="s">
        <v>66</v>
      </c>
      <c r="AV715">
        <v>1</v>
      </c>
      <c r="AW715">
        <v>2</v>
      </c>
      <c r="AX715">
        <v>1</v>
      </c>
      <c r="AY715">
        <v>1</v>
      </c>
      <c r="AZ715">
        <v>1</v>
      </c>
      <c r="BA715">
        <v>1</v>
      </c>
      <c r="BB715" t="s">
        <v>66</v>
      </c>
      <c r="BC715">
        <v>47.7</v>
      </c>
      <c r="BD715">
        <v>49.4</v>
      </c>
      <c r="BE715">
        <v>3.5639413000000002</v>
      </c>
      <c r="BF715">
        <v>4</v>
      </c>
      <c r="BG715">
        <v>49.4</v>
      </c>
      <c r="BH715">
        <v>3.5639413000000002</v>
      </c>
      <c r="BI715">
        <v>184</v>
      </c>
      <c r="BJ715">
        <v>18</v>
      </c>
      <c r="BK715">
        <v>3.6</v>
      </c>
      <c r="BL715">
        <v>90</v>
      </c>
      <c r="BM715">
        <v>58</v>
      </c>
      <c r="BN715">
        <v>57</v>
      </c>
      <c r="BO715">
        <f t="shared" si="113"/>
        <v>57.5</v>
      </c>
      <c r="BP715">
        <v>4</v>
      </c>
      <c r="BQ715">
        <v>1</v>
      </c>
      <c r="BR715" t="s">
        <v>874</v>
      </c>
      <c r="BS715">
        <v>1</v>
      </c>
      <c r="BT715">
        <f t="shared" si="114"/>
        <v>32.608695652173914</v>
      </c>
      <c r="BU715">
        <f t="shared" si="115"/>
        <v>22.222222222222221</v>
      </c>
      <c r="BV715">
        <f t="shared" si="116"/>
        <v>8.8888888888888893</v>
      </c>
      <c r="BW715">
        <f t="shared" si="117"/>
        <v>20</v>
      </c>
    </row>
    <row r="716" spans="1:75" x14ac:dyDescent="0.2">
      <c r="A716" t="s">
        <v>127</v>
      </c>
      <c r="B716" t="s">
        <v>128</v>
      </c>
      <c r="C716" t="s">
        <v>62</v>
      </c>
      <c r="D716" t="s">
        <v>342</v>
      </c>
      <c r="E716" t="s">
        <v>379</v>
      </c>
      <c r="F716" t="s">
        <v>421</v>
      </c>
      <c r="G716">
        <v>3.85</v>
      </c>
      <c r="H716">
        <v>7.5</v>
      </c>
      <c r="I716">
        <v>4.45</v>
      </c>
      <c r="J716">
        <v>0.95</v>
      </c>
      <c r="K716">
        <v>16.75</v>
      </c>
      <c r="L716">
        <v>3.1038961039999999</v>
      </c>
      <c r="M716">
        <v>215</v>
      </c>
      <c r="N716">
        <v>260</v>
      </c>
      <c r="O716">
        <v>45</v>
      </c>
      <c r="P716">
        <v>301</v>
      </c>
      <c r="Q716">
        <v>86</v>
      </c>
      <c r="R716">
        <v>43</v>
      </c>
      <c r="S716">
        <v>133.1</v>
      </c>
      <c r="T716">
        <v>40</v>
      </c>
      <c r="U716">
        <v>15.76923077</v>
      </c>
      <c r="V716">
        <v>21</v>
      </c>
      <c r="W716">
        <v>48</v>
      </c>
      <c r="X716">
        <v>46</v>
      </c>
      <c r="Y716">
        <v>25</v>
      </c>
      <c r="Z716">
        <v>119.047619</v>
      </c>
      <c r="AA716">
        <v>7</v>
      </c>
      <c r="AB716">
        <v>12</v>
      </c>
      <c r="AC716">
        <v>15</v>
      </c>
      <c r="AD716" t="s">
        <v>66</v>
      </c>
      <c r="AE716">
        <v>238</v>
      </c>
      <c r="AF716">
        <v>280</v>
      </c>
      <c r="AG716" t="s">
        <v>66</v>
      </c>
      <c r="AH716">
        <v>155</v>
      </c>
      <c r="AI716">
        <v>111</v>
      </c>
      <c r="AJ716" t="s">
        <v>66</v>
      </c>
      <c r="AK716">
        <v>74</v>
      </c>
      <c r="AL716">
        <v>99</v>
      </c>
      <c r="AM716">
        <v>114.5</v>
      </c>
      <c r="AN716">
        <v>105</v>
      </c>
      <c r="AO716">
        <v>-8.2969432310000002</v>
      </c>
      <c r="AP716">
        <v>17.647058820000002</v>
      </c>
      <c r="AQ716">
        <v>2.0786026199999998</v>
      </c>
      <c r="AR716">
        <v>2.6666666669999999</v>
      </c>
      <c r="AS716">
        <v>0.58806404700000003</v>
      </c>
      <c r="AT716">
        <v>0</v>
      </c>
      <c r="AU716" t="s">
        <v>66</v>
      </c>
      <c r="AV716">
        <v>2</v>
      </c>
      <c r="AW716">
        <v>1</v>
      </c>
      <c r="AX716">
        <v>1</v>
      </c>
      <c r="AY716">
        <v>1</v>
      </c>
      <c r="AZ716">
        <v>1</v>
      </c>
      <c r="BA716">
        <v>1</v>
      </c>
      <c r="BB716" t="s">
        <v>66</v>
      </c>
      <c r="BC716">
        <v>76.599999999999994</v>
      </c>
      <c r="BD716">
        <v>68.5</v>
      </c>
      <c r="BE716">
        <v>-10.57441253</v>
      </c>
      <c r="BF716">
        <v>5</v>
      </c>
      <c r="BG716">
        <v>68.5</v>
      </c>
      <c r="BH716">
        <v>-10.57441253</v>
      </c>
      <c r="BI716">
        <v>430</v>
      </c>
      <c r="BJ716">
        <v>48.3</v>
      </c>
      <c r="BK716">
        <v>24.4</v>
      </c>
      <c r="BL716">
        <f>430-64</f>
        <v>366</v>
      </c>
      <c r="BM716">
        <v>117</v>
      </c>
      <c r="BN716">
        <v>108</v>
      </c>
      <c r="BO716">
        <f t="shared" si="113"/>
        <v>112.5</v>
      </c>
      <c r="BP716">
        <v>4</v>
      </c>
      <c r="BQ716">
        <v>1</v>
      </c>
      <c r="BR716" t="s">
        <v>874</v>
      </c>
      <c r="BS716">
        <v>1</v>
      </c>
      <c r="BT716">
        <f t="shared" si="114"/>
        <v>50</v>
      </c>
      <c r="BU716">
        <f t="shared" si="115"/>
        <v>56.521739130434781</v>
      </c>
      <c r="BV716">
        <f t="shared" si="116"/>
        <v>34.972677595628419</v>
      </c>
      <c r="BW716">
        <f t="shared" si="117"/>
        <v>-1.7777777777777777</v>
      </c>
    </row>
    <row r="717" spans="1:75" x14ac:dyDescent="0.2">
      <c r="A717" t="s">
        <v>170</v>
      </c>
      <c r="B717" t="s">
        <v>171</v>
      </c>
      <c r="C717" t="s">
        <v>62</v>
      </c>
      <c r="D717" t="s">
        <v>603</v>
      </c>
      <c r="E717" t="s">
        <v>612</v>
      </c>
      <c r="F717" t="s">
        <v>708</v>
      </c>
      <c r="G717">
        <v>2.65</v>
      </c>
      <c r="H717">
        <v>15.9</v>
      </c>
      <c r="I717">
        <v>15.75</v>
      </c>
      <c r="J717">
        <v>1.4</v>
      </c>
      <c r="K717">
        <v>35.700000000000003</v>
      </c>
      <c r="L717">
        <v>11.943396229999999</v>
      </c>
      <c r="M717">
        <v>18</v>
      </c>
      <c r="N717">
        <v>27</v>
      </c>
      <c r="O717">
        <v>9</v>
      </c>
      <c r="P717">
        <v>29</v>
      </c>
      <c r="Q717">
        <v>11</v>
      </c>
      <c r="R717">
        <v>5.5</v>
      </c>
      <c r="S717">
        <v>58.1</v>
      </c>
      <c r="T717">
        <v>61.111111110000003</v>
      </c>
      <c r="U717">
        <v>7.407407407</v>
      </c>
      <c r="V717">
        <v>3</v>
      </c>
      <c r="W717">
        <v>4</v>
      </c>
      <c r="X717">
        <v>5</v>
      </c>
      <c r="Y717">
        <v>2</v>
      </c>
      <c r="Z717">
        <v>66.666666669999998</v>
      </c>
      <c r="AA717" t="s">
        <v>66</v>
      </c>
      <c r="AB717" t="s">
        <v>66</v>
      </c>
      <c r="AC717" t="s">
        <v>66</v>
      </c>
      <c r="AD717" t="s">
        <v>66</v>
      </c>
      <c r="AE717">
        <v>20</v>
      </c>
      <c r="AF717">
        <v>24</v>
      </c>
      <c r="AG717" t="s">
        <v>66</v>
      </c>
      <c r="AH717">
        <v>12</v>
      </c>
      <c r="AI717">
        <v>16</v>
      </c>
      <c r="AJ717" t="s">
        <v>66</v>
      </c>
      <c r="AK717">
        <v>9</v>
      </c>
      <c r="AL717">
        <v>13</v>
      </c>
      <c r="AM717">
        <v>10.5</v>
      </c>
      <c r="AN717">
        <v>14.5</v>
      </c>
      <c r="AO717">
        <v>38.095238100000003</v>
      </c>
      <c r="AP717">
        <v>20</v>
      </c>
      <c r="AQ717">
        <v>1.904761905</v>
      </c>
      <c r="AR717">
        <v>1.6551724139999999</v>
      </c>
      <c r="AS717">
        <v>-0.249589491</v>
      </c>
      <c r="AT717">
        <v>0</v>
      </c>
      <c r="AU717" t="s">
        <v>66</v>
      </c>
      <c r="AV717">
        <v>0</v>
      </c>
      <c r="AW717">
        <v>0</v>
      </c>
      <c r="AX717">
        <v>0</v>
      </c>
      <c r="AY717">
        <v>1</v>
      </c>
      <c r="AZ717">
        <v>1</v>
      </c>
      <c r="BA717">
        <v>1</v>
      </c>
      <c r="BB717" t="s">
        <v>66</v>
      </c>
      <c r="BC717" t="s">
        <v>66</v>
      </c>
      <c r="BD717" t="s">
        <v>66</v>
      </c>
      <c r="BE717" t="s">
        <v>66</v>
      </c>
      <c r="BF717">
        <v>0</v>
      </c>
      <c r="BG717" t="s">
        <v>66</v>
      </c>
      <c r="BH717" t="s">
        <v>66</v>
      </c>
      <c r="BI717">
        <v>32</v>
      </c>
      <c r="BJ717">
        <v>4.7</v>
      </c>
      <c r="BK717" t="s">
        <v>66</v>
      </c>
      <c r="BL717">
        <v>21</v>
      </c>
      <c r="BM717">
        <v>22</v>
      </c>
      <c r="BN717">
        <v>12</v>
      </c>
      <c r="BO717">
        <f t="shared" si="113"/>
        <v>17</v>
      </c>
      <c r="BP717">
        <v>4</v>
      </c>
      <c r="BQ717">
        <v>1</v>
      </c>
      <c r="BR717" t="s">
        <v>879</v>
      </c>
      <c r="BS717">
        <v>1</v>
      </c>
      <c r="BT717">
        <f t="shared" si="114"/>
        <v>43.75</v>
      </c>
      <c r="BU717">
        <f t="shared" si="115"/>
        <v>36.170212765957451</v>
      </c>
      <c r="BV717">
        <f t="shared" si="116"/>
        <v>4.7619047619047619</v>
      </c>
      <c r="BW717">
        <f t="shared" si="117"/>
        <v>38.235294117647058</v>
      </c>
    </row>
    <row r="718" spans="1:75" x14ac:dyDescent="0.2">
      <c r="A718" t="s">
        <v>213</v>
      </c>
      <c r="B718" t="s">
        <v>214</v>
      </c>
      <c r="C718" t="s">
        <v>62</v>
      </c>
      <c r="D718" t="s">
        <v>603</v>
      </c>
      <c r="E718" t="s">
        <v>604</v>
      </c>
      <c r="F718" t="s">
        <v>744</v>
      </c>
      <c r="G718">
        <v>5</v>
      </c>
      <c r="H718">
        <v>6.75</v>
      </c>
      <c r="I718">
        <v>12.5</v>
      </c>
      <c r="J718">
        <v>15.2</v>
      </c>
      <c r="K718">
        <v>39.450000000000003</v>
      </c>
      <c r="L718">
        <v>3.85</v>
      </c>
      <c r="M718">
        <v>12</v>
      </c>
      <c r="N718">
        <v>16</v>
      </c>
      <c r="O718">
        <v>4</v>
      </c>
      <c r="P718">
        <v>18</v>
      </c>
      <c r="Q718">
        <v>6</v>
      </c>
      <c r="R718">
        <v>3</v>
      </c>
      <c r="S718">
        <v>53.1</v>
      </c>
      <c r="T718">
        <v>50</v>
      </c>
      <c r="U718">
        <v>12.5</v>
      </c>
      <c r="V718">
        <v>5</v>
      </c>
      <c r="W718">
        <v>3</v>
      </c>
      <c r="X718">
        <v>4</v>
      </c>
      <c r="Y718">
        <v>-1</v>
      </c>
      <c r="Z718">
        <v>-20</v>
      </c>
      <c r="AA718" t="s">
        <v>66</v>
      </c>
      <c r="AB718" t="s">
        <v>66</v>
      </c>
      <c r="AC718" t="s">
        <v>66</v>
      </c>
      <c r="AD718" t="s">
        <v>66</v>
      </c>
      <c r="AE718">
        <v>13</v>
      </c>
      <c r="AF718">
        <v>14</v>
      </c>
      <c r="AG718" t="s">
        <v>66</v>
      </c>
      <c r="AH718">
        <v>9</v>
      </c>
      <c r="AI718">
        <v>11</v>
      </c>
      <c r="AJ718" t="s">
        <v>66</v>
      </c>
      <c r="AK718">
        <v>5</v>
      </c>
      <c r="AL718">
        <v>4</v>
      </c>
      <c r="AM718">
        <v>7</v>
      </c>
      <c r="AN718">
        <v>7.5</v>
      </c>
      <c r="AO718">
        <v>7.1428571429999996</v>
      </c>
      <c r="AP718">
        <v>7.692307692</v>
      </c>
      <c r="AQ718">
        <v>1.8571428569999999</v>
      </c>
      <c r="AR718">
        <v>1.8666666670000001</v>
      </c>
      <c r="AS718">
        <v>9.5238100000000006E-3</v>
      </c>
      <c r="AT718">
        <v>0</v>
      </c>
      <c r="AU718" t="s">
        <v>66</v>
      </c>
      <c r="AV718">
        <v>0</v>
      </c>
      <c r="AW718">
        <v>0</v>
      </c>
      <c r="AX718">
        <v>0</v>
      </c>
      <c r="AY718">
        <v>1</v>
      </c>
      <c r="AZ718">
        <v>1</v>
      </c>
      <c r="BA718">
        <v>1</v>
      </c>
      <c r="BB718" t="s">
        <v>66</v>
      </c>
      <c r="BC718" t="s">
        <v>66</v>
      </c>
      <c r="BD718" t="s">
        <v>66</v>
      </c>
      <c r="BE718" t="s">
        <v>66</v>
      </c>
      <c r="BF718">
        <v>0</v>
      </c>
      <c r="BG718" t="s">
        <v>66</v>
      </c>
      <c r="BH718" t="s">
        <v>66</v>
      </c>
      <c r="BI718">
        <v>24</v>
      </c>
      <c r="BJ718">
        <v>3.4</v>
      </c>
      <c r="BK718" t="s">
        <v>66</v>
      </c>
      <c r="BL718">
        <v>20</v>
      </c>
      <c r="BM718">
        <v>15</v>
      </c>
      <c r="BN718">
        <v>11</v>
      </c>
      <c r="BO718">
        <f t="shared" si="113"/>
        <v>13</v>
      </c>
      <c r="BP718">
        <v>3</v>
      </c>
      <c r="BQ718">
        <v>1</v>
      </c>
      <c r="BR718" t="s">
        <v>879</v>
      </c>
      <c r="BS718">
        <v>1</v>
      </c>
      <c r="BT718">
        <f t="shared" si="114"/>
        <v>50</v>
      </c>
      <c r="BU718">
        <f t="shared" si="115"/>
        <v>-47.058823529411768</v>
      </c>
      <c r="BV718">
        <f t="shared" si="116"/>
        <v>35</v>
      </c>
      <c r="BW718">
        <f t="shared" si="117"/>
        <v>46.153846153846153</v>
      </c>
    </row>
    <row r="719" spans="1:75" x14ac:dyDescent="0.2">
      <c r="A719" t="s">
        <v>213</v>
      </c>
      <c r="B719" t="s">
        <v>214</v>
      </c>
      <c r="C719" t="s">
        <v>62</v>
      </c>
      <c r="D719" t="s">
        <v>603</v>
      </c>
      <c r="E719" t="s">
        <v>630</v>
      </c>
      <c r="F719" t="s">
        <v>757</v>
      </c>
      <c r="G719">
        <v>5</v>
      </c>
      <c r="H719">
        <v>6.75</v>
      </c>
      <c r="I719">
        <v>12.5</v>
      </c>
      <c r="J719">
        <v>15.2</v>
      </c>
      <c r="K719">
        <v>39.450000000000003</v>
      </c>
      <c r="L719">
        <v>3.85</v>
      </c>
      <c r="M719">
        <v>56</v>
      </c>
      <c r="N719">
        <v>70</v>
      </c>
      <c r="O719">
        <v>14</v>
      </c>
      <c r="P719">
        <v>86</v>
      </c>
      <c r="Q719">
        <v>30</v>
      </c>
      <c r="R719">
        <v>15</v>
      </c>
      <c r="S719">
        <v>77.099999999999994</v>
      </c>
      <c r="T719">
        <v>53.571428570000002</v>
      </c>
      <c r="U719">
        <v>22.85714286</v>
      </c>
      <c r="V719">
        <v>10</v>
      </c>
      <c r="W719">
        <v>12</v>
      </c>
      <c r="X719">
        <v>14</v>
      </c>
      <c r="Y719">
        <v>4</v>
      </c>
      <c r="Z719">
        <v>40</v>
      </c>
      <c r="AA719" t="s">
        <v>66</v>
      </c>
      <c r="AB719" t="s">
        <v>66</v>
      </c>
      <c r="AC719" t="s">
        <v>66</v>
      </c>
      <c r="AD719" t="s">
        <v>66</v>
      </c>
      <c r="AE719">
        <v>65</v>
      </c>
      <c r="AF719">
        <v>80</v>
      </c>
      <c r="AG719" t="s">
        <v>66</v>
      </c>
      <c r="AH719">
        <v>42</v>
      </c>
      <c r="AI719">
        <v>41</v>
      </c>
      <c r="AJ719" t="s">
        <v>66</v>
      </c>
      <c r="AK719">
        <v>28</v>
      </c>
      <c r="AL719">
        <v>33</v>
      </c>
      <c r="AM719">
        <v>35</v>
      </c>
      <c r="AN719">
        <v>37</v>
      </c>
      <c r="AO719">
        <v>5.7142857139999998</v>
      </c>
      <c r="AP719">
        <v>23.07692308</v>
      </c>
      <c r="AQ719">
        <v>1.8571428569999999</v>
      </c>
      <c r="AR719">
        <v>2.162162162</v>
      </c>
      <c r="AS719">
        <v>0.30501930500000002</v>
      </c>
      <c r="AT719">
        <v>0</v>
      </c>
      <c r="AU719" t="s">
        <v>66</v>
      </c>
      <c r="AV719">
        <v>0</v>
      </c>
      <c r="AW719">
        <v>0</v>
      </c>
      <c r="AX719">
        <v>0</v>
      </c>
      <c r="AY719">
        <v>1</v>
      </c>
      <c r="AZ719">
        <v>1</v>
      </c>
      <c r="BA719">
        <v>1</v>
      </c>
      <c r="BB719" t="s">
        <v>66</v>
      </c>
      <c r="BC719" t="s">
        <v>66</v>
      </c>
      <c r="BD719" t="s">
        <v>66</v>
      </c>
      <c r="BE719" t="s">
        <v>66</v>
      </c>
      <c r="BF719">
        <v>0</v>
      </c>
      <c r="BG719" t="s">
        <v>66</v>
      </c>
      <c r="BH719" t="s">
        <v>66</v>
      </c>
      <c r="BI719">
        <v>110</v>
      </c>
      <c r="BJ719">
        <v>19.7</v>
      </c>
      <c r="BK719" t="s">
        <v>66</v>
      </c>
      <c r="BL719">
        <v>106</v>
      </c>
      <c r="BM719">
        <v>56</v>
      </c>
      <c r="BN719">
        <v>50</v>
      </c>
      <c r="BO719">
        <f t="shared" si="113"/>
        <v>53</v>
      </c>
      <c r="BP719">
        <v>4</v>
      </c>
      <c r="BQ719">
        <v>1</v>
      </c>
      <c r="BR719" t="s">
        <v>879</v>
      </c>
      <c r="BS719">
        <v>1</v>
      </c>
      <c r="BT719">
        <f t="shared" si="114"/>
        <v>49.090909090909093</v>
      </c>
      <c r="BU719">
        <f t="shared" si="115"/>
        <v>49.238578680203041</v>
      </c>
      <c r="BV719">
        <f t="shared" si="116"/>
        <v>38.679245283018872</v>
      </c>
      <c r="BW719">
        <f t="shared" si="117"/>
        <v>33.962264150943398</v>
      </c>
    </row>
    <row r="720" spans="1:75" x14ac:dyDescent="0.2">
      <c r="A720" t="s">
        <v>213</v>
      </c>
      <c r="B720" t="s">
        <v>214</v>
      </c>
      <c r="C720" t="s">
        <v>62</v>
      </c>
      <c r="D720" t="s">
        <v>603</v>
      </c>
      <c r="E720" t="s">
        <v>636</v>
      </c>
      <c r="F720" t="s">
        <v>760</v>
      </c>
      <c r="G720">
        <v>5</v>
      </c>
      <c r="H720">
        <v>6.75</v>
      </c>
      <c r="I720">
        <v>12.5</v>
      </c>
      <c r="J720">
        <v>15.2</v>
      </c>
      <c r="K720">
        <v>39.450000000000003</v>
      </c>
      <c r="L720">
        <v>3.85</v>
      </c>
      <c r="M720">
        <v>25</v>
      </c>
      <c r="N720">
        <v>27</v>
      </c>
      <c r="O720">
        <v>2</v>
      </c>
      <c r="P720">
        <v>10</v>
      </c>
      <c r="Q720">
        <v>-15</v>
      </c>
      <c r="R720">
        <v>-7.5</v>
      </c>
      <c r="S720">
        <v>32.1</v>
      </c>
      <c r="T720">
        <v>-60</v>
      </c>
      <c r="U720">
        <v>-62.962962959999999</v>
      </c>
      <c r="V720">
        <v>4</v>
      </c>
      <c r="W720">
        <v>6</v>
      </c>
      <c r="X720">
        <v>6</v>
      </c>
      <c r="Y720">
        <v>2</v>
      </c>
      <c r="Z720">
        <v>50</v>
      </c>
      <c r="AA720" t="s">
        <v>66</v>
      </c>
      <c r="AB720" t="s">
        <v>66</v>
      </c>
      <c r="AC720" t="s">
        <v>66</v>
      </c>
      <c r="AD720" t="s">
        <v>66</v>
      </c>
      <c r="AE720">
        <v>24</v>
      </c>
      <c r="AF720">
        <v>7</v>
      </c>
      <c r="AG720" t="s">
        <v>66</v>
      </c>
      <c r="AH720">
        <v>22</v>
      </c>
      <c r="AI720">
        <v>9</v>
      </c>
      <c r="AJ720" t="s">
        <v>66</v>
      </c>
      <c r="AK720">
        <v>13</v>
      </c>
      <c r="AL720">
        <v>3</v>
      </c>
      <c r="AM720">
        <v>17.5</v>
      </c>
      <c r="AN720">
        <v>6</v>
      </c>
      <c r="AO720">
        <v>-65.714285709999999</v>
      </c>
      <c r="AP720">
        <v>-70.833333330000002</v>
      </c>
      <c r="AQ720">
        <v>1.371428571</v>
      </c>
      <c r="AR720">
        <v>1.1666666670000001</v>
      </c>
      <c r="AS720">
        <v>-0.20476190399999999</v>
      </c>
      <c r="AT720">
        <v>0</v>
      </c>
      <c r="AU720" t="s">
        <v>66</v>
      </c>
      <c r="AV720">
        <v>0</v>
      </c>
      <c r="AW720">
        <v>3</v>
      </c>
      <c r="AX720">
        <v>0</v>
      </c>
      <c r="AY720">
        <v>1</v>
      </c>
      <c r="AZ720">
        <v>1</v>
      </c>
      <c r="BA720">
        <v>1</v>
      </c>
      <c r="BB720" t="s">
        <v>66</v>
      </c>
      <c r="BC720" t="s">
        <v>66</v>
      </c>
      <c r="BD720" t="s">
        <v>66</v>
      </c>
      <c r="BE720" t="s">
        <v>66</v>
      </c>
      <c r="BF720">
        <v>1</v>
      </c>
      <c r="BG720" t="s">
        <v>66</v>
      </c>
      <c r="BH720" t="s">
        <v>66</v>
      </c>
      <c r="BI720">
        <v>21</v>
      </c>
      <c r="BJ720">
        <v>5.4</v>
      </c>
      <c r="BK720" t="s">
        <v>66</v>
      </c>
      <c r="BL720">
        <v>17</v>
      </c>
      <c r="BM720">
        <v>12</v>
      </c>
      <c r="BN720">
        <v>7</v>
      </c>
      <c r="BO720">
        <f t="shared" si="113"/>
        <v>9.5</v>
      </c>
      <c r="BP720">
        <v>4</v>
      </c>
      <c r="BQ720">
        <v>1</v>
      </c>
      <c r="BR720" t="s">
        <v>879</v>
      </c>
      <c r="BS720">
        <v>1</v>
      </c>
      <c r="BT720">
        <f t="shared" si="114"/>
        <v>-19.047619047619047</v>
      </c>
      <c r="BU720">
        <f t="shared" si="115"/>
        <v>25.925925925925931</v>
      </c>
      <c r="BV720">
        <f t="shared" si="116"/>
        <v>-41.17647058823529</v>
      </c>
      <c r="BW720">
        <f t="shared" si="117"/>
        <v>-84.210526315789465</v>
      </c>
    </row>
    <row r="721" spans="1:75" x14ac:dyDescent="0.2">
      <c r="A721" t="s">
        <v>170</v>
      </c>
      <c r="B721" t="s">
        <v>171</v>
      </c>
      <c r="C721" t="s">
        <v>62</v>
      </c>
      <c r="D721" t="s">
        <v>63</v>
      </c>
      <c r="E721" t="s">
        <v>67</v>
      </c>
      <c r="F721" t="s">
        <v>173</v>
      </c>
      <c r="G721">
        <v>2.65</v>
      </c>
      <c r="H721">
        <v>15.9</v>
      </c>
      <c r="I721">
        <v>15.75</v>
      </c>
      <c r="J721">
        <v>1.4</v>
      </c>
      <c r="K721">
        <v>35.700000000000003</v>
      </c>
      <c r="L721">
        <v>11.943396229999999</v>
      </c>
      <c r="M721">
        <v>20</v>
      </c>
      <c r="N721">
        <v>25</v>
      </c>
      <c r="O721">
        <v>5</v>
      </c>
      <c r="P721">
        <v>27</v>
      </c>
      <c r="Q721">
        <v>7</v>
      </c>
      <c r="R721">
        <v>3.5</v>
      </c>
      <c r="S721">
        <v>54.1</v>
      </c>
      <c r="T721">
        <v>35</v>
      </c>
      <c r="U721">
        <v>8</v>
      </c>
      <c r="V721">
        <v>4</v>
      </c>
      <c r="W721">
        <v>6</v>
      </c>
      <c r="X721">
        <v>6</v>
      </c>
      <c r="Y721">
        <v>2</v>
      </c>
      <c r="Z721">
        <v>50</v>
      </c>
      <c r="AA721" t="s">
        <v>66</v>
      </c>
      <c r="AB721" t="s">
        <v>66</v>
      </c>
      <c r="AC721" t="s">
        <v>66</v>
      </c>
      <c r="AD721" t="s">
        <v>66</v>
      </c>
      <c r="AE721">
        <v>14</v>
      </c>
      <c r="AF721">
        <v>16</v>
      </c>
      <c r="AG721" t="s">
        <v>66</v>
      </c>
      <c r="AH721">
        <v>8</v>
      </c>
      <c r="AI721">
        <v>7</v>
      </c>
      <c r="AJ721" t="s">
        <v>66</v>
      </c>
      <c r="AK721">
        <v>7</v>
      </c>
      <c r="AL721">
        <v>7</v>
      </c>
      <c r="AM721">
        <v>7.5</v>
      </c>
      <c r="AN721">
        <v>7</v>
      </c>
      <c r="AO721">
        <v>-6.6666666670000003</v>
      </c>
      <c r="AP721">
        <v>14.28571429</v>
      </c>
      <c r="AQ721">
        <v>1.8666666670000001</v>
      </c>
      <c r="AR721">
        <v>2.2857142860000002</v>
      </c>
      <c r="AS721">
        <v>0.41904761899999998</v>
      </c>
      <c r="AT721">
        <v>0</v>
      </c>
      <c r="AU721" t="s">
        <v>66</v>
      </c>
      <c r="AV721">
        <v>1</v>
      </c>
      <c r="AW721">
        <v>1</v>
      </c>
      <c r="AX721">
        <v>0</v>
      </c>
      <c r="AY721">
        <v>1</v>
      </c>
      <c r="AZ721">
        <v>1</v>
      </c>
      <c r="BA721">
        <v>1</v>
      </c>
      <c r="BB721" t="s">
        <v>66</v>
      </c>
      <c r="BC721">
        <v>20.8</v>
      </c>
      <c r="BD721">
        <v>33.299999999999997</v>
      </c>
      <c r="BE721">
        <v>60.09615385</v>
      </c>
      <c r="BF721">
        <v>0</v>
      </c>
      <c r="BG721">
        <v>23.31</v>
      </c>
      <c r="BH721">
        <v>12.06730769</v>
      </c>
      <c r="BI721">
        <v>32</v>
      </c>
      <c r="BJ721">
        <v>6.2</v>
      </c>
      <c r="BK721" t="s">
        <v>66</v>
      </c>
      <c r="BL721">
        <f>32-11</f>
        <v>21</v>
      </c>
      <c r="BM721">
        <v>10</v>
      </c>
      <c r="BN721">
        <v>7</v>
      </c>
      <c r="BO721">
        <f t="shared" si="113"/>
        <v>8.5</v>
      </c>
      <c r="BP721">
        <v>4</v>
      </c>
      <c r="BQ721">
        <v>1</v>
      </c>
      <c r="BR721" t="s">
        <v>874</v>
      </c>
      <c r="BS721">
        <v>0</v>
      </c>
      <c r="BT721">
        <f t="shared" si="114"/>
        <v>37.5</v>
      </c>
      <c r="BU721">
        <f t="shared" si="115"/>
        <v>35.483870967741936</v>
      </c>
      <c r="BV721">
        <f t="shared" si="116"/>
        <v>33.333333333333329</v>
      </c>
      <c r="BW721">
        <f t="shared" si="117"/>
        <v>11.76470588235294</v>
      </c>
    </row>
  </sheetData>
  <sortState xmlns:xlrd2="http://schemas.microsoft.com/office/spreadsheetml/2017/richdata2" ref="A2:BW721">
    <sortCondition ref="BS2:BS721"/>
    <sortCondition ref="D2:D721"/>
    <sortCondition ref="C2:C7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Exclosure_Rv1.txt</vt:lpstr>
    </vt:vector>
  </TitlesOfParts>
  <Company>Queen's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Alix Conway</dc:creator>
  <cp:lastModifiedBy>Steven Mamet</cp:lastModifiedBy>
  <dcterms:created xsi:type="dcterms:W3CDTF">2017-10-31T19:47:48Z</dcterms:created>
  <dcterms:modified xsi:type="dcterms:W3CDTF">2024-01-21T15:57:01Z</dcterms:modified>
</cp:coreProperties>
</file>