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kille\Downloads\"/>
    </mc:Choice>
  </mc:AlternateContent>
  <xr:revisionPtr revIDLastSave="0" documentId="13_ncr:1_{3797B46F-AD5F-4922-8E00-57393D339C09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Лист1" sheetId="1" r:id="rId1"/>
    <sheet name="Лист2" sheetId="2" r:id="rId2"/>
  </sheets>
  <calcPr calcId="181029"/>
  <extLst>
    <ext uri="GoogleSheetsCustomDataVersion2">
      <go:sheetsCustomData xmlns:go="http://customooxmlschemas.google.com/" r:id="rId6" roundtripDataChecksum="pkAFw+A5jdIPpPeIcqRuvShftfhahcWmZWFLaiMf2EU="/>
    </ext>
  </extLst>
</workbook>
</file>

<file path=xl/calcChain.xml><?xml version="1.0" encoding="utf-8"?>
<calcChain xmlns="http://schemas.openxmlformats.org/spreadsheetml/2006/main">
  <c r="E10" i="1" l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D10" i="1"/>
  <c r="C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N9" i="1"/>
  <c r="D9" i="1"/>
  <c r="E9" i="1"/>
  <c r="F9" i="1"/>
  <c r="G9" i="1"/>
  <c r="H9" i="1"/>
  <c r="I9" i="1"/>
  <c r="J9" i="1"/>
  <c r="K9" i="1"/>
  <c r="L9" i="1"/>
  <c r="M9" i="1"/>
  <c r="D17" i="2"/>
  <c r="D16" i="2"/>
  <c r="D15" i="2"/>
  <c r="D14" i="2"/>
  <c r="D13" i="2"/>
  <c r="D12" i="2"/>
  <c r="D11" i="2"/>
  <c r="D10" i="2"/>
  <c r="D20" i="1"/>
  <c r="D21" i="1"/>
  <c r="D9" i="2"/>
  <c r="D7" i="2"/>
  <c r="D6" i="2"/>
  <c r="F21" i="1"/>
  <c r="E21" i="1"/>
  <c r="F20" i="1"/>
  <c r="E20" i="1"/>
  <c r="F19" i="1"/>
  <c r="E19" i="1"/>
  <c r="D19" i="1"/>
  <c r="F18" i="1"/>
  <c r="E18" i="1"/>
  <c r="D18" i="1"/>
  <c r="F6" i="1"/>
  <c r="F17" i="1" s="1"/>
  <c r="E6" i="1"/>
  <c r="E17" i="1" s="1"/>
  <c r="D6" i="1"/>
  <c r="D17" i="1" s="1"/>
  <c r="G5" i="1"/>
  <c r="G20" i="1" s="1"/>
  <c r="E4" i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C10" i="1" l="1"/>
  <c r="D16" i="1"/>
  <c r="E16" i="1"/>
  <c r="F16" i="1"/>
  <c r="F8" i="1"/>
  <c r="E8" i="1"/>
  <c r="F7" i="1"/>
  <c r="D8" i="1"/>
  <c r="E7" i="1"/>
  <c r="D7" i="1"/>
  <c r="G6" i="1"/>
  <c r="G21" i="1"/>
  <c r="G18" i="1"/>
  <c r="G19" i="1"/>
  <c r="H5" i="1"/>
  <c r="H21" i="1" s="1"/>
  <c r="E11" i="1" l="1"/>
  <c r="E12" i="1" s="1"/>
  <c r="F11" i="1"/>
  <c r="F12" i="1" s="1"/>
  <c r="G17" i="1"/>
  <c r="G16" i="1" s="1"/>
  <c r="G7" i="1"/>
  <c r="G8" i="1"/>
  <c r="H20" i="1"/>
  <c r="I5" i="1"/>
  <c r="J5" i="1" s="1"/>
  <c r="H6" i="1"/>
  <c r="H18" i="1"/>
  <c r="H19" i="1"/>
  <c r="G11" i="1" l="1"/>
  <c r="E23" i="1"/>
  <c r="E13" i="1" s="1"/>
  <c r="E14" i="1" s="1"/>
  <c r="F23" i="1"/>
  <c r="F13" i="1" s="1"/>
  <c r="F14" i="1" s="1"/>
  <c r="H17" i="1"/>
  <c r="H16" i="1" s="1"/>
  <c r="H8" i="1"/>
  <c r="H7" i="1"/>
  <c r="I19" i="1"/>
  <c r="I18" i="1"/>
  <c r="I20" i="1"/>
  <c r="I21" i="1"/>
  <c r="I6" i="1"/>
  <c r="J19" i="1"/>
  <c r="K5" i="1"/>
  <c r="J20" i="1"/>
  <c r="J6" i="1"/>
  <c r="J18" i="1"/>
  <c r="J21" i="1"/>
  <c r="H11" i="1" l="1"/>
  <c r="H23" i="1" s="1"/>
  <c r="H13" i="1" s="1"/>
  <c r="G12" i="1"/>
  <c r="G23" i="1"/>
  <c r="G13" i="1" s="1"/>
  <c r="G14" i="1" s="1"/>
  <c r="I17" i="1"/>
  <c r="I16" i="1" s="1"/>
  <c r="J17" i="1"/>
  <c r="J16" i="1" s="1"/>
  <c r="J7" i="1"/>
  <c r="J8" i="1"/>
  <c r="I7" i="1"/>
  <c r="I8" i="1"/>
  <c r="K6" i="1"/>
  <c r="K20" i="1"/>
  <c r="K18" i="1"/>
  <c r="K21" i="1"/>
  <c r="L5" i="1"/>
  <c r="K19" i="1"/>
  <c r="H12" i="1" l="1"/>
  <c r="I11" i="1"/>
  <c r="I23" i="1" s="1"/>
  <c r="I13" i="1" s="1"/>
  <c r="J11" i="1"/>
  <c r="J23" i="1" s="1"/>
  <c r="J13" i="1" s="1"/>
  <c r="J14" i="1" s="1"/>
  <c r="K17" i="1"/>
  <c r="K16" i="1" s="1"/>
  <c r="K7" i="1"/>
  <c r="K8" i="1"/>
  <c r="L20" i="1"/>
  <c r="L6" i="1"/>
  <c r="L18" i="1"/>
  <c r="L21" i="1"/>
  <c r="L19" i="1"/>
  <c r="M5" i="1"/>
  <c r="H14" i="1"/>
  <c r="K11" i="1" l="1"/>
  <c r="K23" i="1" s="1"/>
  <c r="K13" i="1" s="1"/>
  <c r="K14" i="1" s="1"/>
  <c r="I12" i="1"/>
  <c r="L17" i="1"/>
  <c r="L16" i="1" s="1"/>
  <c r="L8" i="1"/>
  <c r="J12" i="1"/>
  <c r="L7" i="1"/>
  <c r="I14" i="1"/>
  <c r="M20" i="1"/>
  <c r="M6" i="1"/>
  <c r="M19" i="1"/>
  <c r="M18" i="1"/>
  <c r="N5" i="1"/>
  <c r="M21" i="1"/>
  <c r="M17" i="1" l="1"/>
  <c r="M16" i="1" s="1"/>
  <c r="K12" i="1"/>
  <c r="M7" i="1"/>
  <c r="M8" i="1"/>
  <c r="L11" i="1"/>
  <c r="N20" i="1"/>
  <c r="N6" i="1"/>
  <c r="N18" i="1"/>
  <c r="N21" i="1"/>
  <c r="N19" i="1"/>
  <c r="O5" i="1"/>
  <c r="M11" i="1" l="1"/>
  <c r="M23" i="1" s="1"/>
  <c r="M13" i="1" s="1"/>
  <c r="M14" i="1" s="1"/>
  <c r="N17" i="1"/>
  <c r="N16" i="1" s="1"/>
  <c r="N8" i="1"/>
  <c r="N7" i="1"/>
  <c r="O18" i="1"/>
  <c r="O6" i="1"/>
  <c r="O21" i="1"/>
  <c r="O19" i="1"/>
  <c r="P5" i="1"/>
  <c r="O20" i="1"/>
  <c r="L23" i="1"/>
  <c r="L13" i="1" s="1"/>
  <c r="L12" i="1"/>
  <c r="M12" i="1" l="1"/>
  <c r="O17" i="1"/>
  <c r="O16" i="1" s="1"/>
  <c r="O7" i="1"/>
  <c r="O8" i="1"/>
  <c r="P6" i="1"/>
  <c r="P21" i="1"/>
  <c r="Q5" i="1"/>
  <c r="P18" i="1"/>
  <c r="P20" i="1"/>
  <c r="P19" i="1"/>
  <c r="N11" i="1"/>
  <c r="L14" i="1"/>
  <c r="O11" i="1" l="1"/>
  <c r="O12" i="1" s="1"/>
  <c r="P17" i="1"/>
  <c r="P16" i="1" s="1"/>
  <c r="P7" i="1"/>
  <c r="P8" i="1"/>
  <c r="N23" i="1"/>
  <c r="N13" i="1" s="1"/>
  <c r="N14" i="1" s="1"/>
  <c r="N12" i="1"/>
  <c r="Q6" i="1"/>
  <c r="Q18" i="1"/>
  <c r="Q21" i="1"/>
  <c r="R5" i="1"/>
  <c r="Q19" i="1"/>
  <c r="Q20" i="1"/>
  <c r="P11" i="1" l="1"/>
  <c r="P12" i="1" s="1"/>
  <c r="Q17" i="1"/>
  <c r="Q16" i="1" s="1"/>
  <c r="O23" i="1"/>
  <c r="O13" i="1" s="1"/>
  <c r="O14" i="1" s="1"/>
  <c r="Q7" i="1"/>
  <c r="Q8" i="1"/>
  <c r="R6" i="1"/>
  <c r="R18" i="1"/>
  <c r="R21" i="1"/>
  <c r="S5" i="1"/>
  <c r="R20" i="1"/>
  <c r="R19" i="1"/>
  <c r="Q11" i="1" l="1"/>
  <c r="Q12" i="1" s="1"/>
  <c r="R17" i="1"/>
  <c r="R16" i="1" s="1"/>
  <c r="R7" i="1"/>
  <c r="R8" i="1"/>
  <c r="P23" i="1"/>
  <c r="P13" i="1" s="1"/>
  <c r="P14" i="1" s="1"/>
  <c r="S18" i="1"/>
  <c r="S19" i="1"/>
  <c r="T5" i="1"/>
  <c r="S21" i="1"/>
  <c r="S6" i="1"/>
  <c r="S20" i="1"/>
  <c r="R11" i="1" l="1"/>
  <c r="R23" i="1" s="1"/>
  <c r="R13" i="1" s="1"/>
  <c r="R14" i="1" s="1"/>
  <c r="Q23" i="1"/>
  <c r="Q13" i="1" s="1"/>
  <c r="Q14" i="1" s="1"/>
  <c r="S17" i="1"/>
  <c r="S16" i="1" s="1"/>
  <c r="S7" i="1"/>
  <c r="S8" i="1"/>
  <c r="T21" i="1"/>
  <c r="U5" i="1"/>
  <c r="T20" i="1"/>
  <c r="T6" i="1"/>
  <c r="T18" i="1"/>
  <c r="T19" i="1"/>
  <c r="S11" i="1" l="1"/>
  <c r="S12" i="1" s="1"/>
  <c r="R12" i="1"/>
  <c r="T17" i="1"/>
  <c r="T16" i="1" s="1"/>
  <c r="T7" i="1"/>
  <c r="T8" i="1"/>
  <c r="U21" i="1"/>
  <c r="V5" i="1"/>
  <c r="U6" i="1"/>
  <c r="U18" i="1"/>
  <c r="U20" i="1"/>
  <c r="U19" i="1"/>
  <c r="S23" i="1" l="1"/>
  <c r="S13" i="1" s="1"/>
  <c r="S14" i="1" s="1"/>
  <c r="U17" i="1"/>
  <c r="U16" i="1" s="1"/>
  <c r="U7" i="1"/>
  <c r="U8" i="1"/>
  <c r="T11" i="1"/>
  <c r="T23" i="1" s="1"/>
  <c r="W5" i="1"/>
  <c r="V18" i="1"/>
  <c r="V6" i="1"/>
  <c r="V21" i="1"/>
  <c r="V20" i="1"/>
  <c r="V19" i="1"/>
  <c r="U11" i="1" l="1"/>
  <c r="U23" i="1" s="1"/>
  <c r="U13" i="1" s="1"/>
  <c r="U14" i="1" s="1"/>
  <c r="V17" i="1"/>
  <c r="V16" i="1" s="1"/>
  <c r="T13" i="1"/>
  <c r="T14" i="1" s="1"/>
  <c r="T12" i="1"/>
  <c r="V7" i="1"/>
  <c r="V8" i="1"/>
  <c r="W21" i="1"/>
  <c r="W19" i="1"/>
  <c r="W6" i="1"/>
  <c r="X5" i="1"/>
  <c r="W18" i="1"/>
  <c r="W20" i="1"/>
  <c r="U12" i="1" l="1"/>
  <c r="W17" i="1"/>
  <c r="W16" i="1" s="1"/>
  <c r="W7" i="1"/>
  <c r="W8" i="1"/>
  <c r="V11" i="1"/>
  <c r="V12" i="1" s="1"/>
  <c r="X21" i="1"/>
  <c r="X19" i="1"/>
  <c r="X6" i="1"/>
  <c r="X18" i="1"/>
  <c r="Y5" i="1"/>
  <c r="X20" i="1"/>
  <c r="W11" i="1" l="1"/>
  <c r="W12" i="1" s="1"/>
  <c r="V23" i="1"/>
  <c r="V13" i="1" s="1"/>
  <c r="V14" i="1" s="1"/>
  <c r="X17" i="1"/>
  <c r="X16" i="1" s="1"/>
  <c r="X7" i="1"/>
  <c r="X8" i="1"/>
  <c r="Y19" i="1"/>
  <c r="Z5" i="1"/>
  <c r="Y6" i="1"/>
  <c r="Y18" i="1"/>
  <c r="Y21" i="1"/>
  <c r="Y20" i="1"/>
  <c r="W23" i="1" l="1"/>
  <c r="W13" i="1" s="1"/>
  <c r="W14" i="1" s="1"/>
  <c r="X11" i="1"/>
  <c r="X23" i="1" s="1"/>
  <c r="Y17" i="1"/>
  <c r="Y16" i="1" s="1"/>
  <c r="Y7" i="1"/>
  <c r="Y8" i="1"/>
  <c r="Z19" i="1"/>
  <c r="AA5" i="1"/>
  <c r="Z6" i="1"/>
  <c r="Z18" i="1"/>
  <c r="Z21" i="1"/>
  <c r="Z20" i="1"/>
  <c r="Y11" i="1" l="1"/>
  <c r="Y23" i="1" s="1"/>
  <c r="Y13" i="1" s="1"/>
  <c r="Y14" i="1" s="1"/>
  <c r="X12" i="1"/>
  <c r="X13" i="1"/>
  <c r="X14" i="1" s="1"/>
  <c r="Z17" i="1"/>
  <c r="Z16" i="1" s="1"/>
  <c r="Z7" i="1"/>
  <c r="Z8" i="1"/>
  <c r="AA6" i="1"/>
  <c r="AA21" i="1"/>
  <c r="C21" i="1" s="1"/>
  <c r="AA18" i="1"/>
  <c r="C18" i="1" s="1"/>
  <c r="AA19" i="1"/>
  <c r="AA20" i="1"/>
  <c r="C20" i="1" s="1"/>
  <c r="C5" i="1"/>
  <c r="Z11" i="1" l="1"/>
  <c r="Z23" i="1" s="1"/>
  <c r="Z13" i="1" s="1"/>
  <c r="Z14" i="1" s="1"/>
  <c r="AA17" i="1"/>
  <c r="AA16" i="1" s="1"/>
  <c r="AA8" i="1"/>
  <c r="C8" i="1" s="1"/>
  <c r="C17" i="1"/>
  <c r="AA7" i="1"/>
  <c r="Y12" i="1"/>
  <c r="C19" i="1"/>
  <c r="C6" i="1"/>
  <c r="Z12" i="1" l="1"/>
  <c r="C7" i="1"/>
  <c r="AA11" i="1"/>
  <c r="AA23" i="1" l="1"/>
  <c r="AA12" i="1"/>
  <c r="AA13" i="1" l="1"/>
  <c r="AA14" i="1" l="1"/>
  <c r="C22" i="1"/>
  <c r="C16" i="1"/>
  <c r="D11" i="1" l="1"/>
  <c r="D12" i="1" s="1"/>
  <c r="D23" i="1" l="1"/>
  <c r="C11" i="1"/>
  <c r="C12" i="1" s="1"/>
  <c r="C23" i="1" l="1"/>
  <c r="D13" i="1"/>
  <c r="C13" i="1" s="1"/>
  <c r="C14" i="1" l="1"/>
  <c r="D14" i="1"/>
</calcChain>
</file>

<file path=xl/sharedStrings.xml><?xml version="1.0" encoding="utf-8"?>
<sst xmlns="http://schemas.openxmlformats.org/spreadsheetml/2006/main" count="51" uniqueCount="49">
  <si>
    <t>Доход от акт карты:</t>
  </si>
  <si>
    <t>берем как финансовый факт</t>
  </si>
  <si>
    <t>пилот</t>
  </si>
  <si>
    <t>старт продаж</t>
  </si>
  <si>
    <t>Доходы</t>
  </si>
  <si>
    <t>Итого</t>
  </si>
  <si>
    <t>Выданные карты, шт</t>
  </si>
  <si>
    <t>Активные карты, шт</t>
  </si>
  <si>
    <t>Выручка, руб</t>
  </si>
  <si>
    <t>EBITDA</t>
  </si>
  <si>
    <t>% выручки</t>
  </si>
  <si>
    <t>Чистая прибыль, руб</t>
  </si>
  <si>
    <t>Рентабельность, %</t>
  </si>
  <si>
    <t>Расходы</t>
  </si>
  <si>
    <t>Аллоцированные на продукт затраты, руб</t>
  </si>
  <si>
    <t>Затраты на закупку пластика, руб</t>
  </si>
  <si>
    <t>Доставка, руб</t>
  </si>
  <si>
    <t>Маркетинг , руб</t>
  </si>
  <si>
    <t>Продажи, руб</t>
  </si>
  <si>
    <t>Иные расходы, руб</t>
  </si>
  <si>
    <t>Налоги, руб</t>
  </si>
  <si>
    <t>Комментарий</t>
  </si>
  <si>
    <t>CR2 (% активации)</t>
  </si>
  <si>
    <t>Пластик</t>
  </si>
  <si>
    <t>На выпущенные</t>
  </si>
  <si>
    <t>Маркетинг</t>
  </si>
  <si>
    <t>На активные</t>
  </si>
  <si>
    <t>Продажи</t>
  </si>
  <si>
    <t>На выданные</t>
  </si>
  <si>
    <t xml:space="preserve">Доставка </t>
  </si>
  <si>
    <t>средняя стоимость курсов онлайн (покупок за ОТП коины)</t>
  </si>
  <si>
    <t>ежемесячные покупки за ОТП коины</t>
  </si>
  <si>
    <t>Расходы на программу ОТП коинов</t>
  </si>
  <si>
    <t>Кол-во активных пользователей</t>
  </si>
  <si>
    <t>Комиссия партнёров за покупки по нашей карте</t>
  </si>
  <si>
    <t>Партнёрские комиссии с продаж</t>
  </si>
  <si>
    <t>Процент пользователей купивших уникальный дизайн</t>
  </si>
  <si>
    <t>Уникальные дизайны</t>
  </si>
  <si>
    <t>Цена за уникальный дизайн</t>
  </si>
  <si>
    <t>увеличение количества трат в связи с внедрением ОТП коинов (в месяц)</t>
  </si>
  <si>
    <t>увеличим фикс доход на среднее между 25 и 26</t>
  </si>
  <si>
    <t>Предположим, что начало 2027 года не отличается от 2026 конца</t>
  </si>
  <si>
    <t>Расходы на разработку</t>
  </si>
  <si>
    <t>Расходы на рекламу</t>
  </si>
  <si>
    <t>единовременная оплата</t>
  </si>
  <si>
    <t>Чистая прибыль и рентабельность получаются небольшие, но потенциальный прирост пользователей от вау эффекта оценивается во много раз, соответственно мы посчитали самый пессимистичный показатель, на практике всё должно быть лучше</t>
  </si>
  <si>
    <t>Привлечение новых взрослых клиентов (родителей)</t>
  </si>
  <si>
    <t>у такого процента детей у родителей нет карты ОТП банка</t>
  </si>
  <si>
    <t>Выручка с карт родителей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</si>
</sst>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.mm\.yyyy"/>
    <numFmt numFmtId="165" formatCode="#,##0_);[Red]\-#,##0"/>
    <numFmt numFmtId="166" formatCode="#,##0.00;\(#,##0.00\)"/>
  </numFmts>
  <fonts count="6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color rgb="FF666666"/>
      <name val="Arial"/>
    </font>
    <font>
      <sz val="10"/>
      <color rgb="FFFF0000"/>
      <name val="Arial"/>
    </font>
    <font>
      <sz val="10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FF2CC"/>
        <bgColor rgb="FFFFF2CC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1" fillId="0" borderId="2" xfId="0" applyFont="1" applyBorder="1"/>
    <xf numFmtId="0" fontId="2" fillId="0" borderId="3" xfId="0" applyFont="1" applyBorder="1"/>
    <xf numFmtId="0" fontId="1" fillId="3" borderId="4" xfId="0" applyFont="1" applyFill="1" applyBorder="1"/>
    <xf numFmtId="164" fontId="1" fillId="4" borderId="4" xfId="0" applyNumberFormat="1" applyFont="1" applyFill="1" applyBorder="1" applyAlignment="1">
      <alignment horizontal="right"/>
    </xf>
    <xf numFmtId="14" fontId="1" fillId="4" borderId="4" xfId="0" applyNumberFormat="1" applyFont="1" applyFill="1" applyBorder="1" applyAlignment="1">
      <alignment horizontal="right"/>
    </xf>
    <xf numFmtId="14" fontId="1" fillId="4" borderId="5" xfId="0" applyNumberFormat="1" applyFont="1" applyFill="1" applyBorder="1" applyAlignment="1">
      <alignment horizontal="right"/>
    </xf>
    <xf numFmtId="0" fontId="1" fillId="4" borderId="6" xfId="0" applyFont="1" applyFill="1" applyBorder="1"/>
    <xf numFmtId="165" fontId="1" fillId="0" borderId="0" xfId="0" applyNumberFormat="1" applyFont="1" applyAlignment="1">
      <alignment horizontal="right"/>
    </xf>
    <xf numFmtId="165" fontId="1" fillId="0" borderId="7" xfId="0" applyNumberFormat="1" applyFont="1" applyBorder="1" applyAlignment="1">
      <alignment horizontal="right"/>
    </xf>
    <xf numFmtId="4" fontId="1" fillId="0" borderId="0" xfId="0" applyNumberFormat="1" applyFont="1"/>
    <xf numFmtId="4" fontId="1" fillId="4" borderId="6" xfId="0" applyNumberFormat="1" applyFont="1" applyFill="1" applyBorder="1"/>
    <xf numFmtId="4" fontId="1" fillId="0" borderId="0" xfId="0" applyNumberFormat="1" applyFont="1" applyAlignment="1">
      <alignment horizontal="right"/>
    </xf>
    <xf numFmtId="0" fontId="3" fillId="4" borderId="6" xfId="0" applyFont="1" applyFill="1" applyBorder="1"/>
    <xf numFmtId="10" fontId="3" fillId="0" borderId="0" xfId="0" applyNumberFormat="1" applyFont="1" applyAlignment="1">
      <alignment horizontal="right"/>
    </xf>
    <xf numFmtId="10" fontId="3" fillId="0" borderId="7" xfId="0" applyNumberFormat="1" applyFont="1" applyBorder="1" applyAlignment="1">
      <alignment horizontal="right"/>
    </xf>
    <xf numFmtId="165" fontId="4" fillId="0" borderId="0" xfId="0" applyNumberFormat="1" applyFont="1" applyAlignment="1">
      <alignment horizontal="right"/>
    </xf>
    <xf numFmtId="0" fontId="2" fillId="4" borderId="6" xfId="0" applyFont="1" applyFill="1" applyBorder="1"/>
    <xf numFmtId="10" fontId="1" fillId="0" borderId="0" xfId="0" applyNumberFormat="1" applyFont="1"/>
    <xf numFmtId="166" fontId="1" fillId="0" borderId="0" xfId="0" applyNumberFormat="1" applyFont="1"/>
    <xf numFmtId="10" fontId="1" fillId="0" borderId="7" xfId="0" applyNumberFormat="1" applyFont="1" applyBorder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9" fontId="1" fillId="0" borderId="0" xfId="0" applyNumberFormat="1" applyFont="1"/>
    <xf numFmtId="10" fontId="1" fillId="0" borderId="0" xfId="0" applyNumberFormat="1" applyFont="1" applyAlignment="1">
      <alignment horizontal="right"/>
    </xf>
    <xf numFmtId="0" fontId="5" fillId="0" borderId="0" xfId="0" applyFont="1"/>
    <xf numFmtId="0" fontId="5" fillId="4" borderId="6" xfId="0" applyFont="1" applyFill="1" applyBorder="1"/>
    <xf numFmtId="0" fontId="1" fillId="0" borderId="0" xfId="0" applyFont="1" applyAlignment="1">
      <alignment horizontal="center" wrapText="1"/>
    </xf>
    <xf numFmtId="0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4"/>
  <sheetViews>
    <sheetView tabSelected="1" workbookViewId="0">
      <pane xSplit="3" topLeftCell="D1" activePane="topRight" state="frozen"/>
      <selection pane="topRight" activeCell="C3" sqref="C3"/>
    </sheetView>
  </sheetViews>
  <sheetFormatPr defaultColWidth="12.6328125" defaultRowHeight="15" customHeight="1" x14ac:dyDescent="0.25"/>
  <cols>
    <col min="1" max="1" width="5.08984375" customWidth="1"/>
    <col min="2" max="2" width="32.90625" customWidth="1"/>
    <col min="3" max="3" width="15.26953125" customWidth="1"/>
    <col min="4" max="5" width="11.08984375" customWidth="1"/>
    <col min="6" max="6" width="12.36328125" customWidth="1"/>
    <col min="7" max="8" width="12.54296875" customWidth="1"/>
    <col min="9" max="15" width="12" customWidth="1"/>
    <col min="16" max="16" width="12.08984375" customWidth="1"/>
    <col min="17" max="24" width="13.26953125" customWidth="1"/>
    <col min="25" max="27" width="14" customWidth="1"/>
    <col min="28" max="28" width="11" customWidth="1"/>
  </cols>
  <sheetData>
    <row r="1" spans="1:28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 x14ac:dyDescent="0.25">
      <c r="A2" s="1"/>
      <c r="B2" s="2" t="s">
        <v>0</v>
      </c>
      <c r="C2" s="3">
        <v>3100</v>
      </c>
      <c r="D2" s="1" t="s">
        <v>1</v>
      </c>
      <c r="E2" s="1"/>
      <c r="F2" s="1"/>
      <c r="G2" s="1">
        <v>3000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75" customHeight="1" x14ac:dyDescent="0.25">
      <c r="A3" s="1"/>
      <c r="B3" s="1"/>
      <c r="C3" s="1"/>
      <c r="D3" s="4" t="s">
        <v>2</v>
      </c>
      <c r="E3" s="4" t="s">
        <v>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5.75" customHeight="1" x14ac:dyDescent="0.3">
      <c r="A4" s="1"/>
      <c r="B4" s="5" t="s">
        <v>4</v>
      </c>
      <c r="C4" s="6" t="s">
        <v>5</v>
      </c>
      <c r="D4" s="7">
        <v>45717</v>
      </c>
      <c r="E4" s="8">
        <f t="shared" ref="E4:AA4" si="0">EDATE(D4,1)</f>
        <v>45748</v>
      </c>
      <c r="F4" s="8">
        <f t="shared" si="0"/>
        <v>45778</v>
      </c>
      <c r="G4" s="8">
        <f t="shared" si="0"/>
        <v>45809</v>
      </c>
      <c r="H4" s="8">
        <f t="shared" si="0"/>
        <v>45839</v>
      </c>
      <c r="I4" s="8">
        <f t="shared" si="0"/>
        <v>45870</v>
      </c>
      <c r="J4" s="8">
        <f t="shared" si="0"/>
        <v>45901</v>
      </c>
      <c r="K4" s="8">
        <f t="shared" si="0"/>
        <v>45931</v>
      </c>
      <c r="L4" s="8">
        <f t="shared" si="0"/>
        <v>45962</v>
      </c>
      <c r="M4" s="8">
        <f t="shared" si="0"/>
        <v>45992</v>
      </c>
      <c r="N4" s="8">
        <f t="shared" si="0"/>
        <v>46023</v>
      </c>
      <c r="O4" s="8">
        <f t="shared" si="0"/>
        <v>46054</v>
      </c>
      <c r="P4" s="8">
        <f t="shared" si="0"/>
        <v>46082</v>
      </c>
      <c r="Q4" s="8">
        <f t="shared" si="0"/>
        <v>46113</v>
      </c>
      <c r="R4" s="8">
        <f t="shared" si="0"/>
        <v>46143</v>
      </c>
      <c r="S4" s="8">
        <f t="shared" si="0"/>
        <v>46174</v>
      </c>
      <c r="T4" s="8">
        <f t="shared" si="0"/>
        <v>46204</v>
      </c>
      <c r="U4" s="8">
        <f t="shared" si="0"/>
        <v>46235</v>
      </c>
      <c r="V4" s="8">
        <f t="shared" si="0"/>
        <v>46266</v>
      </c>
      <c r="W4" s="8">
        <f t="shared" si="0"/>
        <v>46296</v>
      </c>
      <c r="X4" s="8">
        <f t="shared" si="0"/>
        <v>46327</v>
      </c>
      <c r="Y4" s="8">
        <f t="shared" si="0"/>
        <v>46357</v>
      </c>
      <c r="Z4" s="8">
        <f t="shared" si="0"/>
        <v>46388</v>
      </c>
      <c r="AA4" s="9">
        <f t="shared" si="0"/>
        <v>46419</v>
      </c>
      <c r="AB4" s="1"/>
    </row>
    <row r="5" spans="1:28" ht="15.75" customHeight="1" x14ac:dyDescent="0.25">
      <c r="A5" s="1"/>
      <c r="B5" s="10" t="s">
        <v>6</v>
      </c>
      <c r="C5" s="11">
        <f t="shared" ref="C5:C11" si="1">SUM(D5:AA5)</f>
        <v>204994.45949101681</v>
      </c>
      <c r="D5" s="11">
        <v>100</v>
      </c>
      <c r="E5" s="11">
        <v>1000</v>
      </c>
      <c r="F5" s="11">
        <v>3000</v>
      </c>
      <c r="G5" s="11">
        <f>F5*150%</f>
        <v>4500</v>
      </c>
      <c r="H5" s="11">
        <f t="shared" ref="H5:J5" si="2">G5*125%</f>
        <v>5625</v>
      </c>
      <c r="I5" s="11">
        <f t="shared" si="2"/>
        <v>7031.25</v>
      </c>
      <c r="J5" s="11">
        <f t="shared" si="2"/>
        <v>8789.0625</v>
      </c>
      <c r="K5" s="11">
        <f t="shared" ref="K5:L5" si="3">J5*110%</f>
        <v>9667.96875</v>
      </c>
      <c r="L5" s="11">
        <f t="shared" si="3"/>
        <v>10634.765625</v>
      </c>
      <c r="M5" s="11">
        <f>L5*102%</f>
        <v>10847.4609375</v>
      </c>
      <c r="N5" s="11">
        <f>M5*70%</f>
        <v>7593.2226562499991</v>
      </c>
      <c r="O5" s="11">
        <f t="shared" ref="O5:Q5" si="4">N5*110%</f>
        <v>8352.544921875</v>
      </c>
      <c r="P5" s="11">
        <f t="shared" si="4"/>
        <v>9187.7994140625015</v>
      </c>
      <c r="Q5" s="11">
        <f t="shared" si="4"/>
        <v>10106.579355468752</v>
      </c>
      <c r="R5" s="11">
        <f>Q5*95%</f>
        <v>9601.2503876953142</v>
      </c>
      <c r="S5" s="11">
        <f t="shared" ref="S5:W5" si="5">R5*105%</f>
        <v>10081.312907080081</v>
      </c>
      <c r="T5" s="11">
        <f t="shared" si="5"/>
        <v>10585.378552434086</v>
      </c>
      <c r="U5" s="11">
        <f t="shared" si="5"/>
        <v>11114.64748005579</v>
      </c>
      <c r="V5" s="11">
        <f t="shared" si="5"/>
        <v>11670.379854058579</v>
      </c>
      <c r="W5" s="11">
        <f t="shared" si="5"/>
        <v>12253.898846761509</v>
      </c>
      <c r="X5" s="11">
        <f t="shared" ref="X5:Y5" si="6">W5*101%</f>
        <v>12376.437835229124</v>
      </c>
      <c r="Y5" s="11">
        <f t="shared" si="6"/>
        <v>12500.202213581415</v>
      </c>
      <c r="Z5" s="11">
        <f>Y5*70%</f>
        <v>8750.1415495069905</v>
      </c>
      <c r="AA5" s="11">
        <f>Z5*110%</f>
        <v>9625.1557044576912</v>
      </c>
      <c r="AB5" s="1"/>
    </row>
    <row r="6" spans="1:28" ht="15.75" customHeight="1" x14ac:dyDescent="0.25">
      <c r="A6" s="1"/>
      <c r="B6" s="10" t="s">
        <v>7</v>
      </c>
      <c r="C6" s="11">
        <f t="shared" si="1"/>
        <v>171001.71881968461</v>
      </c>
      <c r="D6" s="11">
        <f>D5*Лист2!$C$5</f>
        <v>75</v>
      </c>
      <c r="E6" s="11">
        <f>E5*Лист2!$C$5</f>
        <v>750</v>
      </c>
      <c r="F6" s="11">
        <f>F5*Лист2!$C$5</f>
        <v>2250</v>
      </c>
      <c r="G6" s="11">
        <f>G5*Лист2!$C$5</f>
        <v>3375</v>
      </c>
      <c r="H6" s="11">
        <f>H5*Лист2!$C$5</f>
        <v>4218.75</v>
      </c>
      <c r="I6" s="11">
        <f>I5*Лист2!$C$5</f>
        <v>5273.4375</v>
      </c>
      <c r="J6" s="11">
        <f>J5*Лист2!$C$5</f>
        <v>6591.796875</v>
      </c>
      <c r="K6" s="11">
        <f>K5*Лист2!$C$5</f>
        <v>7250.9765625</v>
      </c>
      <c r="L6" s="11">
        <f>L5*Лист2!$C$5</f>
        <v>7976.07421875</v>
      </c>
      <c r="M6" s="11">
        <f>M5*Лист2!$C$5</f>
        <v>8135.595703125</v>
      </c>
      <c r="N6" s="11">
        <f>N5*Лист2!$D$5</f>
        <v>6606.1037109374993</v>
      </c>
      <c r="O6" s="11">
        <f>O5*Лист2!$D$5</f>
        <v>7266.7140820312497</v>
      </c>
      <c r="P6" s="11">
        <f>P5*Лист2!$D$5</f>
        <v>7993.3854902343764</v>
      </c>
      <c r="Q6" s="11">
        <f>Q5*Лист2!$D$5</f>
        <v>8792.7240392578133</v>
      </c>
      <c r="R6" s="11">
        <f>R5*Лист2!$D$5</f>
        <v>8353.0878372949228</v>
      </c>
      <c r="S6" s="11">
        <f>S5*Лист2!$D$5</f>
        <v>8770.7422291596704</v>
      </c>
      <c r="T6" s="11">
        <f>T5*Лист2!$D$5</f>
        <v>9209.2793406176552</v>
      </c>
      <c r="U6" s="11">
        <f>U5*Лист2!$D$5</f>
        <v>9669.7433076485377</v>
      </c>
      <c r="V6" s="11">
        <f>V5*Лист2!$D$5</f>
        <v>10153.230473030964</v>
      </c>
      <c r="W6" s="11">
        <f>W5*Лист2!$D$5</f>
        <v>10660.891996682512</v>
      </c>
      <c r="X6" s="11">
        <f>X5*Лист2!$D$5</f>
        <v>10767.500916649338</v>
      </c>
      <c r="Y6" s="11">
        <f>Y5*Лист2!$D$5</f>
        <v>10875.175925815831</v>
      </c>
      <c r="Z6" s="11">
        <f>Z5*Лист2!$D$5</f>
        <v>7612.6231480710812</v>
      </c>
      <c r="AA6" s="11">
        <f>AA5*Лист2!$D$5</f>
        <v>8373.8854628781919</v>
      </c>
      <c r="AB6" s="1"/>
    </row>
    <row r="7" spans="1:28" ht="15.75" customHeight="1" x14ac:dyDescent="0.25">
      <c r="A7" s="1"/>
      <c r="B7" s="29" t="s">
        <v>35</v>
      </c>
      <c r="C7" s="11">
        <f t="shared" si="1"/>
        <v>26207822.285478998</v>
      </c>
      <c r="D7" s="11">
        <f>Лист2!$C$12*Лист2!$C$13*Лист2!$C$14*Лист1!D6</f>
        <v>7500</v>
      </c>
      <c r="E7" s="11">
        <f>Лист2!$C$12*Лист2!$C$13*Лист2!$C$14*Лист1!E6</f>
        <v>75000</v>
      </c>
      <c r="F7" s="11">
        <f>Лист2!$C$12*Лист2!$C$13*Лист2!$C$14*Лист1!F6</f>
        <v>225000</v>
      </c>
      <c r="G7" s="11">
        <f>Лист2!$C$12*Лист2!$C$13*Лист2!$C$14*Лист1!G6</f>
        <v>337500</v>
      </c>
      <c r="H7" s="11">
        <f>Лист2!$C$12*Лист2!$C$13*Лист2!$C$14*Лист1!H6</f>
        <v>421875</v>
      </c>
      <c r="I7" s="11">
        <f>Лист2!$C$12*Лист2!$C$13*Лист2!$C$14*Лист1!I6</f>
        <v>527343.75</v>
      </c>
      <c r="J7" s="11">
        <f>Лист2!$C$12*Лист2!$C$13*Лист2!$C$14*Лист1!J6</f>
        <v>659179.6875</v>
      </c>
      <c r="K7" s="11">
        <f>Лист2!$C$12*Лист2!$C$13*Лист2!$C$14*Лист1!K6</f>
        <v>725097.65625</v>
      </c>
      <c r="L7" s="11">
        <f>Лист2!$C$12*Лист2!$C$13*Лист2!$C$14*Лист1!L6</f>
        <v>797607.421875</v>
      </c>
      <c r="M7" s="11">
        <f>Лист2!$C$12*Лист2!$C$13*Лист2!$C$14*Лист1!M6</f>
        <v>813559.5703125</v>
      </c>
      <c r="N7" s="11">
        <f>Лист2!$D$12*Лист2!$D$13*Лист2!$D$14*Лист1!N6</f>
        <v>1141534.7212499997</v>
      </c>
      <c r="O7" s="11">
        <f>Лист2!$D$12*Лист2!$D$13*Лист2!$D$14*Лист1!O6</f>
        <v>1255688.1933749998</v>
      </c>
      <c r="P7" s="11">
        <f>Лист2!$D$12*Лист2!$D$13*Лист2!$D$14*Лист1!P6</f>
        <v>1381257.0127125001</v>
      </c>
      <c r="Q7" s="11">
        <f>Лист2!$D$12*Лист2!$D$13*Лист2!$D$14*Лист1!Q6</f>
        <v>1519382.71398375</v>
      </c>
      <c r="R7" s="11">
        <f>Лист2!$D$12*Лист2!$D$13*Лист2!$D$14*Лист1!R6</f>
        <v>1443413.5782845626</v>
      </c>
      <c r="S7" s="11">
        <f>Лист2!$D$12*Лист2!$D$13*Лист2!$D$14*Лист1!S6</f>
        <v>1515584.2571987908</v>
      </c>
      <c r="T7" s="11">
        <f>Лист2!$D$12*Лист2!$D$13*Лист2!$D$14*Лист1!T6</f>
        <v>1591363.4700587306</v>
      </c>
      <c r="U7" s="11">
        <f>Лист2!$D$12*Лист2!$D$13*Лист2!$D$14*Лист1!U6</f>
        <v>1670931.6435616671</v>
      </c>
      <c r="V7" s="11">
        <f>Лист2!$D$12*Лист2!$D$13*Лист2!$D$14*Лист1!V6</f>
        <v>1754478.2257397505</v>
      </c>
      <c r="W7" s="11">
        <f>Лист2!$D$12*Лист2!$D$13*Лист2!$D$14*Лист1!W6</f>
        <v>1842202.1370267379</v>
      </c>
      <c r="X7" s="11">
        <f>Лист2!$D$12*Лист2!$D$13*Лист2!$D$14*Лист1!X6</f>
        <v>1860624.1583970054</v>
      </c>
      <c r="Y7" s="11">
        <f>Лист2!$D$12*Лист2!$D$13*Лист2!$D$14*Лист1!Y6</f>
        <v>1879230.3999809753</v>
      </c>
      <c r="Z7" s="11">
        <f>Лист2!$D$12*Лист2!$D$13*Лист2!$D$14*Лист1!Z6</f>
        <v>1315461.2799866828</v>
      </c>
      <c r="AA7" s="11">
        <f>Лист2!$D$12*Лист2!$D$13*Лист2!$D$14*Лист1!AA6</f>
        <v>1447007.4079853515</v>
      </c>
      <c r="AB7" s="1"/>
    </row>
    <row r="8" spans="1:28" ht="15.75" customHeight="1" x14ac:dyDescent="0.25">
      <c r="A8" s="1"/>
      <c r="B8" s="29" t="s">
        <v>37</v>
      </c>
      <c r="C8" s="11">
        <f t="shared" si="1"/>
        <v>10172158.088499939</v>
      </c>
      <c r="D8" s="11">
        <f>D6*Лист2!$C$15*Лист2!$C$16</f>
        <v>3375</v>
      </c>
      <c r="E8" s="11">
        <f>E6*Лист2!$C$15*Лист2!$C$16</f>
        <v>33750</v>
      </c>
      <c r="F8" s="11">
        <f>F6*Лист2!$C$15*Лист2!$C$16</f>
        <v>101250</v>
      </c>
      <c r="G8" s="11">
        <f>G6*Лист2!$C$15*Лист2!$C$16</f>
        <v>151875</v>
      </c>
      <c r="H8" s="11">
        <f>H6*Лист2!$C$15*Лист2!$C$16</f>
        <v>189843.75</v>
      </c>
      <c r="I8" s="11">
        <f>I6*Лист2!$C$15*Лист2!$C$16</f>
        <v>237304.6875</v>
      </c>
      <c r="J8" s="11">
        <f>J6*Лист2!$C$15*Лист2!$C$16</f>
        <v>296630.859375</v>
      </c>
      <c r="K8" s="11">
        <f>K6*Лист2!$C$15*Лист2!$C$16</f>
        <v>326293.9453125</v>
      </c>
      <c r="L8" s="11">
        <f>L6*Лист2!$C$15*Лист2!$C$16</f>
        <v>358923.33984375</v>
      </c>
      <c r="M8" s="11">
        <f>M6*Лист2!$C$15*Лист2!$C$16</f>
        <v>366101.806640625</v>
      </c>
      <c r="N8" s="11">
        <f>N6*Лист2!$D$15*Лист2!$D$16</f>
        <v>428075.52046874992</v>
      </c>
      <c r="O8" s="11">
        <f>O6*Лист2!$D$15*Лист2!$D$16</f>
        <v>470883.07251562498</v>
      </c>
      <c r="P8" s="11">
        <f>P6*Лист2!$D$15*Лист2!$D$16</f>
        <v>517971.37976718758</v>
      </c>
      <c r="Q8" s="11">
        <f>Q6*Лист2!$D$15*Лист2!$D$16</f>
        <v>569768.51774390624</v>
      </c>
      <c r="R8" s="11">
        <f>R6*Лист2!$D$15*Лист2!$D$16</f>
        <v>541280.09185671096</v>
      </c>
      <c r="S8" s="11">
        <f>S6*Лист2!$D$15*Лист2!$D$16</f>
        <v>568344.09644954663</v>
      </c>
      <c r="T8" s="11">
        <f>T6*Лист2!$D$15*Лист2!$D$16</f>
        <v>596761.30127202405</v>
      </c>
      <c r="U8" s="11">
        <f>U6*Лист2!$D$15*Лист2!$D$16</f>
        <v>626599.36633562518</v>
      </c>
      <c r="V8" s="11">
        <f>V6*Лист2!$D$15*Лист2!$D$16</f>
        <v>657929.3346524064</v>
      </c>
      <c r="W8" s="11">
        <f>W6*Лист2!$D$15*Лист2!$D$16</f>
        <v>690825.80138502677</v>
      </c>
      <c r="X8" s="11">
        <f>X6*Лист2!$D$15*Лист2!$D$16</f>
        <v>697734.05939887709</v>
      </c>
      <c r="Y8" s="11">
        <f>Y6*Лист2!$D$15*Лист2!$D$16</f>
        <v>704711.39999286586</v>
      </c>
      <c r="Z8" s="11">
        <f>Z6*Лист2!$D$15*Лист2!$D$16</f>
        <v>493297.97999500606</v>
      </c>
      <c r="AA8" s="11">
        <f>AA6*Лист2!$D$15*Лист2!$D$16</f>
        <v>542627.77799450676</v>
      </c>
      <c r="AB8" s="1"/>
    </row>
    <row r="9" spans="1:28" ht="15.75" customHeight="1" x14ac:dyDescent="0.25">
      <c r="A9" s="1"/>
      <c r="B9" s="29" t="s">
        <v>48</v>
      </c>
      <c r="C9" s="11">
        <f t="shared" si="1"/>
        <v>176420462.77057192</v>
      </c>
      <c r="D9" s="11">
        <f>D6*Лист2!$C$17*$G$2</f>
        <v>67500</v>
      </c>
      <c r="E9" s="11">
        <f>E6*Лист2!$C$17*$G$2</f>
        <v>675000</v>
      </c>
      <c r="F9" s="11">
        <f>F6*Лист2!$C$17*$G$2</f>
        <v>2025000</v>
      </c>
      <c r="G9" s="11">
        <f>G6*Лист2!$C$17*$G$2</f>
        <v>3037500</v>
      </c>
      <c r="H9" s="11">
        <f>H6*Лист2!$C$17*$G$2</f>
        <v>3796875</v>
      </c>
      <c r="I9" s="11">
        <f>I6*Лист2!$C$17*$G$2</f>
        <v>4746093.75</v>
      </c>
      <c r="J9" s="11">
        <f>J6*Лист2!$C$17*$G$2</f>
        <v>5932617.1875</v>
      </c>
      <c r="K9" s="11">
        <f>K6*Лист2!$C$17*$G$2</f>
        <v>6525878.90625</v>
      </c>
      <c r="L9" s="11">
        <f>L6*Лист2!$C$17*$G$2</f>
        <v>7178466.796875</v>
      </c>
      <c r="M9" s="11">
        <f>M6*Лист2!$C$17*$G$2</f>
        <v>7322036.1328125</v>
      </c>
      <c r="N9" s="11">
        <f>N6*Лист2!$D$17*$G$2</f>
        <v>7134592.0078124991</v>
      </c>
      <c r="O9" s="11">
        <f>O6*Лист2!$D$17*$G$2</f>
        <v>7848051.2085937494</v>
      </c>
      <c r="P9" s="11">
        <f>P6*Лист2!$D$17*$G$2</f>
        <v>8632856.3294531256</v>
      </c>
      <c r="Q9" s="11">
        <f>Q6*Лист2!$D$17*$G$2</f>
        <v>9496141.9623984378</v>
      </c>
      <c r="R9" s="11">
        <f>R6*Лист2!$D$17*$G$2</f>
        <v>9021334.8642785158</v>
      </c>
      <c r="S9" s="11">
        <f>S6*Лист2!$D$17*$G$2</f>
        <v>9472401.6074924432</v>
      </c>
      <c r="T9" s="11">
        <f>T6*Лист2!$D$17*$G$2</f>
        <v>9946021.6878670678</v>
      </c>
      <c r="U9" s="11">
        <f>U6*Лист2!$D$17*$G$2</f>
        <v>10443322.77226042</v>
      </c>
      <c r="V9" s="11">
        <f>V6*Лист2!$D$17*$G$2</f>
        <v>10965488.910873441</v>
      </c>
      <c r="W9" s="11">
        <f>W6*Лист2!$D$17*$G$2</f>
        <v>11513763.356417112</v>
      </c>
      <c r="X9" s="11">
        <f>X6*Лист2!$D$17*$G$2</f>
        <v>11628900.989981286</v>
      </c>
      <c r="Y9" s="11">
        <f>Y6*Лист2!$D$17*$G$2</f>
        <v>11745189.999881098</v>
      </c>
      <c r="Z9" s="11">
        <f>Z6*Лист2!$D$17*$G$2</f>
        <v>8221632.9999167677</v>
      </c>
      <c r="AA9" s="11">
        <f>AA6*Лист2!$D$17*$G$2</f>
        <v>9043796.2999084461</v>
      </c>
      <c r="AB9" s="1"/>
    </row>
    <row r="10" spans="1:28" ht="15.75" customHeight="1" x14ac:dyDescent="0.25">
      <c r="A10" s="1"/>
      <c r="B10" s="10" t="s">
        <v>8</v>
      </c>
      <c r="C10" s="11">
        <f>SUM(D10:AA10)</f>
        <v>742905771.48557305</v>
      </c>
      <c r="D10" s="11">
        <f>D6*$C$2+SUM(D7:D9)</f>
        <v>310875</v>
      </c>
      <c r="E10" s="11">
        <f t="shared" ref="E10:AA10" si="7">E6*$C$2+SUM(E7:E9)</f>
        <v>3108750</v>
      </c>
      <c r="F10" s="11">
        <f t="shared" si="7"/>
        <v>9326250</v>
      </c>
      <c r="G10" s="11">
        <f t="shared" si="7"/>
        <v>13989375</v>
      </c>
      <c r="H10" s="11">
        <f t="shared" si="7"/>
        <v>17486718.75</v>
      </c>
      <c r="I10" s="11">
        <f t="shared" si="7"/>
        <v>21858398.4375</v>
      </c>
      <c r="J10" s="11">
        <f t="shared" si="7"/>
        <v>27322998.046875</v>
      </c>
      <c r="K10" s="11">
        <f t="shared" si="7"/>
        <v>30055297.8515625</v>
      </c>
      <c r="L10" s="11">
        <f t="shared" si="7"/>
        <v>33060827.63671875</v>
      </c>
      <c r="M10" s="11">
        <f t="shared" si="7"/>
        <v>33722044.189453125</v>
      </c>
      <c r="N10" s="11">
        <f t="shared" si="7"/>
        <v>29183123.753437497</v>
      </c>
      <c r="O10" s="11">
        <f t="shared" si="7"/>
        <v>32101436.128781252</v>
      </c>
      <c r="P10" s="11">
        <f t="shared" si="7"/>
        <v>35311579.74165938</v>
      </c>
      <c r="Q10" s="11">
        <f t="shared" si="7"/>
        <v>38842737.715825312</v>
      </c>
      <c r="R10" s="11">
        <f t="shared" si="7"/>
        <v>36900600.830034047</v>
      </c>
      <c r="S10" s="11">
        <f t="shared" si="7"/>
        <v>38745630.871535763</v>
      </c>
      <c r="T10" s="11">
        <f t="shared" si="7"/>
        <v>40682912.415112555</v>
      </c>
      <c r="U10" s="11">
        <f t="shared" si="7"/>
        <v>42717058.035868183</v>
      </c>
      <c r="V10" s="11">
        <f t="shared" si="7"/>
        <v>44852910.937661588</v>
      </c>
      <c r="W10" s="11">
        <f t="shared" si="7"/>
        <v>47095556.484544665</v>
      </c>
      <c r="X10" s="11">
        <f t="shared" si="7"/>
        <v>47566512.049390122</v>
      </c>
      <c r="Y10" s="11">
        <f t="shared" si="7"/>
        <v>48042177.169884019</v>
      </c>
      <c r="Z10" s="11">
        <f t="shared" si="7"/>
        <v>33629524.018918805</v>
      </c>
      <c r="AA10" s="11">
        <f t="shared" si="7"/>
        <v>36992476.420810699</v>
      </c>
      <c r="AB10" s="1"/>
    </row>
    <row r="11" spans="1:28" ht="15.75" customHeight="1" x14ac:dyDescent="0.25">
      <c r="A11" s="13"/>
      <c r="B11" s="14" t="s">
        <v>9</v>
      </c>
      <c r="C11" s="15">
        <f t="shared" si="1"/>
        <v>133782285.85745588</v>
      </c>
      <c r="D11" s="15">
        <f t="shared" ref="D11:AA11" si="8">D$10-D$16</f>
        <v>-46625</v>
      </c>
      <c r="E11" s="15">
        <f t="shared" si="8"/>
        <v>433750</v>
      </c>
      <c r="F11" s="15">
        <f t="shared" si="8"/>
        <v>1501250</v>
      </c>
      <c r="G11" s="15">
        <f t="shared" si="8"/>
        <v>2301875</v>
      </c>
      <c r="H11" s="15">
        <f t="shared" si="8"/>
        <v>2902343.75</v>
      </c>
      <c r="I11" s="15">
        <f t="shared" si="8"/>
        <v>3652929.6875</v>
      </c>
      <c r="J11" s="15">
        <f t="shared" si="8"/>
        <v>4591162.109375</v>
      </c>
      <c r="K11" s="15">
        <f t="shared" si="8"/>
        <v>5040278.3203125</v>
      </c>
      <c r="L11" s="15">
        <f t="shared" si="8"/>
        <v>5556306.15234375</v>
      </c>
      <c r="M11" s="15">
        <f t="shared" si="8"/>
        <v>5669832.275390625</v>
      </c>
      <c r="N11" s="15">
        <f t="shared" si="8"/>
        <v>5369604.6675000004</v>
      </c>
      <c r="O11" s="15">
        <f t="shared" si="8"/>
        <v>5921565.1342500001</v>
      </c>
      <c r="P11" s="15">
        <f t="shared" si="8"/>
        <v>6528721.6476750001</v>
      </c>
      <c r="Q11" s="15">
        <f t="shared" si="8"/>
        <v>7196593.8124424964</v>
      </c>
      <c r="R11" s="15">
        <f t="shared" si="8"/>
        <v>6829264.1218203679</v>
      </c>
      <c r="S11" s="15">
        <f t="shared" si="8"/>
        <v>7178227.3279113993</v>
      </c>
      <c r="T11" s="15">
        <f t="shared" si="8"/>
        <v>7544638.6943069696</v>
      </c>
      <c r="U11" s="15">
        <f t="shared" si="8"/>
        <v>7899370.6290223151</v>
      </c>
      <c r="V11" s="15">
        <f t="shared" si="8"/>
        <v>8303339.1604734361</v>
      </c>
      <c r="W11" s="15">
        <f t="shared" si="8"/>
        <v>8727506.118497096</v>
      </c>
      <c r="X11" s="15">
        <f t="shared" si="8"/>
        <v>8816581.1796820834</v>
      </c>
      <c r="Y11" s="15">
        <f t="shared" si="8"/>
        <v>8906546.9914788976</v>
      </c>
      <c r="Z11" s="15">
        <f t="shared" si="8"/>
        <v>6160582.8940352201</v>
      </c>
      <c r="AA11" s="15">
        <f t="shared" si="8"/>
        <v>6796641.1834387481</v>
      </c>
      <c r="AB11" s="13"/>
    </row>
    <row r="12" spans="1:28" ht="15.75" customHeight="1" x14ac:dyDescent="0.25">
      <c r="A12" s="1"/>
      <c r="B12" s="16" t="s">
        <v>10</v>
      </c>
      <c r="C12" s="17">
        <f t="shared" ref="C12:AA12" si="9">C11/C10</f>
        <v>0.18007975034294627</v>
      </c>
      <c r="D12" s="17">
        <f t="shared" si="9"/>
        <v>-0.14997989545637314</v>
      </c>
      <c r="E12" s="17">
        <f t="shared" si="9"/>
        <v>0.13952553277040611</v>
      </c>
      <c r="F12" s="17">
        <f t="shared" si="9"/>
        <v>0.16097037930572308</v>
      </c>
      <c r="G12" s="17">
        <f t="shared" si="9"/>
        <v>0.16454452039494258</v>
      </c>
      <c r="H12" s="17">
        <f t="shared" si="9"/>
        <v>0.1659741768306304</v>
      </c>
      <c r="I12" s="17">
        <f t="shared" si="9"/>
        <v>0.16711790197918064</v>
      </c>
      <c r="J12" s="17">
        <f t="shared" si="9"/>
        <v>0.16803288209802081</v>
      </c>
      <c r="K12" s="17">
        <f t="shared" si="9"/>
        <v>0.1677001620548062</v>
      </c>
      <c r="L12" s="17">
        <f t="shared" si="9"/>
        <v>0.16806312937467668</v>
      </c>
      <c r="M12" s="17">
        <f t="shared" si="9"/>
        <v>0.16813429943739638</v>
      </c>
      <c r="N12" s="17">
        <f t="shared" si="9"/>
        <v>0.18399691249184769</v>
      </c>
      <c r="O12" s="17">
        <f t="shared" si="9"/>
        <v>0.18446418130623415</v>
      </c>
      <c r="P12" s="17">
        <f t="shared" si="9"/>
        <v>0.18488897113749458</v>
      </c>
      <c r="Q12" s="17">
        <f t="shared" si="9"/>
        <v>0.18527514371136769</v>
      </c>
      <c r="R12" s="17">
        <f t="shared" si="9"/>
        <v>0.18507189498827645</v>
      </c>
      <c r="S12" s="17">
        <f t="shared" si="9"/>
        <v>0.18526546520074447</v>
      </c>
      <c r="T12" s="17">
        <f t="shared" si="9"/>
        <v>0.18544981778404707</v>
      </c>
      <c r="U12" s="17">
        <f t="shared" si="9"/>
        <v>0.1849230961174681</v>
      </c>
      <c r="V12" s="17">
        <f t="shared" si="9"/>
        <v>0.18512375199045067</v>
      </c>
      <c r="W12" s="17">
        <f t="shared" si="9"/>
        <v>0.18531485282186227</v>
      </c>
      <c r="X12" s="17">
        <f t="shared" si="9"/>
        <v>0.18535269457065701</v>
      </c>
      <c r="Y12" s="17">
        <f t="shared" si="9"/>
        <v>0.18539016164867117</v>
      </c>
      <c r="Z12" s="17">
        <f t="shared" si="9"/>
        <v>0.18318971420973695</v>
      </c>
      <c r="AA12" s="18">
        <f t="shared" si="9"/>
        <v>0.1837303646861336</v>
      </c>
      <c r="AB12" s="1"/>
    </row>
    <row r="13" spans="1:28" ht="15.75" customHeight="1" x14ac:dyDescent="0.25">
      <c r="A13" s="1"/>
      <c r="B13" s="10" t="s">
        <v>11</v>
      </c>
      <c r="C13" s="11">
        <f>SUM(D13:AA13)-Лист2!C18-Лист2!C19</f>
        <v>93336714.393091917</v>
      </c>
      <c r="D13" s="19">
        <f t="shared" ref="D13:AA13" si="10">D11-D23</f>
        <v>-34968.75</v>
      </c>
      <c r="E13" s="19">
        <f t="shared" si="10"/>
        <v>325312.5</v>
      </c>
      <c r="F13" s="11">
        <f t="shared" si="10"/>
        <v>1125937.5</v>
      </c>
      <c r="G13" s="11">
        <f t="shared" si="10"/>
        <v>1726406.25</v>
      </c>
      <c r="H13" s="11">
        <f t="shared" si="10"/>
        <v>2176757.8125</v>
      </c>
      <c r="I13" s="11">
        <f t="shared" si="10"/>
        <v>2739697.265625</v>
      </c>
      <c r="J13" s="11">
        <f t="shared" si="10"/>
        <v>3443371.58203125</v>
      </c>
      <c r="K13" s="11">
        <f t="shared" si="10"/>
        <v>3780208.740234375</v>
      </c>
      <c r="L13" s="11">
        <f t="shared" si="10"/>
        <v>4167229.6142578125</v>
      </c>
      <c r="M13" s="11">
        <f t="shared" si="10"/>
        <v>4252374.2065429688</v>
      </c>
      <c r="N13" s="11">
        <f t="shared" si="10"/>
        <v>4027203.5006250003</v>
      </c>
      <c r="O13" s="11">
        <f t="shared" si="10"/>
        <v>4441173.8506875001</v>
      </c>
      <c r="P13" s="11">
        <f t="shared" si="10"/>
        <v>4896541.2357562501</v>
      </c>
      <c r="Q13" s="11">
        <f t="shared" si="10"/>
        <v>5397445.3593318723</v>
      </c>
      <c r="R13" s="11">
        <f t="shared" si="10"/>
        <v>5121948.0913652759</v>
      </c>
      <c r="S13" s="11">
        <f t="shared" si="10"/>
        <v>5383670.4959335495</v>
      </c>
      <c r="T13" s="11">
        <f t="shared" si="10"/>
        <v>5658479.0207302272</v>
      </c>
      <c r="U13" s="11">
        <f t="shared" si="10"/>
        <v>5924527.9717667364</v>
      </c>
      <c r="V13" s="11">
        <f t="shared" si="10"/>
        <v>6227504.3703550771</v>
      </c>
      <c r="W13" s="11">
        <f t="shared" si="10"/>
        <v>6545629.588872822</v>
      </c>
      <c r="X13" s="11">
        <f t="shared" si="10"/>
        <v>6612435.8847615626</v>
      </c>
      <c r="Y13" s="11">
        <f t="shared" si="10"/>
        <v>6679910.2436091732</v>
      </c>
      <c r="Z13" s="11">
        <f t="shared" si="10"/>
        <v>4620437.1705264151</v>
      </c>
      <c r="AA13" s="12">
        <f t="shared" si="10"/>
        <v>5097480.8875790611</v>
      </c>
      <c r="AB13" s="1"/>
    </row>
    <row r="14" spans="1:28" ht="15.75" customHeight="1" x14ac:dyDescent="0.25">
      <c r="A14" s="1"/>
      <c r="B14" s="16" t="s">
        <v>12</v>
      </c>
      <c r="C14" s="17">
        <f t="shared" ref="C14:AA14" si="11">C13/C10</f>
        <v>0.12563735264359094</v>
      </c>
      <c r="D14" s="17">
        <f t="shared" si="11"/>
        <v>-0.11248492159227985</v>
      </c>
      <c r="E14" s="17">
        <f t="shared" si="11"/>
        <v>0.10464414957780459</v>
      </c>
      <c r="F14" s="17">
        <f t="shared" si="11"/>
        <v>0.12072778447929232</v>
      </c>
      <c r="G14" s="17">
        <f t="shared" si="11"/>
        <v>0.12340839029620694</v>
      </c>
      <c r="H14" s="17">
        <f t="shared" si="11"/>
        <v>0.12448063262297279</v>
      </c>
      <c r="I14" s="17">
        <f t="shared" si="11"/>
        <v>0.12533842648438548</v>
      </c>
      <c r="J14" s="17">
        <f t="shared" si="11"/>
        <v>0.12602466157351561</v>
      </c>
      <c r="K14" s="17">
        <f t="shared" si="11"/>
        <v>0.12577512154110465</v>
      </c>
      <c r="L14" s="17">
        <f t="shared" si="11"/>
        <v>0.12604734703100753</v>
      </c>
      <c r="M14" s="17">
        <f t="shared" si="11"/>
        <v>0.1261007245780473</v>
      </c>
      <c r="N14" s="17">
        <f t="shared" si="11"/>
        <v>0.13799768436888576</v>
      </c>
      <c r="O14" s="17">
        <f t="shared" si="11"/>
        <v>0.1383481359796756</v>
      </c>
      <c r="P14" s="17">
        <f t="shared" si="11"/>
        <v>0.13866672835312094</v>
      </c>
      <c r="Q14" s="17">
        <f t="shared" si="11"/>
        <v>0.13895635778352577</v>
      </c>
      <c r="R14" s="17">
        <f t="shared" si="11"/>
        <v>0.13880392124120733</v>
      </c>
      <c r="S14" s="17">
        <f t="shared" si="11"/>
        <v>0.13894909890055834</v>
      </c>
      <c r="T14" s="17">
        <f t="shared" si="11"/>
        <v>0.13908736333803531</v>
      </c>
      <c r="U14" s="17">
        <f t="shared" si="11"/>
        <v>0.13869232208810109</v>
      </c>
      <c r="V14" s="17">
        <f t="shared" si="11"/>
        <v>0.13884281399283802</v>
      </c>
      <c r="W14" s="17">
        <f t="shared" si="11"/>
        <v>0.13898613961639672</v>
      </c>
      <c r="X14" s="17">
        <f t="shared" si="11"/>
        <v>0.13901452092799274</v>
      </c>
      <c r="Y14" s="17">
        <f t="shared" si="11"/>
        <v>0.13904262123650338</v>
      </c>
      <c r="Z14" s="17">
        <f t="shared" si="11"/>
        <v>0.13739228565730272</v>
      </c>
      <c r="AA14" s="18">
        <f t="shared" si="11"/>
        <v>0.13779777351460021</v>
      </c>
      <c r="AB14" s="1"/>
    </row>
    <row r="15" spans="1:28" ht="15.75" customHeight="1" x14ac:dyDescent="0.3">
      <c r="A15" s="1"/>
      <c r="B15" s="20" t="s">
        <v>13</v>
      </c>
      <c r="C15" s="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1"/>
    </row>
    <row r="16" spans="1:28" ht="15.75" customHeight="1" x14ac:dyDescent="0.25">
      <c r="A16" s="1"/>
      <c r="B16" s="10" t="s">
        <v>14</v>
      </c>
      <c r="C16" s="11">
        <f t="shared" ref="C16:C23" si="12">SUM(D16:AA16)</f>
        <v>609123485.62811732</v>
      </c>
      <c r="D16" s="11">
        <f>D19+D20+D21+D18+D22+D17</f>
        <v>357500</v>
      </c>
      <c r="E16" s="11">
        <f t="shared" ref="E16:L16" si="13">E19+E20+E21+E18+E22+E17</f>
        <v>2675000</v>
      </c>
      <c r="F16" s="11">
        <f t="shared" si="13"/>
        <v>7825000</v>
      </c>
      <c r="G16" s="11">
        <f t="shared" si="13"/>
        <v>11687500</v>
      </c>
      <c r="H16" s="11">
        <f t="shared" si="13"/>
        <v>14584375</v>
      </c>
      <c r="I16" s="11">
        <f t="shared" si="13"/>
        <v>18205468.75</v>
      </c>
      <c r="J16" s="11">
        <f t="shared" si="13"/>
        <v>22731835.9375</v>
      </c>
      <c r="K16" s="11">
        <f t="shared" si="13"/>
        <v>25015019.53125</v>
      </c>
      <c r="L16" s="11">
        <f t="shared" si="13"/>
        <v>27504521.484375</v>
      </c>
      <c r="M16" s="11">
        <f>M19+M20+M21+M18+M22+M17</f>
        <v>28052211.9140625</v>
      </c>
      <c r="N16" s="11">
        <f t="shared" ref="N16:AA16" si="14">N19+N20+N21+N18+N22+N17</f>
        <v>23813519.085937496</v>
      </c>
      <c r="O16" s="11">
        <f t="shared" si="14"/>
        <v>26179870.994531251</v>
      </c>
      <c r="P16" s="11">
        <f t="shared" si="14"/>
        <v>28782858.09398438</v>
      </c>
      <c r="Q16" s="11">
        <f t="shared" si="14"/>
        <v>31646143.903382815</v>
      </c>
      <c r="R16" s="11">
        <f t="shared" si="14"/>
        <v>30071336.708213679</v>
      </c>
      <c r="S16" s="11">
        <f t="shared" si="14"/>
        <v>31567403.543624364</v>
      </c>
      <c r="T16" s="11">
        <f t="shared" si="14"/>
        <v>33138273.720805585</v>
      </c>
      <c r="U16" s="11">
        <f t="shared" si="14"/>
        <v>34817687.406845868</v>
      </c>
      <c r="V16" s="11">
        <f t="shared" si="14"/>
        <v>36549571.777188152</v>
      </c>
      <c r="W16" s="11">
        <f t="shared" si="14"/>
        <v>38368050.366047569</v>
      </c>
      <c r="X16" s="11">
        <f t="shared" si="14"/>
        <v>38749930.869708039</v>
      </c>
      <c r="Y16" s="11">
        <f t="shared" si="14"/>
        <v>39135630.178405121</v>
      </c>
      <c r="Z16" s="11">
        <f t="shared" si="14"/>
        <v>27468941.124883585</v>
      </c>
      <c r="AA16" s="11">
        <f t="shared" si="14"/>
        <v>30195835.237371951</v>
      </c>
      <c r="AB16" s="1"/>
    </row>
    <row r="17" spans="1:28" ht="15.75" customHeight="1" x14ac:dyDescent="0.25">
      <c r="A17" s="1"/>
      <c r="B17" s="10" t="s">
        <v>32</v>
      </c>
      <c r="C17" s="11">
        <f>SUM(D17:AA17)</f>
        <v>113023978.76111045</v>
      </c>
      <c r="D17" s="11">
        <f>Лист2!$C$13*D6*Лист2!$C$12*0.5</f>
        <v>37500</v>
      </c>
      <c r="E17" s="11">
        <f>Лист2!$C$13*E6*Лист2!$C$12*0.5</f>
        <v>375000</v>
      </c>
      <c r="F17" s="11">
        <f>Лист2!$C$13*F6*Лист2!$C$12*0.5</f>
        <v>1125000</v>
      </c>
      <c r="G17" s="11">
        <f>Лист2!$C$13*G6*Лист2!$C$12*0.5</f>
        <v>1687500</v>
      </c>
      <c r="H17" s="11">
        <f>Лист2!$C$13*H6*Лист2!$C$12*0.5</f>
        <v>2109375</v>
      </c>
      <c r="I17" s="11">
        <f>Лист2!$C$13*I6*Лист2!$C$12*0.5</f>
        <v>2636718.75</v>
      </c>
      <c r="J17" s="11">
        <f>Лист2!$C$13*J6*Лист2!$C$12*0.5</f>
        <v>3295898.4375</v>
      </c>
      <c r="K17" s="11">
        <f>Лист2!$C$13*K6*Лист2!$C$12*0.5</f>
        <v>3625488.28125</v>
      </c>
      <c r="L17" s="11">
        <f>Лист2!$C$13*L6*Лист2!$C$12*0.5</f>
        <v>3988037.109375</v>
      </c>
      <c r="M17" s="11">
        <f>Лист2!$C$13*M6*Лист2!$C$12*0.5</f>
        <v>4067797.8515625</v>
      </c>
      <c r="N17" s="11">
        <f>Лист2!$D$13*N6*Лист2!$D$12*0.5</f>
        <v>4756394.6718749991</v>
      </c>
      <c r="O17" s="11">
        <f>Лист2!$D$13*O6*Лист2!$D$12*0.5</f>
        <v>5232034.1390624996</v>
      </c>
      <c r="P17" s="11">
        <f>Лист2!$D$13*P6*Лист2!$D$12*0.5</f>
        <v>5755237.5529687507</v>
      </c>
      <c r="Q17" s="11">
        <f>Лист2!$D$13*Q6*Лист2!$D$12*0.5</f>
        <v>6330761.3082656246</v>
      </c>
      <c r="R17" s="11">
        <f>Лист2!$D$13*R6*Лист2!$D$12*0.5</f>
        <v>6014223.2428523442</v>
      </c>
      <c r="S17" s="11">
        <f>Лист2!$D$13*S6*Лист2!$D$12*0.5</f>
        <v>6314934.4049949627</v>
      </c>
      <c r="T17" s="11">
        <f>Лист2!$D$13*T6*Лист2!$D$12*0.5</f>
        <v>6630681.1252447115</v>
      </c>
      <c r="U17" s="11">
        <f>Лист2!$D$13*U6*Лист2!$D$12*0.5</f>
        <v>6962215.1815069467</v>
      </c>
      <c r="V17" s="11">
        <f>Лист2!$D$13*V6*Лист2!$D$12*0.5</f>
        <v>7310325.9405822949</v>
      </c>
      <c r="W17" s="11">
        <f>Лист2!$D$13*W6*Лист2!$D$12*0.5</f>
        <v>7675842.2376114083</v>
      </c>
      <c r="X17" s="11">
        <f>Лист2!$D$13*X6*Лист2!$D$12*0.5</f>
        <v>7752600.6599875232</v>
      </c>
      <c r="Y17" s="11">
        <f>Лист2!$D$13*Y6*Лист2!$D$12*0.5</f>
        <v>7830126.6665873975</v>
      </c>
      <c r="Z17" s="11">
        <f>Лист2!$D$13*Z6*Лист2!$D$12*0.5</f>
        <v>5481088.6666111778</v>
      </c>
      <c r="AA17" s="11">
        <f>Лист2!$D$13*AA6*Лист2!$D$12*0.5</f>
        <v>6029197.5332722981</v>
      </c>
      <c r="AB17" s="1"/>
    </row>
    <row r="18" spans="1:28" ht="15.75" customHeight="1" x14ac:dyDescent="0.25">
      <c r="A18" s="1"/>
      <c r="B18" s="10" t="s">
        <v>15</v>
      </c>
      <c r="C18" s="11">
        <f t="shared" si="12"/>
        <v>51248614.872754209</v>
      </c>
      <c r="D18" s="11">
        <f>D5*Лист2!$C$6</f>
        <v>25000</v>
      </c>
      <c r="E18" s="11">
        <f>E5*Лист2!$C$6</f>
        <v>250000</v>
      </c>
      <c r="F18" s="11">
        <f>F5*Лист2!$C$6</f>
        <v>750000</v>
      </c>
      <c r="G18" s="11">
        <f>G5*Лист2!$C$6</f>
        <v>1125000</v>
      </c>
      <c r="H18" s="11">
        <f>H5*Лист2!$C$6</f>
        <v>1406250</v>
      </c>
      <c r="I18" s="11">
        <f>I5*Лист2!$C$6</f>
        <v>1757812.5</v>
      </c>
      <c r="J18" s="11">
        <f>J5*Лист2!$C$6</f>
        <v>2197265.625</v>
      </c>
      <c r="K18" s="11">
        <f>K5*Лист2!$C$6</f>
        <v>2416992.1875</v>
      </c>
      <c r="L18" s="11">
        <f>L5*Лист2!$C$6</f>
        <v>2658691.40625</v>
      </c>
      <c r="M18" s="11">
        <f>M5*Лист2!$C$6</f>
        <v>2711865.234375</v>
      </c>
      <c r="N18" s="11">
        <f>N5*Лист2!$C$6</f>
        <v>1898305.6640624998</v>
      </c>
      <c r="O18" s="11">
        <f>O5*Лист2!$C$6</f>
        <v>2088136.23046875</v>
      </c>
      <c r="P18" s="11">
        <f>P5*Лист2!$C$6</f>
        <v>2296949.8535156255</v>
      </c>
      <c r="Q18" s="11">
        <f>Q5*Лист2!$C$6</f>
        <v>2526644.838867188</v>
      </c>
      <c r="R18" s="11">
        <f>R5*Лист2!$C$6</f>
        <v>2400312.5969238286</v>
      </c>
      <c r="S18" s="11">
        <f>S5*Лист2!$C$6</f>
        <v>2520328.2267700201</v>
      </c>
      <c r="T18" s="11">
        <f>T5*Лист2!$C$6</f>
        <v>2646344.6381085212</v>
      </c>
      <c r="U18" s="11">
        <f>U5*Лист2!$C$6</f>
        <v>2778661.8700139476</v>
      </c>
      <c r="V18" s="11">
        <f>V5*Лист2!$C$6</f>
        <v>2917594.9635146447</v>
      </c>
      <c r="W18" s="11">
        <f>W5*Лист2!$C$6</f>
        <v>3063474.7116903774</v>
      </c>
      <c r="X18" s="11">
        <f>X5*Лист2!$C$6</f>
        <v>3094109.4588072812</v>
      </c>
      <c r="Y18" s="11">
        <f>Y5*Лист2!$C$6</f>
        <v>3125050.5533953537</v>
      </c>
      <c r="Z18" s="11">
        <f>Z5*Лист2!$C$6</f>
        <v>2187535.3873767476</v>
      </c>
      <c r="AA18" s="11">
        <f>AA5*Лист2!$C$6</f>
        <v>2406288.9261144227</v>
      </c>
      <c r="AB18" s="1"/>
    </row>
    <row r="19" spans="1:28" ht="15.75" customHeight="1" x14ac:dyDescent="0.25">
      <c r="A19" s="1"/>
      <c r="B19" s="10" t="s">
        <v>16</v>
      </c>
      <c r="C19" s="11">
        <f t="shared" si="12"/>
        <v>163627974.87870413</v>
      </c>
      <c r="D19" s="11">
        <f>Лист2!$C$9*D5</f>
        <v>70000</v>
      </c>
      <c r="E19" s="11">
        <f>Лист2!$C$9*E5</f>
        <v>700000</v>
      </c>
      <c r="F19" s="11">
        <f>Лист2!$C$9*F5</f>
        <v>2100000</v>
      </c>
      <c r="G19" s="11">
        <f>Лист2!$C$9*G5</f>
        <v>3150000</v>
      </c>
      <c r="H19" s="11">
        <f>Лист2!$C$9*H5</f>
        <v>3937500</v>
      </c>
      <c r="I19" s="11">
        <f>Лист2!$C$9*I5</f>
        <v>4921875</v>
      </c>
      <c r="J19" s="11">
        <f>Лист2!$C$9*J5</f>
        <v>6152343.75</v>
      </c>
      <c r="K19" s="11">
        <f>Лист2!$C$9*K5</f>
        <v>6767578.125</v>
      </c>
      <c r="L19" s="11">
        <f>Лист2!$C$9*L5</f>
        <v>7444335.9375</v>
      </c>
      <c r="M19" s="11">
        <f>Лист2!$C$9*M5</f>
        <v>7593222.65625</v>
      </c>
      <c r="N19" s="11">
        <f>Лист2!$D$9*N$5</f>
        <v>6378307.0312499991</v>
      </c>
      <c r="O19" s="11">
        <f>Лист2!$D$9*O$5</f>
        <v>7016137.734375</v>
      </c>
      <c r="P19" s="11">
        <f>Лист2!$D$9*P$5</f>
        <v>7717751.5078125009</v>
      </c>
      <c r="Q19" s="11">
        <f>Лист2!$D$9*Q$5</f>
        <v>8489526.6585937515</v>
      </c>
      <c r="R19" s="11">
        <f>Лист2!$D$9*R$5</f>
        <v>8065050.3256640639</v>
      </c>
      <c r="S19" s="11">
        <f>Лист2!$D$9*S$5</f>
        <v>8468302.8419472668</v>
      </c>
      <c r="T19" s="11">
        <f>Лист2!$D$9*T$5</f>
        <v>8891717.9840446319</v>
      </c>
      <c r="U19" s="11">
        <f>Лист2!$D$9*U$5</f>
        <v>9336303.8832468633</v>
      </c>
      <c r="V19" s="11">
        <f>Лист2!$D$9*V$5</f>
        <v>9803119.077409206</v>
      </c>
      <c r="W19" s="11">
        <f>Лист2!$D$9*W$5</f>
        <v>10293275.031279668</v>
      </c>
      <c r="X19" s="11">
        <f>Лист2!$D$9*X$5</f>
        <v>10396207.781592464</v>
      </c>
      <c r="Y19" s="11">
        <f>Лист2!$D$9*Y$5</f>
        <v>10500169.859408388</v>
      </c>
      <c r="Z19" s="11">
        <f>Лист2!$D$9*Z$5</f>
        <v>7350118.9015858723</v>
      </c>
      <c r="AA19" s="12">
        <f>Лист2!$D$9*AA$5</f>
        <v>8085130.7917444604</v>
      </c>
      <c r="AB19" s="22"/>
    </row>
    <row r="20" spans="1:28" ht="15.75" customHeight="1" x14ac:dyDescent="0.25">
      <c r="A20" s="1"/>
      <c r="B20" s="10" t="s">
        <v>17</v>
      </c>
      <c r="C20" s="11">
        <f t="shared" si="12"/>
        <v>219374354.65886849</v>
      </c>
      <c r="D20" s="11">
        <f>D5*Лист2!$C$7</f>
        <v>100000</v>
      </c>
      <c r="E20" s="11">
        <f>E5*Лист2!$C$7</f>
        <v>1000000</v>
      </c>
      <c r="F20" s="11">
        <f>F5*Лист2!$C$7</f>
        <v>3000000</v>
      </c>
      <c r="G20" s="11">
        <f>G5*Лист2!$C$7</f>
        <v>4500000</v>
      </c>
      <c r="H20" s="11">
        <f>H5*Лист2!$C$7</f>
        <v>5625000</v>
      </c>
      <c r="I20" s="11">
        <f>I5*Лист2!$C$7</f>
        <v>7031250</v>
      </c>
      <c r="J20" s="11">
        <f>J5*Лист2!$C$7</f>
        <v>8789062.5</v>
      </c>
      <c r="K20" s="11">
        <f>K5*Лист2!$C$7</f>
        <v>9667968.75</v>
      </c>
      <c r="L20" s="11">
        <f>L5*Лист2!$C$7</f>
        <v>10634765.625</v>
      </c>
      <c r="M20" s="11">
        <f>M5*Лист2!$C$7</f>
        <v>10847460.9375</v>
      </c>
      <c r="N20" s="11">
        <f>Лист2!$D$7*N$5</f>
        <v>8352544.9218749991</v>
      </c>
      <c r="O20" s="11">
        <f>Лист2!$D$7*O$5</f>
        <v>9187799.4140625</v>
      </c>
      <c r="P20" s="11">
        <f>Лист2!$D$7*P$5</f>
        <v>10106579.355468752</v>
      </c>
      <c r="Q20" s="11">
        <f>Лист2!$D$7*Q$5</f>
        <v>11117237.291015627</v>
      </c>
      <c r="R20" s="11">
        <f>Лист2!$D$7*R$5</f>
        <v>10561375.426464846</v>
      </c>
      <c r="S20" s="11">
        <f>Лист2!$D$7*S$5</f>
        <v>11089444.19778809</v>
      </c>
      <c r="T20" s="11">
        <f>Лист2!$D$7*T$5</f>
        <v>11643916.407677494</v>
      </c>
      <c r="U20" s="11">
        <f>Лист2!$D$7*U$5</f>
        <v>12226112.228061369</v>
      </c>
      <c r="V20" s="11">
        <f>Лист2!$D$7*V$5</f>
        <v>12837417.839464437</v>
      </c>
      <c r="W20" s="11">
        <f>Лист2!$D$7*W$5</f>
        <v>13479288.731437661</v>
      </c>
      <c r="X20" s="11">
        <f>Лист2!$D$7*X$5</f>
        <v>13614081.618752036</v>
      </c>
      <c r="Y20" s="11">
        <f>Лист2!$D$7*Y$5</f>
        <v>13750222.434939556</v>
      </c>
      <c r="Z20" s="11">
        <f>Лист2!$D$7*Z$5</f>
        <v>9625155.7044576891</v>
      </c>
      <c r="AA20" s="12">
        <f>Лист2!$D$7*AA$5</f>
        <v>10587671.274903459</v>
      </c>
      <c r="AB20" s="22"/>
    </row>
    <row r="21" spans="1:28" ht="15.75" customHeight="1" x14ac:dyDescent="0.25">
      <c r="A21" s="1"/>
      <c r="B21" s="10" t="s">
        <v>18</v>
      </c>
      <c r="C21" s="11">
        <f t="shared" si="12"/>
        <v>58438562.456680037</v>
      </c>
      <c r="D21" s="11">
        <f t="shared" ref="D21:M21" si="15">250*D5</f>
        <v>25000</v>
      </c>
      <c r="E21" s="11">
        <f t="shared" si="15"/>
        <v>250000</v>
      </c>
      <c r="F21" s="11">
        <f t="shared" si="15"/>
        <v>750000</v>
      </c>
      <c r="G21" s="11">
        <f t="shared" si="15"/>
        <v>1125000</v>
      </c>
      <c r="H21" s="11">
        <f t="shared" si="15"/>
        <v>1406250</v>
      </c>
      <c r="I21" s="11">
        <f t="shared" si="15"/>
        <v>1757812.5</v>
      </c>
      <c r="J21" s="11">
        <f t="shared" si="15"/>
        <v>2197265.625</v>
      </c>
      <c r="K21" s="11">
        <f t="shared" si="15"/>
        <v>2416992.1875</v>
      </c>
      <c r="L21" s="11">
        <f t="shared" si="15"/>
        <v>2658691.40625</v>
      </c>
      <c r="M21" s="11">
        <f t="shared" si="15"/>
        <v>2711865.234375</v>
      </c>
      <c r="N21" s="11">
        <f>Лист2!$D$8*N$5</f>
        <v>2277966.7968749995</v>
      </c>
      <c r="O21" s="11">
        <f>Лист2!$D$8*O$5</f>
        <v>2505763.4765625</v>
      </c>
      <c r="P21" s="11">
        <f>Лист2!$D$8*P$5</f>
        <v>2756339.8242187505</v>
      </c>
      <c r="Q21" s="11">
        <f>Лист2!$D$8*Q$5</f>
        <v>3031973.8066406255</v>
      </c>
      <c r="R21" s="11">
        <f>Лист2!$D$8*R$5</f>
        <v>2880375.1163085941</v>
      </c>
      <c r="S21" s="11">
        <f>Лист2!$D$8*S$5</f>
        <v>3024393.8721240242</v>
      </c>
      <c r="T21" s="11">
        <f>Лист2!$D$8*T$5</f>
        <v>3175613.5657302258</v>
      </c>
      <c r="U21" s="11">
        <f>Лист2!$D$8*U$5</f>
        <v>3334394.2440167367</v>
      </c>
      <c r="V21" s="11">
        <f>Лист2!$D$8*V$5</f>
        <v>3501113.956217574</v>
      </c>
      <c r="W21" s="11">
        <f>Лист2!$D$8*W$5</f>
        <v>3676169.6540284529</v>
      </c>
      <c r="X21" s="11">
        <f>Лист2!$D$8*X$5</f>
        <v>3712931.3505687374</v>
      </c>
      <c r="Y21" s="11">
        <f>Лист2!$D$8*Y$5</f>
        <v>3750060.6640744247</v>
      </c>
      <c r="Z21" s="11">
        <f>Лист2!$D$8*Z$5</f>
        <v>2625042.464852097</v>
      </c>
      <c r="AA21" s="12">
        <f>Лист2!$D$8*AA$5</f>
        <v>2887546.7113373075</v>
      </c>
      <c r="AB21" s="22"/>
    </row>
    <row r="22" spans="1:28" ht="15.75" customHeight="1" x14ac:dyDescent="0.25">
      <c r="A22" s="1"/>
      <c r="B22" s="10" t="s">
        <v>19</v>
      </c>
      <c r="C22" s="11">
        <f t="shared" si="12"/>
        <v>3410000</v>
      </c>
      <c r="D22" s="11">
        <v>100000</v>
      </c>
      <c r="E22" s="11">
        <v>100000</v>
      </c>
      <c r="F22" s="11">
        <v>100000</v>
      </c>
      <c r="G22" s="11">
        <v>100000</v>
      </c>
      <c r="H22" s="11">
        <v>100000</v>
      </c>
      <c r="I22" s="11">
        <v>100000</v>
      </c>
      <c r="J22" s="11">
        <v>100000</v>
      </c>
      <c r="K22" s="11">
        <v>120000</v>
      </c>
      <c r="L22" s="11">
        <v>120000</v>
      </c>
      <c r="M22" s="11">
        <v>120000</v>
      </c>
      <c r="N22" s="11">
        <v>150000</v>
      </c>
      <c r="O22" s="11">
        <v>150000</v>
      </c>
      <c r="P22" s="11">
        <v>150000</v>
      </c>
      <c r="Q22" s="11">
        <v>150000</v>
      </c>
      <c r="R22" s="11">
        <v>150000</v>
      </c>
      <c r="S22" s="11">
        <v>150000</v>
      </c>
      <c r="T22" s="11">
        <v>150000</v>
      </c>
      <c r="U22" s="11">
        <v>180000</v>
      </c>
      <c r="V22" s="11">
        <v>180000</v>
      </c>
      <c r="W22" s="11">
        <v>180000</v>
      </c>
      <c r="X22" s="11">
        <v>180000</v>
      </c>
      <c r="Y22" s="11">
        <v>180000</v>
      </c>
      <c r="Z22" s="11">
        <v>200000</v>
      </c>
      <c r="AA22" s="11">
        <v>200000</v>
      </c>
      <c r="AB22" s="22"/>
    </row>
    <row r="23" spans="1:28" ht="15.75" customHeight="1" x14ac:dyDescent="0.25">
      <c r="A23" s="1"/>
      <c r="B23" s="10" t="s">
        <v>20</v>
      </c>
      <c r="C23" s="11">
        <f t="shared" si="12"/>
        <v>33445571.46436397</v>
      </c>
      <c r="D23" s="19">
        <f t="shared" ref="D23:AA23" si="16">D11*0.25</f>
        <v>-11656.25</v>
      </c>
      <c r="E23" s="19">
        <f t="shared" si="16"/>
        <v>108437.5</v>
      </c>
      <c r="F23" s="11">
        <f t="shared" si="16"/>
        <v>375312.5</v>
      </c>
      <c r="G23" s="11">
        <f t="shared" si="16"/>
        <v>575468.75</v>
      </c>
      <c r="H23" s="11">
        <f t="shared" si="16"/>
        <v>725585.9375</v>
      </c>
      <c r="I23" s="11">
        <f t="shared" si="16"/>
        <v>913232.421875</v>
      </c>
      <c r="J23" s="11">
        <f t="shared" si="16"/>
        <v>1147790.52734375</v>
      </c>
      <c r="K23" s="11">
        <f t="shared" si="16"/>
        <v>1260069.580078125</v>
      </c>
      <c r="L23" s="11">
        <f t="shared" si="16"/>
        <v>1389076.5380859375</v>
      </c>
      <c r="M23" s="11">
        <f t="shared" si="16"/>
        <v>1417458.0688476563</v>
      </c>
      <c r="N23" s="11">
        <f t="shared" si="16"/>
        <v>1342401.1668750001</v>
      </c>
      <c r="O23" s="11">
        <f t="shared" si="16"/>
        <v>1480391.2835625</v>
      </c>
      <c r="P23" s="11">
        <f t="shared" si="16"/>
        <v>1632180.41191875</v>
      </c>
      <c r="Q23" s="11">
        <f t="shared" si="16"/>
        <v>1799148.4531106241</v>
      </c>
      <c r="R23" s="11">
        <f t="shared" si="16"/>
        <v>1707316.030455092</v>
      </c>
      <c r="S23" s="11">
        <f t="shared" si="16"/>
        <v>1794556.8319778498</v>
      </c>
      <c r="T23" s="11">
        <f t="shared" si="16"/>
        <v>1886159.6735767424</v>
      </c>
      <c r="U23" s="11">
        <f t="shared" si="16"/>
        <v>1974842.6572555788</v>
      </c>
      <c r="V23" s="11">
        <f t="shared" si="16"/>
        <v>2075834.790118359</v>
      </c>
      <c r="W23" s="11">
        <f t="shared" si="16"/>
        <v>2181876.529624274</v>
      </c>
      <c r="X23" s="11">
        <f t="shared" si="16"/>
        <v>2204145.2949205209</v>
      </c>
      <c r="Y23" s="11">
        <f t="shared" si="16"/>
        <v>2226636.7478697244</v>
      </c>
      <c r="Z23" s="11">
        <f t="shared" si="16"/>
        <v>1540145.723508805</v>
      </c>
      <c r="AA23" s="11">
        <f t="shared" si="16"/>
        <v>1699160.295859687</v>
      </c>
      <c r="AB23" s="1"/>
    </row>
    <row r="24" spans="1:28" ht="6" customHeight="1" x14ac:dyDescent="0.25">
      <c r="A24" s="1"/>
      <c r="B24" s="10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3"/>
      <c r="AB24" s="1"/>
    </row>
    <row r="25" spans="1:28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75" customHeight="1" x14ac:dyDescent="0.25">
      <c r="A26" s="1"/>
      <c r="B26" s="30" t="s">
        <v>45</v>
      </c>
      <c r="C26" s="30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75" customHeight="1" x14ac:dyDescent="0.25">
      <c r="A27" s="1"/>
      <c r="B27" s="30"/>
      <c r="C27" s="30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75" customHeight="1" x14ac:dyDescent="0.25">
      <c r="A28" s="1"/>
      <c r="B28" s="30"/>
      <c r="C28" s="30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75" customHeight="1" x14ac:dyDescent="0.25">
      <c r="A29" s="1"/>
      <c r="B29" s="30"/>
      <c r="C29" s="30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:28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:28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 spans="1:28" ht="15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</sheetData>
  <mergeCells count="1">
    <mergeCell ref="B26:C29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B23" sqref="B23"/>
    </sheetView>
  </sheetViews>
  <sheetFormatPr defaultColWidth="12.6328125" defaultRowHeight="15" customHeight="1" x14ac:dyDescent="0.25"/>
  <cols>
    <col min="1" max="1" width="11" customWidth="1"/>
    <col min="2" max="2" width="67.26953125" customWidth="1"/>
    <col min="3" max="26" width="11" customWidth="1"/>
  </cols>
  <sheetData>
    <row r="1" spans="1:26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1"/>
      <c r="B4" s="1"/>
      <c r="C4" s="24">
        <v>2025</v>
      </c>
      <c r="D4" s="24">
        <v>2026</v>
      </c>
      <c r="E4" s="1" t="s">
        <v>21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1"/>
      <c r="B5" s="1" t="s">
        <v>22</v>
      </c>
      <c r="C5" s="25">
        <v>0.75</v>
      </c>
      <c r="D5" s="25">
        <v>0.87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/>
      <c r="B6" s="1" t="s">
        <v>23</v>
      </c>
      <c r="C6" s="11">
        <v>250</v>
      </c>
      <c r="D6" s="24">
        <f t="shared" ref="D6:D7" si="0">C6*1.1</f>
        <v>275</v>
      </c>
      <c r="E6" s="1" t="s">
        <v>24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"/>
      <c r="B7" s="1" t="s">
        <v>25</v>
      </c>
      <c r="C7" s="11">
        <v>1000</v>
      </c>
      <c r="D7" s="24">
        <f t="shared" si="0"/>
        <v>1100</v>
      </c>
      <c r="E7" s="1" t="s">
        <v>26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/>
      <c r="B8" s="1" t="s">
        <v>27</v>
      </c>
      <c r="C8" s="11">
        <v>250</v>
      </c>
      <c r="D8" s="24">
        <v>300</v>
      </c>
      <c r="E8" s="1" t="s">
        <v>28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1"/>
      <c r="B9" s="1" t="s">
        <v>29</v>
      </c>
      <c r="C9" s="11">
        <v>700</v>
      </c>
      <c r="D9" s="24">
        <f t="shared" ref="D9:D17" si="1">C9*1.2</f>
        <v>840</v>
      </c>
      <c r="E9" s="1" t="s">
        <v>28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"/>
      <c r="B10" s="1" t="s">
        <v>33</v>
      </c>
      <c r="C10" s="25">
        <v>0.2</v>
      </c>
      <c r="D10" s="25">
        <f t="shared" si="1"/>
        <v>0.24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1"/>
      <c r="B11" s="1" t="s">
        <v>39</v>
      </c>
      <c r="C11" s="26">
        <v>1.1100000000000001</v>
      </c>
      <c r="D11" s="25">
        <f t="shared" si="1"/>
        <v>1.3320000000000001</v>
      </c>
      <c r="E11" s="1" t="s">
        <v>40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"/>
      <c r="B12" s="1" t="s">
        <v>30</v>
      </c>
      <c r="C12" s="1">
        <v>10000</v>
      </c>
      <c r="D12" s="24">
        <f t="shared" si="1"/>
        <v>12000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1"/>
      <c r="B13" s="1" t="s">
        <v>31</v>
      </c>
      <c r="C13" s="26">
        <v>0.1</v>
      </c>
      <c r="D13" s="27">
        <f t="shared" si="1"/>
        <v>0.12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/>
      <c r="B14" s="28" t="s">
        <v>34</v>
      </c>
      <c r="C14" s="26">
        <v>0.1</v>
      </c>
      <c r="D14" s="21">
        <f t="shared" si="1"/>
        <v>0.12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1"/>
      <c r="B15" s="28" t="s">
        <v>36</v>
      </c>
      <c r="C15" s="26">
        <v>0.15</v>
      </c>
      <c r="D15" s="21">
        <f t="shared" si="1"/>
        <v>0.18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1"/>
      <c r="B16" s="28" t="s">
        <v>38</v>
      </c>
      <c r="C16" s="1">
        <v>300</v>
      </c>
      <c r="D16" s="31">
        <f t="shared" si="1"/>
        <v>360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"/>
      <c r="B17" s="28" t="s">
        <v>46</v>
      </c>
      <c r="C17" s="26">
        <v>0.3</v>
      </c>
      <c r="D17" s="21">
        <f t="shared" si="1"/>
        <v>0.36</v>
      </c>
      <c r="E17" s="28" t="s">
        <v>47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/>
      <c r="B18" s="1" t="s">
        <v>42</v>
      </c>
      <c r="C18" s="1">
        <v>5000000</v>
      </c>
      <c r="D18" s="1" t="s">
        <v>44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1" t="s">
        <v>43</v>
      </c>
      <c r="C19" s="1">
        <v>2000000</v>
      </c>
      <c r="D19" s="1" t="s">
        <v>44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"/>
      <c r="B20" s="1"/>
      <c r="C20" s="1" t="s">
        <v>41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Arseny Zobov</cp:lastModifiedBy>
  <dcterms:modified xsi:type="dcterms:W3CDTF">2025-03-17T06:34:21Z</dcterms:modified>
</cp:coreProperties>
</file>