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alrok\Assignments\KickstarterAnalysis\"/>
    </mc:Choice>
  </mc:AlternateContent>
  <xr:revisionPtr revIDLastSave="0" documentId="13_ncr:1_{7C17EB43-16EC-45D4-9E66-23FF1AC91E8B}" xr6:coauthVersionLast="47" xr6:coauthVersionMax="47" xr10:uidLastSave="{00000000-0000-0000-0000-000000000000}"/>
  <bookViews>
    <workbookView minimized="1" xWindow="43170" yWindow="7740" windowWidth="14430" windowHeight="7815" tabRatio="789" activeTab="4" xr2:uid="{00000000-000D-0000-FFFF-FFFF00000000}"/>
    <workbookView xWindow="-120" yWindow="-120" windowWidth="29040" windowHeight="15840" activeTab="1" xr2:uid="{1F23C742-012A-4C35-9B69-40AF06BB7D20}"/>
  </bookViews>
  <sheets>
    <sheet name="Theater Outcomes Chart" sheetId="16" r:id="rId1"/>
    <sheet name="Outcomes Based on Goal" sheetId="18" r:id="rId2"/>
    <sheet name="Outcomes Based on Goals" sheetId="17" r:id="rId3"/>
    <sheet name="Theater Outcomes by Launch Date" sheetId="15" r:id="rId4"/>
    <sheet name="Kickstarter" sheetId="1" r:id="rId5"/>
    <sheet name="Category Statistics" sheetId="3" r:id="rId6"/>
    <sheet name="Outcomes Based on Launch Date" sheetId="5" r:id="rId7"/>
    <sheet name="Box and Whisker Plot" sheetId="14" r:id="rId8"/>
    <sheet name="Failed US Kickstarters" sheetId="8" r:id="rId9"/>
    <sheet name="Successful US Kickstarters" sheetId="7" r:id="rId10"/>
    <sheet name="Descriptive Statistics" sheetId="9" r:id="rId11"/>
    <sheet name="Subcategory Statistics" sheetId="4" r:id="rId12"/>
    <sheet name="Vlookup" sheetId="6" r:id="rId13"/>
  </sheets>
  <definedNames>
    <definedName name="_xlnm._FilterDatabase" localSheetId="4" hidden="1">Kickstarter!$A$1:$T$4115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7" l="1"/>
  <c r="H12" i="17"/>
  <c r="H11" i="17"/>
  <c r="H10" i="17"/>
  <c r="H9" i="17"/>
  <c r="H8" i="17"/>
  <c r="H7" i="17"/>
  <c r="H6" i="17"/>
  <c r="H5" i="17"/>
  <c r="H4" i="17"/>
  <c r="H3" i="17"/>
  <c r="H2" i="17"/>
  <c r="G13" i="17"/>
  <c r="G12" i="17"/>
  <c r="G11" i="17"/>
  <c r="G10" i="17"/>
  <c r="G9" i="17"/>
  <c r="G7" i="17"/>
  <c r="G8" i="17"/>
  <c r="G6" i="17"/>
  <c r="G5" i="17"/>
  <c r="G4" i="17"/>
  <c r="G3" i="17"/>
  <c r="G2" i="17"/>
  <c r="E3" i="17"/>
  <c r="E4" i="17"/>
  <c r="E5" i="17"/>
  <c r="E6" i="17"/>
  <c r="E7" i="17"/>
  <c r="E8" i="17"/>
  <c r="E9" i="17"/>
  <c r="E10" i="17"/>
  <c r="E11" i="17"/>
  <c r="E12" i="17"/>
  <c r="F12" i="17" s="1"/>
  <c r="E13" i="17"/>
  <c r="F13" i="17" s="1"/>
  <c r="E2" i="17"/>
  <c r="F11" i="17"/>
  <c r="F10" i="17"/>
  <c r="F9" i="17"/>
  <c r="F8" i="17"/>
  <c r="F7" i="17"/>
  <c r="F6" i="17"/>
  <c r="F5" i="17"/>
  <c r="F4" i="17"/>
  <c r="F3" i="17"/>
  <c r="F2" i="17"/>
  <c r="B2" i="17"/>
  <c r="D2" i="17"/>
  <c r="D13" i="17"/>
  <c r="D12" i="17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C13" i="9"/>
  <c r="C12" i="9"/>
  <c r="C14" i="9" s="1"/>
  <c r="B13" i="9"/>
  <c r="B12" i="9"/>
  <c r="B14" i="9" s="1"/>
  <c r="C11" i="9"/>
  <c r="B11" i="9"/>
  <c r="C6" i="9"/>
  <c r="C5" i="9"/>
  <c r="C4" i="9"/>
  <c r="B6" i="9"/>
  <c r="B5" i="9"/>
  <c r="B7" i="9" s="1"/>
  <c r="B4" i="9"/>
  <c r="B2" i="9"/>
  <c r="C9" i="9"/>
  <c r="B10" i="9"/>
  <c r="B9" i="9"/>
  <c r="C2" i="9"/>
  <c r="C10" i="9"/>
  <c r="C3" i="9"/>
  <c r="B3" i="9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<sst xmlns="http://schemas.openxmlformats.org/spreadsheetml/2006/main" count="38382" uniqueCount="8418">
  <si>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</si>
  <si>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</si>
  <si>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</si>
  <si>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</si>
  <si>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</si>
  <si>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</si>
  <si>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</si>
  <si>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</si>
  <si>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</si>
  <si>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</si>
  <si>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</si>
  <si>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</si>
  <si>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</si>
  <si>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</si>
  <si>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</si>
  <si>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</si>
  <si>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</si>
  <si>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</si>
  <si>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</si>
  <si>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</si>
  <si>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</si>
  <si>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</si>
  <si>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</si>
  <si>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</si>
  <si>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</si>
  <si>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</si>
  <si>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</si>
  <si>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</si>
  <si>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</si>
  <si>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</si>
  <si>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</si>
  <si>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</si>
  <si>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</si>
  <si>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</si>
  <si>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</si>
  <si>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</si>
  <si>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</si>
  <si>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</si>
  <si>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</si>
  <si>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</si>
  <si>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</si>
  <si>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</si>
  <si>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</si>
  <si>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</si>
  <si>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</si>
  <si>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</si>
  <si>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</si>
  <si>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</si>
  <si>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</si>
  <si>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</si>
  <si>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</si>
  <si>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</si>
  <si>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</si>
  <si>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</si>
  <si>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</si>
  <si>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</si>
  <si>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</si>
  <si>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</si>
  <si>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</si>
  <si>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</si>
  <si>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</si>
  <si>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</si>
  <si>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</si>
  <si>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</si>
  <si>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</si>
  <si>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</si>
  <si>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</si>
  <si>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</si>
  <si>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</si>
  <si>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</si>
  <si>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</si>
  <si>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</si>
  <si>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</si>
  <si>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</si>
  <si>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</si>
  <si>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</si>
  <si>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</si>
  <si>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</si>
  <si>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</si>
  <si>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</si>
  <si>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</si>
  <si>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</si>
  <si>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</si>
  <si>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</si>
  <si>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</si>
  <si>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</si>
  <si>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</si>
  <si>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</si>
  <si>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</si>
  <si>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</si>
  <si>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</si>
  <si>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</si>
  <si>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</si>
  <si>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</si>
  <si>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</si>
  <si>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</si>
  <si>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</si>
  <si>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</si>
  <si>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</si>
  <si>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</si>
  <si>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</si>
  <si>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</si>
  <si>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</si>
  <si>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</si>
  <si>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</si>
  <si>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</si>
  <si>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</si>
  <si>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</si>
  <si>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</si>
  <si>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</si>
  <si>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</si>
  <si>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</si>
  <si>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</si>
  <si>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</si>
  <si>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</si>
  <si>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</si>
  <si>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</si>
  <si>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</si>
  <si>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</si>
  <si>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</si>
  <si>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</si>
  <si>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</si>
  <si>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</si>
  <si>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</si>
  <si>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</si>
  <si>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</si>
  <si>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</si>
  <si>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</si>
  <si>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</si>
  <si>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</si>
  <si>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</si>
  <si>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</si>
  <si>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</si>
  <si>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</si>
  <si>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</si>
  <si>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</si>
  <si>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</si>
  <si>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</si>
  <si>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</si>
  <si>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</si>
  <si>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</si>
  <si>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</si>
  <si>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</si>
  <si>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</si>
  <si>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</si>
  <si>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</si>
  <si>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</si>
  <si>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</si>
  <si>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</si>
  <si>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</si>
  <si>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</si>
  <si>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</si>
  <si>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</si>
  <si>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</si>
  <si>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</si>
  <si>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</si>
  <si>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</si>
  <si>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</si>
  <si>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</si>
  <si>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</si>
  <si>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</si>
  <si>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</si>
  <si>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</si>
  <si>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</si>
  <si>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</si>
  <si>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</si>
  <si>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</si>
  <si>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</si>
  <si>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</si>
  <si>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</si>
  <si>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</si>
  <si>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</si>
  <si>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</si>
  <si>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</si>
  <si>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</si>
  <si>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</si>
  <si>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</si>
  <si>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</si>
  <si>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</si>
  <si>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</si>
  <si>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</si>
  <si>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</si>
  <si>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</si>
  <si>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</si>
  <si>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</si>
  <si>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</si>
  <si>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</si>
  <si>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</si>
  <si>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</si>
  <si>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</si>
  <si>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</si>
  <si>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</si>
  <si>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</si>
  <si>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</si>
  <si>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</si>
  <si>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</si>
  <si>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</si>
  <si>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</si>
  <si>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</si>
  <si>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</si>
  <si>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</si>
  <si>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</si>
  <si>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</si>
  <si>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</si>
  <si>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</si>
  <si>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</si>
  <si>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</si>
  <si>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</si>
  <si>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</si>
  <si>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</si>
  <si>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</si>
  <si>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</si>
  <si>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</si>
  <si>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</si>
  <si>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</si>
  <si>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</si>
  <si>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</si>
  <si>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</si>
  <si>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</si>
  <si>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</si>
  <si>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</si>
  <si>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</si>
  <si>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</si>
  <si>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</si>
  <si>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</si>
  <si>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</si>
  <si>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</si>
  <si>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</si>
  <si>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</si>
  <si>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</si>
  <si>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</si>
  <si>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</si>
  <si>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</si>
  <si>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</si>
  <si>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</si>
  <si>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</si>
  <si>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</si>
  <si>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</si>
  <si>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</si>
  <si>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</si>
  <si>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</si>
  <si>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</si>
  <si>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</si>
  <si>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</si>
  <si>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</si>
  <si>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</si>
  <si>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</si>
  <si>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</si>
  <si>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</si>
  <si>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</si>
  <si>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</si>
  <si>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</si>
  <si>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</si>
  <si>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</si>
  <si>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</si>
  <si>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</si>
  <si>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</si>
  <si>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</si>
  <si>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</si>
  <si>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</si>
  <si>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</si>
  <si>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</si>
  <si>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</si>
  <si>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</si>
  <si>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</si>
  <si>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</si>
  <si>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</si>
  <si>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</si>
  <si>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</si>
  <si>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</si>
  <si>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</si>
  <si>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</si>
  <si>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</si>
  <si>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</si>
  <si>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</si>
  <si>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</si>
  <si>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</si>
  <si>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</si>
  <si>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</si>
  <si>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</si>
  <si>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</si>
  <si>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</si>
  <si>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</si>
  <si>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</si>
  <si>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</si>
  <si>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</si>
  <si>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</si>
  <si>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</si>
  <si>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</si>
  <si>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</si>
  <si>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</si>
  <si>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</si>
  <si>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</si>
  <si>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</si>
  <si>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</si>
  <si>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</si>
  <si>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</si>
  <si>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</si>
  <si>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</si>
  <si>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</si>
  <si>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</si>
  <si>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</si>
  <si>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</si>
  <si>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</si>
  <si>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</si>
  <si>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</si>
  <si>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</si>
  <si>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</si>
  <si>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</si>
  <si>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</si>
  <si>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</si>
  <si>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</si>
  <si>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</si>
  <si>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</si>
  <si>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</si>
  <si>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</si>
  <si>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</si>
  <si>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</si>
  <si>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</si>
  <si>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</si>
  <si>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</si>
  <si>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</si>
  <si>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</si>
  <si>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</si>
  <si>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</si>
  <si>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</si>
  <si>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</si>
  <si>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</si>
  <si>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</si>
  <si>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</si>
  <si>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</si>
  <si>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</si>
  <si>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</si>
  <si>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</si>
  <si>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</si>
  <si>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</si>
  <si>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</si>
  <si>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</si>
  <si>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</si>
  <si>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</si>
  <si>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</si>
  <si>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</si>
  <si>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</si>
  <si>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</si>
  <si>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</si>
  <si>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</si>
  <si>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</si>
  <si>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</si>
  <si>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</si>
  <si>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</si>
  <si>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</si>
  <si>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</si>
  <si>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</si>
  <si>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</si>
  <si>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</si>
  <si>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</si>
  <si>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</si>
  <si>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</si>
  <si>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</si>
  <si>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</si>
  <si>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</si>
  <si>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</si>
  <si>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</si>
  <si>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</si>
  <si>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</si>
  <si>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</si>
  <si>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</si>
  <si>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</si>
  <si>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</si>
  <si>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</si>
  <si>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</si>
  <si>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</si>
  <si>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</si>
  <si>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</si>
  <si>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</si>
  <si>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</si>
  <si>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</si>
  <si>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</si>
  <si>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</si>
  <si>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</si>
  <si>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</si>
  <si>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</si>
  <si>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</si>
  <si>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</si>
  <si>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</si>
  <si>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</si>
  <si>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</si>
  <si>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</si>
  <si>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</si>
  <si>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</si>
  <si>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</si>
  <si>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</si>
  <si>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</si>
  <si>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</si>
  <si>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</si>
  <si>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</si>
  <si>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</si>
  <si>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</si>
  <si>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</si>
  <si>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</si>
  <si>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</si>
  <si>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</si>
  <si>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</si>
  <si>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</si>
  <si>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</si>
  <si>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</si>
  <si>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</si>
  <si>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</si>
  <si>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</si>
  <si>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</si>
  <si>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</si>
  <si>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</si>
  <si>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</si>
  <si>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</si>
  <si>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</si>
  <si>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</si>
  <si>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</si>
  <si>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</si>
  <si>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</si>
  <si>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</si>
  <si>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</si>
  <si>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</si>
  <si>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</si>
  <si>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</si>
  <si>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</si>
  <si>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</si>
  <si>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</si>
  <si>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</si>
  <si>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</si>
  <si>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</si>
  <si>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</si>
  <si>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</si>
  <si>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</si>
  <si>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</si>
  <si>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</si>
  <si>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</si>
  <si>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</si>
  <si>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</si>
  <si>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</si>
  <si>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</si>
  <si>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</si>
  <si>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</si>
  <si>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</si>
  <si>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</si>
  <si>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</si>
  <si>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</si>
  <si>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</si>
  <si>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</si>
  <si>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</si>
  <si>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</si>
  <si>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</si>
  <si>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</si>
  <si>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</si>
  <si>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</si>
  <si>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</si>
  <si>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</si>
  <si>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</si>
  <si>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</si>
  <si>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</si>
  <si>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</si>
  <si>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</si>
  <si>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</si>
  <si>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</si>
  <si>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</si>
  <si>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</si>
  <si>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</si>
  <si>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</si>
  <si>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</si>
  <si>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</si>
  <si>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</si>
  <si>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</si>
  <si>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</si>
  <si>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</si>
  <si>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</si>
  <si>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</si>
  <si>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</si>
  <si>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</si>
  <si>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</si>
  <si>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</si>
  <si>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</si>
  <si>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</si>
  <si>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</si>
  <si>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</si>
  <si>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</si>
  <si>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</si>
  <si>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</si>
  <si>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</si>
  <si>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</si>
  <si>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</si>
  <si>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</si>
  <si>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</si>
  <si>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</si>
  <si>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</si>
  <si>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</si>
  <si>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</si>
  <si>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</si>
  <si>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</si>
  <si>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</si>
  <si>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</si>
  <si>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</si>
  <si>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</si>
  <si>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</si>
  <si>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</si>
  <si>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</si>
  <si>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</si>
  <si>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</si>
  <si>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</si>
  <si>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</si>
  <si>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</si>
  <si>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</si>
  <si>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</si>
  <si>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</si>
  <si>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</si>
  <si>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</si>
  <si>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</si>
  <si>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</si>
  <si>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</si>
  <si>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</si>
  <si>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</si>
  <si>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</si>
  <si>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</si>
  <si>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</si>
  <si>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</si>
  <si>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</si>
  <si>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</si>
  <si>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</si>
  <si>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</si>
  <si>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</si>
  <si>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</si>
  <si>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</si>
  <si>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</si>
  <si>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</si>
  <si>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</si>
  <si>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</si>
  <si>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</si>
  <si>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</si>
  <si>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</si>
  <si>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</si>
  <si>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</si>
  <si>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</si>
  <si>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</si>
  <si>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</si>
  <si>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</si>
  <si>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</si>
  <si>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</si>
  <si>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</si>
  <si>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</si>
  <si>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</si>
  <si>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</si>
  <si>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</si>
  <si>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</si>
  <si>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</si>
  <si>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</si>
  <si>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</si>
  <si>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</si>
  <si>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</si>
  <si>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</si>
  <si>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</si>
  <si>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</si>
  <si>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</si>
  <si>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</si>
  <si>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</si>
  <si>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</si>
  <si>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</si>
  <si>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</si>
  <si>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</si>
  <si>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</si>
  <si>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</si>
  <si>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</si>
  <si>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</si>
  <si>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</si>
  <si>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</si>
  <si>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</si>
  <si>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</si>
  <si>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</si>
  <si>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</si>
  <si>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</si>
  <si>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</si>
  <si>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</si>
  <si>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</si>
  <si>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</si>
  <si>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</si>
  <si>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</si>
  <si>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</si>
  <si>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</si>
  <si>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</si>
  <si>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</si>
  <si>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</si>
  <si>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</si>
  <si>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</si>
  <si>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</si>
  <si>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</si>
  <si>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</si>
  <si>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</si>
  <si>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</si>
  <si>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</si>
  <si>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</si>
  <si>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</si>
  <si>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</si>
  <si>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</si>
  <si>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</si>
  <si>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</si>
  <si>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</si>
  <si>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</si>
  <si>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</si>
  <si>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</si>
  <si>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</si>
  <si>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</si>
  <si>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</si>
  <si>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</si>
  <si>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</si>
  <si>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</si>
  <si>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</si>
  <si>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</si>
  <si>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</si>
  <si>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</si>
  <si>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</si>
  <si>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</si>
  <si>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</si>
  <si>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</si>
  <si>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</si>
  <si>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</si>
  <si>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</si>
  <si>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</si>
  <si>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</si>
  <si>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</si>
  <si>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</si>
  <si>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</si>
  <si>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</si>
  <si>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</si>
  <si>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</si>
  <si>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</si>
  <si>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</si>
  <si>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</si>
  <si>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</si>
  <si>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</si>
  <si>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</si>
  <si>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</si>
  <si>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</si>
  <si>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</si>
  <si>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</si>
  <si>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</si>
  <si>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</si>
  <si>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</si>
  <si>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</si>
  <si>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</si>
  <si>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</si>
  <si>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</si>
  <si>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</si>
  <si>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</si>
  <si>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</si>
  <si>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</si>
  <si>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</si>
  <si>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</si>
  <si>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</si>
  <si>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</si>
  <si>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</si>
  <si>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</si>
  <si>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</si>
  <si>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</si>
  <si>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</si>
  <si>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</si>
  <si>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</si>
  <si>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</si>
  <si>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</si>
  <si>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</si>
  <si>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</si>
  <si>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</si>
  <si>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</si>
  <si>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</si>
  <si>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</si>
  <si>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</si>
  <si>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</si>
  <si>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</si>
  <si>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</si>
  <si>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</si>
  <si>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</si>
  <si>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</si>
  <si>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</si>
  <si>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</si>
  <si>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</si>
  <si>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</si>
  <si>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</si>
  <si>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</si>
  <si>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</si>
  <si>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</si>
  <si>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</si>
  <si>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</si>
  <si>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</si>
  <si>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</si>
  <si>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</si>
  <si>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</si>
  <si>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</si>
  <si>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</si>
  <si>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</si>
  <si>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</si>
  <si>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</si>
  <si>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</si>
  <si>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</si>
  <si>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</si>
  <si>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</si>
  <si>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</si>
  <si>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</si>
  <si>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</si>
  <si>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</si>
  <si>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</si>
  <si>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</si>
  <si>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</si>
  <si>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</si>
  <si>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</si>
  <si>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</si>
  <si>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</si>
  <si>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</si>
  <si>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</si>
  <si>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</si>
  <si>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</si>
  <si>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</si>
  <si>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</si>
  <si>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</si>
  <si>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</si>
  <si>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</si>
  <si>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</si>
  <si>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</si>
  <si>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</si>
  <si>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</si>
  <si>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</si>
  <si>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</si>
  <si>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</si>
  <si>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</si>
  <si>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</si>
  <si>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</si>
  <si>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</si>
  <si>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</si>
  <si>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</si>
  <si>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</si>
  <si>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</si>
  <si>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</si>
  <si>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</si>
  <si>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</si>
  <si>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</si>
  <si>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</si>
  <si>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</si>
  <si>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</si>
  <si>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</si>
  <si>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</si>
  <si>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</si>
  <si>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</si>
  <si>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</si>
  <si>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</si>
  <si>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</si>
  <si>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</si>
  <si>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</si>
  <si>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</si>
  <si>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</si>
  <si>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</si>
  <si>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</si>
  <si>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</si>
  <si>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</si>
  <si>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</si>
  <si>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</si>
  <si>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</si>
  <si>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</si>
  <si>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</si>
  <si>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</si>
  <si>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</si>
  <si>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</si>
  <si>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</si>
  <si>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</si>
  <si>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</si>
  <si>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</si>
  <si>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</si>
  <si>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</si>
  <si>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</si>
  <si>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</si>
  <si>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</si>
  <si>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</si>
  <si>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</si>
  <si>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</si>
  <si>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</si>
  <si>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</si>
  <si>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</si>
  <si>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</si>
  <si>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</si>
  <si>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</si>
  <si>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</si>
  <si>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</si>
  <si>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</si>
  <si>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</si>
  <si>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</si>
  <si>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</si>
  <si>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</si>
  <si>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</si>
  <si>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</si>
  <si>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</si>
  <si>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</si>
  <si>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</si>
  <si>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</si>
  <si>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</si>
  <si>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</si>
  <si>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</si>
  <si>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</si>
  <si>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</si>
  <si>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</si>
  <si>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</si>
  <si>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</si>
  <si>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</si>
  <si>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</si>
  <si>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</si>
  <si>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</si>
  <si>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</si>
  <si>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</si>
  <si>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</si>
  <si>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</si>
  <si>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</si>
  <si>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</si>
  <si>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</si>
  <si>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</si>
  <si>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</si>
  <si>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</si>
  <si>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</si>
  <si>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</si>
  <si>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</si>
  <si>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</si>
  <si>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</si>
  <si>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</si>
  <si>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</si>
  <si>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</si>
  <si>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</si>
  <si>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</si>
  <si>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</si>
  <si>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</si>
  <si>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</si>
  <si>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</si>
  <si>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</si>
  <si>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</si>
  <si>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</si>
  <si>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</si>
  <si>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</si>
  <si>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</si>
  <si>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</si>
  <si>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</si>
  <si>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</si>
  <si>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</si>
  <si>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</si>
  <si>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</si>
  <si>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</si>
  <si>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</si>
  <si>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</si>
  <si>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</si>
  <si>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</si>
  <si>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</si>
  <si>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</si>
  <si>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</si>
  <si>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</si>
  <si>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</si>
  <si>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</si>
  <si>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</si>
  <si>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</si>
  <si>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</si>
  <si>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</si>
  <si>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</si>
  <si>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</si>
  <si>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</si>
  <si>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</si>
  <si>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</si>
  <si>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</si>
  <si>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</si>
  <si>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</si>
  <si>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</si>
  <si>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</si>
  <si>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</si>
  <si>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</si>
  <si>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</si>
  <si>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</si>
  <si>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</si>
  <si>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</si>
  <si>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</si>
  <si>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</si>
  <si>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</si>
  <si>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</si>
  <si>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</si>
  <si>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</si>
  <si>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</si>
  <si>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</si>
  <si>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</si>
  <si>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</si>
  <si>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</si>
  <si>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</si>
  <si>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</si>
  <si>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</si>
  <si>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</si>
  <si>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</si>
  <si>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</si>
  <si>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</si>
  <si>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</si>
  <si>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</si>
  <si>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</si>
  <si>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</si>
  <si>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</si>
  <si>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</si>
  <si>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</si>
  <si>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</si>
  <si>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</si>
  <si>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</si>
  <si>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</si>
  <si>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</si>
  <si>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</si>
  <si>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</si>
  <si>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</si>
  <si>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</si>
  <si>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</si>
  <si>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</si>
  <si>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</si>
  <si>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</si>
  <si>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</si>
  <si>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</si>
  <si>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</si>
  <si>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</si>
  <si>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</si>
  <si>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</si>
  <si>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</si>
  <si>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</si>
  <si>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</si>
  <si>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</si>
  <si>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</si>
  <si>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</si>
  <si>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</si>
  <si>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</si>
  <si>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</si>
  <si>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</si>
  <si>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</si>
  <si>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</si>
  <si>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</si>
  <si>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</si>
  <si>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</si>
  <si>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</si>
  <si>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</si>
  <si>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</si>
  <si>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</si>
  <si>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</si>
  <si>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</si>
  <si>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</si>
  <si>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</si>
  <si>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</si>
  <si>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</si>
  <si>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</si>
  <si>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</si>
  <si>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</si>
  <si>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</si>
  <si>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</si>
  <si>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</si>
  <si>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</si>
  <si>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</si>
  <si>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</si>
  <si>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</si>
  <si>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</si>
  <si>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</si>
  <si>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</si>
  <si>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</si>
  <si>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</si>
  <si>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</si>
  <si>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</si>
  <si>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</si>
  <si>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</si>
  <si>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</si>
  <si>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</si>
  <si>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</si>
  <si>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</si>
  <si>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</si>
  <si>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</si>
  <si>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</si>
  <si>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</si>
  <si>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</si>
  <si>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</si>
  <si>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</si>
  <si>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</si>
  <si>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</si>
  <si>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</si>
  <si>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</si>
  <si>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</si>
  <si>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</si>
  <si>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</si>
  <si>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</si>
  <si>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</si>
  <si>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</si>
  <si>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</si>
  <si>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</si>
  <si>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</si>
  <si>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</si>
  <si>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</si>
  <si>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</si>
  <si>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</si>
  <si>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</si>
  <si>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</si>
  <si>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</si>
  <si>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</si>
  <si>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</si>
  <si>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</si>
  <si>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</si>
  <si>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</si>
  <si>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</si>
  <si>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</si>
  <si>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</si>
  <si>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</si>
  <si>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</si>
  <si>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</si>
  <si>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</si>
  <si>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</si>
  <si>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</si>
  <si>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</si>
  <si>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</si>
  <si>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</si>
  <si>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</si>
  <si>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</si>
  <si>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</si>
  <si>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</si>
  <si>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</si>
  <si>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</si>
  <si>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</si>
  <si>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</si>
  <si>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</si>
  <si>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</si>
  <si>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</si>
  <si>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</si>
  <si>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</si>
  <si>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</si>
  <si>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</si>
  <si>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</si>
  <si>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</si>
  <si>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</si>
  <si>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</si>
  <si>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</si>
  <si>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</si>
  <si>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</si>
  <si>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</si>
  <si>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</si>
  <si>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</si>
  <si>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</si>
  <si>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</si>
  <si>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</si>
  <si>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</si>
  <si>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</si>
  <si>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</si>
  <si>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</si>
  <si>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</si>
  <si>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</si>
  <si>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</si>
  <si>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</si>
  <si>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</si>
  <si>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</si>
  <si>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</si>
  <si>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</si>
  <si>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</si>
  <si>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</si>
  <si>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</si>
  <si>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</si>
  <si>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</si>
  <si>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</si>
  <si>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</si>
  <si>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</si>
  <si>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</si>
  <si>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</si>
  <si>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</si>
  <si>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</si>
  <si>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</si>
  <si>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</si>
  <si>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</si>
  <si>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</si>
  <si>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</si>
  <si>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</si>
  <si>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</si>
  <si>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</si>
  <si>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</si>
  <si>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</si>
  <si>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</si>
  <si>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</si>
  <si>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</si>
  <si>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</si>
  <si>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</si>
  <si>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</si>
  <si>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</si>
  <si>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</si>
  <si>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</si>
  <si>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</si>
  <si>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</si>
  <si>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</si>
  <si>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</si>
  <si>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</si>
  <si>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</si>
  <si>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</si>
  <si>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</si>
  <si>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</si>
  <si>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</si>
  <si>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</si>
  <si>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</si>
  <si>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</si>
  <si>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</si>
  <si>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</si>
  <si>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</si>
  <si>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</si>
  <si>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</si>
  <si>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</si>
  <si>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</si>
  <si>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</si>
  <si>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</si>
  <si>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</si>
  <si>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</si>
  <si>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</si>
  <si>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</si>
  <si>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</si>
  <si>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</si>
  <si>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</si>
  <si>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</si>
  <si>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</si>
  <si>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</si>
  <si>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</si>
  <si>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</si>
  <si>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</si>
  <si>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</si>
  <si>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</si>
  <si>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</si>
  <si>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</si>
  <si>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</si>
  <si>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</si>
  <si>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</si>
  <si>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</si>
  <si>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</si>
  <si>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</si>
  <si>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</si>
  <si>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</si>
  <si>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</si>
  <si>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</si>
  <si>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</si>
  <si>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</si>
  <si>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</si>
  <si>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</si>
  <si>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</si>
  <si>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</si>
  <si>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</si>
  <si>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</si>
  <si>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</si>
  <si>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</si>
  <si>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</si>
  <si>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</si>
  <si>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</si>
  <si>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</si>
  <si>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</si>
  <si>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</si>
  <si>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</si>
  <si>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</si>
  <si>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</si>
  <si>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</si>
  <si>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</si>
  <si>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</si>
  <si>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</si>
  <si>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</si>
  <si>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</si>
  <si>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</si>
  <si>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</si>
  <si>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</si>
  <si>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</si>
  <si>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</si>
  <si>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</si>
  <si>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</si>
  <si>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</si>
  <si>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</si>
  <si>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</si>
  <si>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</si>
  <si>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</si>
  <si>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</si>
  <si>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</si>
  <si>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</si>
  <si>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</si>
  <si>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</si>
  <si>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</si>
  <si>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</si>
  <si>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</si>
  <si>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</si>
  <si>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</si>
  <si>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</si>
  <si>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</si>
  <si>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</si>
  <si>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</si>
  <si>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</si>
  <si>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</si>
  <si>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</si>
  <si>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</si>
  <si>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</si>
  <si>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</si>
  <si>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</si>
  <si>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</si>
  <si>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</si>
  <si>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</si>
  <si>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</si>
  <si>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</si>
  <si>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</si>
  <si>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</si>
  <si>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</si>
  <si>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</si>
  <si>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</si>
  <si>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</si>
  <si>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</si>
  <si>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</si>
  <si>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</si>
  <si>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</si>
  <si>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</si>
  <si>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</si>
  <si>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</si>
  <si>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</si>
  <si>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</si>
  <si>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</si>
  <si>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</si>
  <si>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</si>
  <si>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</si>
  <si>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</si>
  <si>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</si>
  <si>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</si>
  <si>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</si>
  <si>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</si>
  <si>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</si>
  <si>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</si>
  <si>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</si>
  <si>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</si>
  <si>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</si>
  <si>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</si>
  <si>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</si>
  <si>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</si>
  <si>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</si>
  <si>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</si>
  <si>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</si>
  <si>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</si>
  <si>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</si>
  <si>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</si>
  <si>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</si>
  <si>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</si>
  <si>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</si>
  <si>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</si>
  <si>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</si>
  <si>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</si>
  <si>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</si>
  <si>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</si>
  <si>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</si>
  <si>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</si>
  <si>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</si>
  <si>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</si>
  <si>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</si>
  <si>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</si>
  <si>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</si>
  <si>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</si>
  <si>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</si>
  <si>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</si>
  <si>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</si>
  <si>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</si>
  <si>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</si>
  <si>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</si>
  <si>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</si>
  <si>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</si>
  <si>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</si>
  <si>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</si>
  <si>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</si>
  <si>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</si>
  <si>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</si>
  <si>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</si>
  <si>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</si>
  <si>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</si>
  <si>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</si>
  <si>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</si>
  <si>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</si>
  <si>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</si>
  <si>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</si>
  <si>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</si>
  <si>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</si>
  <si>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</si>
  <si>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</si>
  <si>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</si>
  <si>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</si>
  <si>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</si>
  <si>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</si>
  <si>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</si>
  <si>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</si>
  <si>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</si>
  <si>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</si>
  <si>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</si>
  <si>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</si>
  <si>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</si>
  <si>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</si>
  <si>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</si>
  <si>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</si>
  <si>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</si>
  <si>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</si>
  <si>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</si>
  <si>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</si>
  <si>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</si>
  <si>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</si>
  <si>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</si>
  <si>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</si>
  <si>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</si>
  <si>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</si>
  <si>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</si>
  <si>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</si>
  <si>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</si>
  <si>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</si>
  <si>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</si>
  <si>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</si>
  <si>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</si>
  <si>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</si>
  <si>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</si>
  <si>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</si>
  <si>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</si>
  <si>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</si>
  <si>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</si>
  <si>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</si>
  <si>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</si>
  <si>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</si>
  <si>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</si>
  <si>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</si>
  <si>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</si>
  <si>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</si>
  <si>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</si>
  <si>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</si>
  <si>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</si>
  <si>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</si>
  <si>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</si>
  <si>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</si>
  <si>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</si>
  <si>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</si>
  <si>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</si>
  <si>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</si>
  <si>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</si>
  <si>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</si>
  <si>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</si>
  <si>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</si>
  <si>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</si>
  <si>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</si>
  <si>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</si>
  <si>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</si>
  <si>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</si>
  <si>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</si>
  <si>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</si>
  <si>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</si>
  <si>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</si>
  <si>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</si>
  <si>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</si>
  <si>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</si>
  <si>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</si>
  <si>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</si>
  <si>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</si>
  <si>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</si>
  <si>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</si>
  <si>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</si>
  <si>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</si>
  <si>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</si>
  <si>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</si>
  <si>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</si>
  <si>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</si>
  <si>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</si>
  <si>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</si>
  <si>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</si>
  <si>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</si>
  <si>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</si>
  <si>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</si>
  <si>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</si>
  <si>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</si>
  <si>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</si>
  <si>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</si>
  <si>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</si>
  <si>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</si>
  <si>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</si>
  <si>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</si>
  <si>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</si>
  <si>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</si>
  <si>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</si>
  <si>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</si>
  <si>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</si>
  <si>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</si>
  <si>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</si>
  <si>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</si>
  <si>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</si>
  <si>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</si>
  <si>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</si>
  <si>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</si>
  <si>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</si>
  <si>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</si>
  <si>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</si>
  <si>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</si>
  <si>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</si>
  <si>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</si>
  <si>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</si>
  <si>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</si>
  <si>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</si>
  <si>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</si>
  <si>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</si>
  <si>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</si>
  <si>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</si>
  <si>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</si>
  <si>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</si>
  <si>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</si>
  <si>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</si>
  <si>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</si>
  <si>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</si>
  <si>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</si>
  <si>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</si>
  <si>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</si>
  <si>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</si>
  <si>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</si>
  <si>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</si>
  <si>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</si>
  <si>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</si>
  <si>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</si>
  <si>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</si>
  <si>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</si>
  <si>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</si>
  <si>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</si>
  <si>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</si>
  <si>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</si>
  <si>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</si>
  <si>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</si>
  <si>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</si>
  <si>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</si>
  <si>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</si>
  <si>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</si>
  <si>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</si>
  <si>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</si>
  <si>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</si>
  <si>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</si>
  <si>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</si>
  <si>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</si>
  <si>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</si>
  <si>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</si>
  <si>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</si>
  <si>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</si>
  <si>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</si>
  <si>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</si>
  <si>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</si>
  <si>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</si>
  <si>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</si>
  <si>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</si>
  <si>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</si>
  <si>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</si>
  <si>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</si>
  <si>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</si>
  <si>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</si>
  <si>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</si>
  <si>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</si>
  <si>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</si>
  <si>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</si>
  <si>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</si>
  <si>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</si>
  <si>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</si>
  <si>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</si>
  <si>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</si>
  <si>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</si>
  <si>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</si>
  <si>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</si>
  <si>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</si>
  <si>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</si>
  <si>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</si>
  <si>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</si>
  <si>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</si>
  <si>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</si>
  <si>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</si>
  <si>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</si>
  <si>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</si>
  <si>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</si>
  <si>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</si>
  <si>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</si>
  <si>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</si>
  <si>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</si>
  <si>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</si>
  <si>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</si>
  <si>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</si>
  <si>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</si>
  <si>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</si>
  <si>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</si>
  <si>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</si>
  <si>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</si>
  <si>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</si>
  <si>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</si>
  <si>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</si>
  <si>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</si>
  <si>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</si>
  <si>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</si>
  <si>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</si>
  <si>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</si>
  <si>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</si>
  <si>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</si>
  <si>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</si>
  <si>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</si>
  <si>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</si>
  <si>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</si>
  <si>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</si>
  <si>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</si>
  <si>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</si>
  <si>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</si>
  <si>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</si>
  <si>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</si>
  <si>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</si>
  <si>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</si>
  <si>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</si>
  <si>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</si>
  <si>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</si>
  <si>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</si>
  <si>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</si>
  <si>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</si>
  <si>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</si>
  <si>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</si>
  <si>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</si>
  <si>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</si>
  <si>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</si>
  <si>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</si>
  <si>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</si>
  <si>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</si>
  <si>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</si>
  <si>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</si>
  <si>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</si>
  <si>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</si>
  <si>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</si>
  <si>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</si>
  <si>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</si>
  <si>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</si>
  <si>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</si>
  <si>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</si>
  <si>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</si>
  <si>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</si>
  <si>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</si>
  <si>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</si>
  <si>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</si>
  <si>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</si>
  <si>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</si>
  <si>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</si>
  <si>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</si>
  <si>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</si>
  <si>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</si>
  <si>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</si>
  <si>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</si>
  <si>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</si>
  <si>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</si>
  <si>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</si>
  <si>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</si>
  <si>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</si>
  <si>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</si>
  <si>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</si>
  <si>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</si>
  <si>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</si>
  <si>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</si>
  <si>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</si>
  <si>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</si>
  <si>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</si>
  <si>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</si>
  <si>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</si>
  <si>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</si>
  <si>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</si>
  <si>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</si>
  <si>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</si>
  <si>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</si>
  <si>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</si>
  <si>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</si>
  <si>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</si>
  <si>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</si>
  <si>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</si>
  <si>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</si>
  <si>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</si>
  <si>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</si>
  <si>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</si>
  <si>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</si>
  <si>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</si>
  <si>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</si>
  <si>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</si>
  <si>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</si>
  <si>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</si>
  <si>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</si>
  <si>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</si>
  <si>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</si>
  <si>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</si>
  <si>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</si>
  <si>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</si>
  <si>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</si>
  <si>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</si>
  <si>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</si>
  <si>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</si>
  <si>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</si>
  <si>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</si>
  <si>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</si>
  <si>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</si>
  <si>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</si>
  <si>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</si>
  <si>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</si>
  <si>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</si>
  <si>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</si>
  <si>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</si>
  <si>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</si>
  <si>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</si>
  <si>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</si>
  <si>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</si>
  <si>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</si>
  <si>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</si>
  <si>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</si>
  <si>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</si>
  <si>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</si>
  <si>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</si>
  <si>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</si>
  <si>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</si>
  <si>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</si>
  <si>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</si>
  <si>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</si>
  <si>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</si>
  <si>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</si>
  <si>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</si>
  <si>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</si>
  <si>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</si>
  <si>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</si>
  <si>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</si>
  <si>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</si>
  <si>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</si>
  <si>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</si>
  <si>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</si>
  <si>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</si>
  <si>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</si>
  <si>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</si>
  <si>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</si>
  <si>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</si>
  <si>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</si>
  <si>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</si>
  <si>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</si>
  <si>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</si>
  <si>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</si>
  <si>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</si>
  <si>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</si>
  <si>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</si>
  <si>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</si>
  <si>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</si>
  <si>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</si>
  <si>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</si>
  <si>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</si>
  <si>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</si>
  <si>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</si>
  <si>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</si>
  <si>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</si>
  <si>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</si>
  <si>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</si>
  <si>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</si>
  <si>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</si>
  <si>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</si>
  <si>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</si>
  <si>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</si>
  <si>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</si>
  <si>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</si>
  <si>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</si>
  <si>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</si>
  <si>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</si>
  <si>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</si>
  <si>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</si>
  <si>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</si>
  <si>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</si>
  <si>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</si>
  <si>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</si>
  <si>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</si>
  <si>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</si>
  <si>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</si>
  <si>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</si>
  <si>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</si>
  <si>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</si>
  <si>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</si>
  <si>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</si>
  <si>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</si>
  <si>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</si>
  <si>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</si>
  <si>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</si>
  <si>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</si>
  <si>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</si>
  <si>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</si>
  <si>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</si>
  <si>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</si>
  <si>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</si>
  <si>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</si>
  <si>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</si>
  <si>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</si>
  <si>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</si>
  <si>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</si>
  <si>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</si>
  <si>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</si>
  <si>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</si>
  <si>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</si>
  <si>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</si>
  <si>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</si>
  <si>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</si>
  <si>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</si>
  <si>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</si>
  <si>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</si>
  <si>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</si>
  <si>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</si>
  <si>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</si>
  <si>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</si>
  <si>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</si>
  <si>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</si>
  <si>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</si>
  <si>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</si>
  <si>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</si>
  <si>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</si>
  <si>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</si>
  <si>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</si>
  <si>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</si>
  <si>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</si>
  <si>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</si>
  <si>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</si>
  <si>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</si>
  <si>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</si>
  <si>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</si>
  <si>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</si>
  <si>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</si>
  <si>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</si>
  <si>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</si>
  <si>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</si>
  <si>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</si>
  <si>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</si>
  <si>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</si>
  <si>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</si>
  <si>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</si>
  <si>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</si>
  <si>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</si>
  <si>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</si>
  <si>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</si>
  <si>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</si>
  <si>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</si>
  <si>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</si>
  <si>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</si>
  <si>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</si>
  <si>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</si>
  <si>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</si>
  <si>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</si>
  <si>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</si>
  <si>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</si>
  <si>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</si>
  <si>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</si>
  <si>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</si>
  <si>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</si>
  <si>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</si>
  <si>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</si>
  <si>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</si>
  <si>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</si>
  <si>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</si>
  <si>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</si>
  <si>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</si>
  <si>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</si>
  <si>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</si>
  <si>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</si>
  <si>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</si>
  <si>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</si>
  <si>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</si>
  <si>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</si>
  <si>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</si>
  <si>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</si>
  <si>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</si>
  <si>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</si>
  <si>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</si>
  <si>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</si>
  <si>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</si>
  <si>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</si>
  <si>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</si>
  <si>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</si>
  <si>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</si>
  <si>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</si>
  <si>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</si>
  <si>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</si>
  <si>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</si>
  <si>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</si>
  <si>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</si>
  <si>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</si>
  <si>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</si>
  <si>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</si>
  <si>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</si>
  <si>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</si>
  <si>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</si>
  <si>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</si>
  <si>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</si>
  <si>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</si>
  <si>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</si>
  <si>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</si>
  <si>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</si>
  <si>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</si>
  <si>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</si>
  <si>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</si>
  <si>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</si>
  <si>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</si>
  <si>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</si>
  <si>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</si>
  <si>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</si>
  <si>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</si>
  <si>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</si>
  <si>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</si>
  <si>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</si>
  <si>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</si>
  <si>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</si>
  <si>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</si>
  <si>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</si>
  <si>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</si>
  <si>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</si>
  <si>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</si>
  <si>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</si>
  <si>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</si>
  <si>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</si>
  <si>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</si>
  <si>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</si>
  <si>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</si>
  <si>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</si>
  <si>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</si>
  <si>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</si>
  <si>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</si>
  <si>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</si>
  <si>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</si>
  <si>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</si>
  <si>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</si>
  <si>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</si>
  <si>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</si>
  <si>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</si>
  <si>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</si>
  <si>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</si>
  <si>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</si>
  <si>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</si>
  <si>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</si>
  <si>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</si>
  <si>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</si>
  <si>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</si>
  <si>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</si>
  <si>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</si>
  <si>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</si>
  <si>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</si>
  <si>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</si>
  <si>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</si>
  <si>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</si>
  <si>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</si>
  <si>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</si>
  <si>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</si>
  <si>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</si>
  <si>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</si>
  <si>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</si>
  <si>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</si>
  <si>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</si>
  <si>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</si>
  <si>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</si>
  <si>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</si>
  <si>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</si>
  <si>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</si>
  <si>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</si>
  <si>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</si>
  <si>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</si>
  <si>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</si>
  <si>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</si>
  <si>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</si>
  <si>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</si>
  <si>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</si>
  <si>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</si>
  <si>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</si>
  <si>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</si>
  <si>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</si>
  <si>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</si>
  <si>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</si>
  <si>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</si>
  <si>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</si>
  <si>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</si>
  <si>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</si>
  <si>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</si>
  <si>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</si>
  <si>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</si>
  <si>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</si>
  <si>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</si>
  <si>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</si>
  <si>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</si>
  <si>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</si>
  <si>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</si>
  <si>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</si>
  <si>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</si>
  <si>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</si>
  <si>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</si>
  <si>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</si>
  <si>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</si>
  <si>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</si>
  <si>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</si>
  <si>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</si>
  <si>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</si>
  <si>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</si>
  <si>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</si>
  <si>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</si>
  <si>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</si>
  <si>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</si>
  <si>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</si>
  <si>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</si>
  <si>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</si>
  <si>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</si>
  <si>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</si>
  <si>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</si>
  <si>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</si>
  <si>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</si>
  <si>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</si>
  <si>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</si>
  <si>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</si>
  <si>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</si>
  <si>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</si>
  <si>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</si>
  <si>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</si>
  <si>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</si>
  <si>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</si>
  <si>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</si>
  <si>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</si>
  <si>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</si>
  <si>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</si>
  <si>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</si>
  <si>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</si>
  <si>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</si>
  <si>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</si>
  <si>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</si>
  <si>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</si>
  <si>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</si>
  <si>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</si>
  <si>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</si>
  <si>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</si>
  <si>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</si>
  <si>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</si>
  <si>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</si>
  <si>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</si>
  <si>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</si>
  <si>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</si>
  <si>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</si>
  <si>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</si>
  <si>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</si>
  <si>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</si>
  <si>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</si>
  <si>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</si>
  <si>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</si>
  <si>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</si>
  <si>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</si>
  <si>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</si>
  <si>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</si>
  <si>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</si>
  <si>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</si>
  <si>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</si>
  <si>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</si>
  <si>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</si>
  <si>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</si>
  <si>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</si>
  <si>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</si>
  <si>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</si>
  <si>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</si>
  <si>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</si>
  <si>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</si>
  <si>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</si>
  <si>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</si>
  <si>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</si>
  <si>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</si>
  <si>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</si>
  <si>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</si>
  <si>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</si>
  <si>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</si>
  <si>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</si>
  <si>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</si>
  <si>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</si>
  <si>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</si>
  <si>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</si>
  <si>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</si>
  <si>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</si>
  <si>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</si>
  <si>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</si>
  <si>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</si>
  <si>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</si>
  <si>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</si>
  <si>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</si>
  <si>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</si>
  <si>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</si>
  <si>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</si>
  <si>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</si>
  <si>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</si>
  <si>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</si>
  <si>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</si>
  <si>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</si>
  <si>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</si>
  <si>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</si>
  <si>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</si>
  <si>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</si>
  <si>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</si>
  <si>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</si>
  <si>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</si>
  <si>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</si>
  <si>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</si>
  <si>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</si>
  <si>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</si>
  <si>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</si>
  <si>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</si>
  <si>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</si>
  <si>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</si>
  <si>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</si>
  <si>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</si>
  <si>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</si>
  <si>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</si>
  <si>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</si>
  <si>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</si>
  <si>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</si>
  <si>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</si>
  <si>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</si>
  <si>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</si>
  <si>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</si>
  <si>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</si>
  <si>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</si>
  <si>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</si>
  <si>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</si>
  <si>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</si>
  <si>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</si>
  <si>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</si>
  <si>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</si>
  <si>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</si>
  <si>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</si>
  <si>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</si>
  <si>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</si>
  <si>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</si>
  <si>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</si>
  <si>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</si>
  <si>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</si>
  <si>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</si>
  <si>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</si>
  <si>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</si>
  <si>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</si>
  <si>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</si>
  <si>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</si>
  <si>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</si>
  <si>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</si>
  <si>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</si>
  <si>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</si>
  <si>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</si>
  <si>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</si>
  <si>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</si>
  <si>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</si>
  <si>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</si>
  <si>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</si>
  <si>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</si>
  <si>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</si>
  <si>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</si>
  <si>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</si>
  <si>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</si>
  <si>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</si>
  <si>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</si>
  <si>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</si>
  <si>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</si>
  <si>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</si>
  <si>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</si>
  <si>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</si>
  <si>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</si>
  <si>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</si>
  <si>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</si>
  <si>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</si>
  <si>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</si>
  <si>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</si>
  <si>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</si>
  <si>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</si>
  <si>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</si>
  <si>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</si>
  <si>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</si>
  <si>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</si>
  <si>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</si>
  <si>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</si>
  <si>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</si>
  <si>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</si>
  <si>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</si>
  <si>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</si>
  <si>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</si>
  <si>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</si>
  <si>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</si>
  <si>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</si>
  <si>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</si>
  <si>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</si>
  <si>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</si>
  <si>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</si>
  <si>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</si>
  <si>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</si>
  <si>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</si>
  <si>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</si>
  <si>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</si>
  <si>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</si>
  <si>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</si>
  <si>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</si>
  <si>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</si>
  <si>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</si>
  <si>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</si>
  <si>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</si>
  <si>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</si>
  <si>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</si>
  <si>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</si>
  <si>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</si>
  <si>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</si>
  <si>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</si>
  <si>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</si>
  <si>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</si>
  <si>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</si>
  <si>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</si>
  <si>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</si>
  <si>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</si>
  <si>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</si>
  <si>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</si>
  <si>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</si>
  <si>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</si>
  <si>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</si>
  <si>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</si>
  <si>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</si>
  <si>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</si>
  <si>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</si>
  <si>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</si>
  <si>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</si>
  <si>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</si>
  <si>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</si>
  <si>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</si>
  <si>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</si>
  <si>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</si>
  <si>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</si>
  <si>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</si>
  <si>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</si>
  <si>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</si>
  <si>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</si>
  <si>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</si>
  <si>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</si>
  <si>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</si>
  <si>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</si>
  <si>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</si>
  <si>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</si>
  <si>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</si>
  <si>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</si>
  <si>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</si>
  <si>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</si>
  <si>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</si>
  <si>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</si>
  <si>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</si>
  <si>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</si>
  <si>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</si>
  <si>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</si>
  <si>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</si>
  <si>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</si>
  <si>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</si>
  <si>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</si>
  <si>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</si>
  <si>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</si>
  <si>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</si>
  <si>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</si>
  <si>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</si>
  <si>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</si>
  <si>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</si>
  <si>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</si>
  <si>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</si>
  <si>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</si>
  <si>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</si>
  <si>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</si>
  <si>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</si>
  <si>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</si>
  <si>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</si>
  <si>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</si>
  <si>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</si>
  <si>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</si>
  <si>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</si>
  <si>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</si>
  <si>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</si>
  <si>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</si>
  <si>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</si>
  <si>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</si>
  <si>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</si>
  <si>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</si>
  <si>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</si>
  <si>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</si>
  <si>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</si>
  <si>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</si>
  <si>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</si>
  <si>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</si>
  <si>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</si>
  <si>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</si>
  <si>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</si>
  <si>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</si>
  <si>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</si>
  <si>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</si>
  <si>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</si>
  <si>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</si>
  <si>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</si>
  <si>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</si>
  <si>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</si>
  <si>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</si>
  <si>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</si>
  <si>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</si>
  <si>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</si>
  <si>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</si>
  <si>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</si>
  <si>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</si>
  <si>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</si>
  <si>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</si>
  <si>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</si>
  <si>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</si>
  <si>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</si>
  <si>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</si>
  <si>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</si>
  <si>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</si>
  <si>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</si>
  <si>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</si>
  <si>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</si>
  <si>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</si>
  <si>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</si>
  <si>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</si>
  <si>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</si>
  <si>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</si>
  <si>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</si>
  <si>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</si>
  <si>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</si>
  <si>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</si>
  <si>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</si>
  <si>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</si>
  <si>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</si>
  <si>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</si>
  <si>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</si>
  <si>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</si>
  <si>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</si>
  <si>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</si>
  <si>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</si>
  <si>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</si>
  <si>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</si>
  <si>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</si>
  <si>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</si>
  <si>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</si>
  <si>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</si>
  <si>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</si>
  <si>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</si>
  <si>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</si>
  <si>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</si>
  <si>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</si>
  <si>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</si>
  <si>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</si>
  <si>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</si>
  <si>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</si>
  <si>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</si>
  <si>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</si>
  <si>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</si>
  <si>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</si>
  <si>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</si>
  <si>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</si>
  <si>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</si>
  <si>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</si>
  <si>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</si>
  <si>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</si>
  <si>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</si>
  <si>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</si>
  <si>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</si>
  <si>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</si>
  <si>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</si>
  <si>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</si>
  <si>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</si>
  <si>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</si>
  <si>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</si>
  <si>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</si>
  <si>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</si>
  <si>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</si>
  <si>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</si>
  <si>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</si>
  <si>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</si>
  <si>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</si>
  <si>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</si>
  <si>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</si>
  <si>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</si>
  <si>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</si>
  <si>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</si>
  <si>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</si>
  <si>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</si>
  <si>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</si>
  <si>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</si>
  <si>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</si>
  <si>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</si>
  <si>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</si>
  <si>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</si>
  <si>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</si>
  <si>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</si>
  <si>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</si>
  <si>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</si>
  <si>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</si>
  <si>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</si>
  <si>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</si>
  <si>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</si>
  <si>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</si>
  <si>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</si>
  <si>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</si>
  <si>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</si>
  <si>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</si>
  <si>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</si>
  <si>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</si>
  <si>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</si>
  <si>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</si>
  <si>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</si>
  <si>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</si>
  <si>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</si>
  <si>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</si>
  <si>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</si>
  <si>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</si>
  <si>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</si>
  <si>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</si>
  <si>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</si>
  <si>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</si>
  <si>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</si>
  <si>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</si>
  <si>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</si>
  <si>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</si>
  <si>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</si>
  <si>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</si>
  <si>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</si>
  <si>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</si>
  <si>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</si>
  <si>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</si>
  <si>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</si>
  <si>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</si>
  <si>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</si>
  <si>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</si>
  <si>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</si>
  <si>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</si>
  <si>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</si>
  <si>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</si>
  <si>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</si>
  <si>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</si>
  <si>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</si>
  <si>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</si>
  <si>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</si>
  <si>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</si>
  <si>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</si>
  <si>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</si>
  <si>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</si>
  <si>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</si>
  <si>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</si>
  <si>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</si>
  <si>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</si>
  <si>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</si>
  <si>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</si>
  <si>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</si>
  <si>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</si>
  <si>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</si>
  <si>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</si>
  <si>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</si>
  <si>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</si>
  <si>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</si>
  <si>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</si>
  <si>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</si>
  <si>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</si>
  <si>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</si>
  <si>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</si>
  <si>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</si>
  <si>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</si>
  <si>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</si>
  <si>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</si>
  <si>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</si>
  <si>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</si>
  <si>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</si>
  <si>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</si>
  <si>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</si>
  <si>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</si>
  <si>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</si>
  <si>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</si>
  <si>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</si>
  <si>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</si>
  <si>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</si>
  <si>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</si>
  <si>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</si>
  <si>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</si>
  <si>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</si>
  <si>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</si>
  <si>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</si>
  <si>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</si>
  <si>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</si>
  <si>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</si>
  <si>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</si>
  <si>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</si>
  <si>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</si>
  <si>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</si>
  <si>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</si>
  <si>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</si>
  <si>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</si>
  <si>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</si>
  <si>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</si>
  <si>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</si>
  <si>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</si>
  <si>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</si>
  <si>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</si>
  <si>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</si>
  <si>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</si>
  <si>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</si>
  <si>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</si>
  <si>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</si>
  <si>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</si>
  <si>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</si>
  <si>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</si>
  <si>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</si>
  <si>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</si>
  <si>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</si>
  <si>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</si>
  <si>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</si>
  <si>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</si>
  <si>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</si>
  <si>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</si>
  <si>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</si>
  <si>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</si>
  <si>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</si>
  <si>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</si>
  <si>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</si>
  <si>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</si>
  <si>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</si>
  <si>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</si>
  <si>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</si>
  <si>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</si>
  <si>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</si>
  <si>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</si>
  <si>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</si>
  <si>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</si>
  <si>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</si>
  <si>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</si>
  <si>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</si>
  <si>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</si>
  <si>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</si>
  <si>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</si>
  <si>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</si>
  <si>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</si>
  <si>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</si>
  <si>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</si>
  <si>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</si>
  <si>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</si>
  <si>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</si>
  <si>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</si>
  <si>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</si>
  <si>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</si>
  <si>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</si>
  <si>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</si>
  <si>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</si>
  <si>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</si>
  <si>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</si>
  <si>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</si>
  <si>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</si>
  <si>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</si>
  <si>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</si>
  <si>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</si>
  <si>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</si>
  <si>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</si>
  <si>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</si>
  <si>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</si>
  <si>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</si>
  <si>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</si>
  <si>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</si>
  <si>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</si>
  <si>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</si>
  <si>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</si>
  <si>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</si>
  <si>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</si>
  <si>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</si>
  <si>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</si>
  <si>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</si>
  <si>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</si>
  <si>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</si>
  <si>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</si>
  <si>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</si>
  <si>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</si>
  <si>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</si>
  <si>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</si>
  <si>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</si>
  <si>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</si>
  <si>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</si>
  <si>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</si>
  <si>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</si>
  <si>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</si>
  <si>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</si>
  <si>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</si>
  <si>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</si>
  <si>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</si>
  <si>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</si>
  <si>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</si>
  <si>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</si>
  <si>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</si>
  <si>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</si>
  <si>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</si>
  <si>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</si>
  <si>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</si>
  <si>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</si>
  <si>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</si>
  <si>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</si>
  <si>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</si>
  <si>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</si>
  <si>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</si>
  <si>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</si>
  <si>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</si>
  <si>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</si>
  <si>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</si>
  <si>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</si>
  <si>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</si>
  <si>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</si>
  <si>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</si>
  <si>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</si>
  <si>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</si>
  <si>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</si>
  <si>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</si>
  <si>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</si>
  <si>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</si>
  <si>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</si>
  <si>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</si>
  <si>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</si>
  <si>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</si>
  <si>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</si>
  <si>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</si>
  <si>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</si>
  <si>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</si>
  <si>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</si>
  <si>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</si>
  <si>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</si>
  <si>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</si>
  <si>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</si>
  <si>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</si>
  <si>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</si>
  <si>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</si>
  <si>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</si>
  <si>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</si>
  <si>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</si>
  <si>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</si>
  <si>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</si>
  <si>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</si>
  <si>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</si>
  <si>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</si>
  <si>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</si>
  <si>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</si>
  <si>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</si>
  <si>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</si>
  <si>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</si>
  <si>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</si>
  <si>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</si>
  <si>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</si>
  <si>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</si>
  <si>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</si>
  <si>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</si>
  <si>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</si>
  <si>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</si>
  <si>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</si>
  <si>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</si>
  <si>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</si>
  <si>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</si>
  <si>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</si>
  <si>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</si>
  <si>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</si>
  <si>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</si>
  <si>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</si>
  <si>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</si>
  <si>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</si>
  <si>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</si>
  <si>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</si>
  <si>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</si>
  <si>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</si>
  <si>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</si>
  <si>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</si>
  <si>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</si>
  <si>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</si>
  <si>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</si>
  <si>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</si>
  <si>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</si>
  <si>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</si>
  <si>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</si>
  <si>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</si>
  <si>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</si>
  <si>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</si>
  <si>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</si>
  <si>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</si>
  <si>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</si>
  <si>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</si>
  <si>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</si>
  <si>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</si>
  <si>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</si>
  <si>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</si>
  <si>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</si>
  <si>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</si>
  <si>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</si>
  <si>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</si>
  <si>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</si>
  <si>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</si>
  <si>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</si>
  <si>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</si>
  <si>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</si>
  <si>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</si>
  <si>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</si>
  <si>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</si>
  <si>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</si>
  <si>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</si>
  <si>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</si>
  <si>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</si>
  <si>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</si>
  <si>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</si>
  <si>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</si>
  <si>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</si>
  <si>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</si>
  <si>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</si>
  <si>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</si>
  <si>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</si>
  <si>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</si>
  <si>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</si>
  <si>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</si>
  <si>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</si>
  <si>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</si>
  <si>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</si>
  <si>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</si>
  <si>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</si>
  <si>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</si>
  <si>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</si>
  <si>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</si>
  <si>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</si>
  <si>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</si>
  <si>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</si>
  <si>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</si>
  <si>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</si>
  <si>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</si>
  <si>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</si>
  <si>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</si>
  <si>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</si>
  <si>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</si>
  <si>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</si>
  <si>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</si>
  <si>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</si>
  <si>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</si>
  <si>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</si>
  <si>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</si>
  <si>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</si>
  <si>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</si>
  <si>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</si>
  <si>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</si>
  <si>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</si>
  <si>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</si>
  <si>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</si>
  <si>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</si>
  <si>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</si>
  <si>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</si>
  <si>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</si>
  <si>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</si>
  <si>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</si>
  <si>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</si>
  <si>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</si>
  <si>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</si>
  <si>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</si>
  <si>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</si>
  <si>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</si>
  <si>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</si>
  <si>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</si>
  <si>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</si>
  <si>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</si>
  <si>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</si>
  <si>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</si>
  <si>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</si>
  <si>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</si>
  <si>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</si>
  <si>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</si>
  <si>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</si>
  <si>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</si>
  <si>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</si>
  <si>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</si>
  <si>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</si>
  <si>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</si>
  <si>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</si>
  <si>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</si>
  <si>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</si>
  <si>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</si>
  <si>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</si>
  <si>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</si>
  <si>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</si>
  <si>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</si>
  <si>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</si>
  <si>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</si>
  <si>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</si>
  <si>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</si>
  <si>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</si>
  <si>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</si>
  <si>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</si>
  <si>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</si>
  <si>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</si>
  <si>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</si>
  <si>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</si>
  <si>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</si>
  <si>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</si>
  <si>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</si>
  <si>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</si>
  <si>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</si>
  <si>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</si>
  <si>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</si>
  <si>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</si>
  <si>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</si>
  <si>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</si>
  <si>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</si>
  <si>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</si>
  <si>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</si>
  <si>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</si>
  <si>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</si>
  <si>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</si>
  <si>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</si>
  <si>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</si>
  <si>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</si>
  <si>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</si>
  <si>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</si>
  <si>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</si>
  <si>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</si>
  <si>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</si>
  <si>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</si>
  <si>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</si>
  <si>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</si>
  <si>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</si>
  <si>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</si>
  <si>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</si>
  <si>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</si>
  <si>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</si>
  <si>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</si>
  <si>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</si>
  <si>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</si>
  <si>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</si>
  <si>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</si>
  <si>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</si>
  <si>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</si>
  <si>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</si>
  <si>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</si>
  <si>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</si>
  <si>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</si>
  <si>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</si>
  <si>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</si>
  <si>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</si>
  <si>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</si>
  <si>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</si>
  <si>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</si>
  <si>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</si>
  <si>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</si>
  <si>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</si>
  <si>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</si>
  <si>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</si>
  <si>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</si>
  <si>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</si>
  <si>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</si>
  <si>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</si>
  <si>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</si>
  <si>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</si>
  <si>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</si>
  <si>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</si>
  <si>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</si>
  <si>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</si>
  <si>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</si>
  <si>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</si>
  <si>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</si>
  <si>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</si>
  <si>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</si>
  <si>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</si>
  <si>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</si>
  <si>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</si>
  <si>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</si>
  <si>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</si>
  <si>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</si>
  <si>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</si>
  <si>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</si>
  <si>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</si>
  <si>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</si>
  <si>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</si>
  <si>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</si>
  <si>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</si>
  <si>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</si>
  <si>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</si>
  <si>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</si>
  <si>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</si>
  <si>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</si>
  <si>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</si>
  <si>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</si>
  <si>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</si>
  <si>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</si>
  <si>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</si>
  <si>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</si>
  <si>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</si>
  <si>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</si>
  <si>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</si>
  <si>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</si>
  <si>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</si>
  <si>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</si>
  <si>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</si>
  <si>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</si>
  <si>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</si>
  <si>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</si>
  <si>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</si>
  <si>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</si>
  <si>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</si>
  <si>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</si>
  <si>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</si>
  <si>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</si>
  <si>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</si>
  <si>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</si>
  <si>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</si>
  <si>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</si>
  <si>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</si>
  <si>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</si>
  <si>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</si>
  <si>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</si>
  <si>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</si>
  <si>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</si>
  <si>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</si>
  <si>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</si>
  <si>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</si>
  <si>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</si>
  <si>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</si>
  <si>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</si>
  <si>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</si>
  <si>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</si>
  <si>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</si>
  <si>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</si>
  <si>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</si>
  <si>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</si>
  <si>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</si>
  <si>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</si>
  <si>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</si>
  <si>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</si>
  <si>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</si>
  <si>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</si>
  <si>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</si>
  <si>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</si>
  <si>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</si>
  <si>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</si>
  <si>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</si>
  <si>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</si>
  <si>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</si>
  <si>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</si>
  <si>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</si>
  <si>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</si>
  <si>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</si>
  <si>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</si>
  <si>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</si>
  <si>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</si>
  <si>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</si>
  <si>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</si>
  <si>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</si>
  <si>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</si>
  <si>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</si>
  <si>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</si>
  <si>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</si>
  <si>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</si>
  <si>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</si>
  <si>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</si>
  <si>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</si>
  <si>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</si>
  <si>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</si>
  <si>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</si>
  <si>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</si>
  <si>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</si>
  <si>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</si>
  <si>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</si>
  <si>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</si>
  <si>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</si>
  <si>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</si>
  <si>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</si>
  <si>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</si>
  <si>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</si>
  <si>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</si>
  <si>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</si>
  <si>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</si>
  <si>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</si>
  <si>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</si>
  <si>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</si>
  <si>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</si>
  <si>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</si>
  <si>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</si>
  <si>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</si>
  <si>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</si>
  <si>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</si>
  <si>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</si>
  <si>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</si>
  <si>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</si>
  <si>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</si>
  <si>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</si>
  <si>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</si>
  <si>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</si>
  <si>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</si>
  <si>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</si>
  <si>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</si>
  <si>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</si>
  <si>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</si>
  <si>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</si>
  <si>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</si>
  <si>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</si>
  <si>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</si>
  <si>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</si>
  <si>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</si>
  <si>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</si>
  <si>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</si>
  <si>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</si>
  <si>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</si>
  <si>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</si>
  <si>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</si>
  <si>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</si>
  <si>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</si>
  <si>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</si>
  <si>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</si>
  <si>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</si>
  <si>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</si>
  <si>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</si>
  <si>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</si>
  <si>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</si>
  <si>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</si>
  <si>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</si>
  <si>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</si>
  <si>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</si>
  <si>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</si>
  <si>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</si>
  <si>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</si>
  <si>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</si>
  <si>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</si>
  <si>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</si>
  <si>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</si>
  <si>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</si>
  <si>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</si>
  <si>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</si>
  <si>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</si>
  <si>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</si>
  <si>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</si>
  <si>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</si>
  <si>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</si>
  <si>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</si>
  <si>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</si>
  <si>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</si>
  <si>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</si>
  <si>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</si>
  <si>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</si>
  <si>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</si>
  <si>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</si>
  <si>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</si>
  <si>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</si>
  <si>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</si>
  <si>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</si>
  <si>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</si>
  <si>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</si>
  <si>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</si>
  <si>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</si>
  <si>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</si>
  <si>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</si>
  <si>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</si>
  <si>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</si>
  <si>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</si>
  <si>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</si>
  <si>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</si>
  <si>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</si>
  <si>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</si>
  <si>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</si>
  <si>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</si>
  <si>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</si>
  <si>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</si>
  <si>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</si>
  <si>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</si>
  <si>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</si>
  <si>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</si>
  <si>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</si>
  <si>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</si>
  <si>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</si>
  <si>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</si>
  <si>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</si>
  <si>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</si>
  <si>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</si>
  <si>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</si>
  <si>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</si>
  <si>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</si>
  <si>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</si>
  <si>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</si>
  <si>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</si>
  <si>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</si>
  <si>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</si>
  <si>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</si>
  <si>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</si>
  <si>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</si>
  <si>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</si>
  <si>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</si>
  <si>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</si>
  <si>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</si>
  <si>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</si>
  <si>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</si>
  <si>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</si>
  <si>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</si>
  <si>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</si>
  <si>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</si>
  <si>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</si>
  <si>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</si>
  <si>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</si>
  <si>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</si>
  <si>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</si>
  <si>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</si>
  <si>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</si>
  <si>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</si>
  <si>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</si>
  <si>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</si>
  <si>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</si>
  <si>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</si>
  <si>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</si>
  <si>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</si>
  <si>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</si>
  <si>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</si>
  <si>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</si>
  <si>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</si>
  <si>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</si>
  <si>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</si>
  <si>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</si>
  <si>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</si>
  <si>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</si>
  <si>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</si>
  <si>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</si>
  <si>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</si>
  <si>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</si>
  <si>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</si>
  <si>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</si>
  <si>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</si>
  <si>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</si>
  <si>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</si>
  <si>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</si>
  <si>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</si>
  <si>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</si>
  <si>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</si>
  <si>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</si>
  <si>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</si>
  <si>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</si>
  <si>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</si>
  <si>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</si>
  <si>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</si>
  <si>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</si>
  <si>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</si>
  <si>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</si>
  <si>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</si>
  <si>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</si>
  <si>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</si>
  <si>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</si>
  <si>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</si>
  <si>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</si>
  <si>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</si>
  <si>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</si>
  <si>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</si>
  <si>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</si>
  <si>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</si>
  <si>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</si>
  <si>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</si>
  <si>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</si>
  <si>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</si>
  <si>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</si>
  <si>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</si>
  <si>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</si>
  <si>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</si>
  <si>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</si>
  <si>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</si>
  <si>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</si>
  <si>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</si>
  <si>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</si>
  <si>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</si>
  <si>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</si>
  <si>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</si>
  <si>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</si>
  <si>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</si>
  <si>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</si>
  <si>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</si>
  <si>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</si>
  <si>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</si>
  <si>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</si>
  <si>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</si>
  <si>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</si>
  <si>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</si>
  <si>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</si>
  <si>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</si>
  <si>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</si>
  <si>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</si>
  <si>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</si>
  <si>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</si>
  <si>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</si>
  <si>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</si>
  <si>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</si>
  <si>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</si>
  <si>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</si>
  <si>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</si>
  <si>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</si>
  <si>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</si>
  <si>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</si>
  <si>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</si>
  <si>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</si>
  <si>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</si>
  <si>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</si>
  <si>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</si>
  <si>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</si>
  <si>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</si>
  <si>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</si>
  <si>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</si>
  <si>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</si>
  <si>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</si>
  <si>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</si>
  <si>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</si>
  <si>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</si>
  <si>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</si>
  <si>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</si>
  <si>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</si>
  <si>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</si>
  <si>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</si>
  <si>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</si>
  <si>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</si>
  <si>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</si>
  <si>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</si>
  <si>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</si>
  <si>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</si>
  <si>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</si>
  <si>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</si>
  <si>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</si>
  <si>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</si>
  <si>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</si>
  <si>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</si>
  <si>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</si>
  <si>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</si>
  <si>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</si>
  <si>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</si>
  <si>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</si>
  <si>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</si>
  <si>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</si>
  <si>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</si>
  <si>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</si>
  <si>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</si>
  <si>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</si>
  <si>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</si>
  <si>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</si>
  <si>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</si>
  <si>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</si>
  <si>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</si>
  <si>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</si>
  <si>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</si>
  <si>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</si>
  <si>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</si>
  <si>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</si>
  <si>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</si>
  <si>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</si>
  <si>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</si>
  <si>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</si>
  <si>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</si>
  <si>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</si>
  <si>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</si>
  <si>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</si>
  <si>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</si>
  <si>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</si>
  <si>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</si>
  <si>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</si>
  <si>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</si>
  <si>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</si>
  <si>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</si>
  <si>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</si>
  <si>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</si>
  <si>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</si>
  <si>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</si>
  <si>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</si>
  <si>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</si>
  <si>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</si>
  <si>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</si>
  <si>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</si>
  <si>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</si>
  <si>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</si>
  <si>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</si>
  <si>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</si>
  <si>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</si>
  <si>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</si>
  <si>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</si>
  <si>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</si>
  <si>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</si>
  <si>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</si>
  <si>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</si>
  <si>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</si>
  <si>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</si>
  <si>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</si>
  <si>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</si>
  <si>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</si>
  <si>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</si>
  <si>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</si>
  <si>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</si>
  <si>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</si>
  <si>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</si>
  <si>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</si>
  <si>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</si>
  <si>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</si>
  <si>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</si>
  <si>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</si>
  <si>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</si>
  <si>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</si>
  <si>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</si>
  <si>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</si>
  <si>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</si>
  <si>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</si>
  <si>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</si>
  <si>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</si>
  <si>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</si>
  <si>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</si>
  <si>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</si>
  <si>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</si>
  <si>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</si>
  <si>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</si>
  <si>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</si>
  <si>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</si>
  <si>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</si>
  <si>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</si>
  <si>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</si>
  <si>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</si>
  <si>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</si>
  <si>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</si>
  <si>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</si>
  <si>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</si>
  <si>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</si>
  <si>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</si>
  <si>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</si>
  <si>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</si>
  <si>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</si>
  <si>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</si>
  <si>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</si>
  <si>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</si>
  <si>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</si>
  <si>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</si>
  <si>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</si>
  <si>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</si>
  <si>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</si>
  <si>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</si>
  <si>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</si>
  <si>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</si>
  <si>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</si>
  <si>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</si>
  <si>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</si>
  <si>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</si>
  <si>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</si>
  <si>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</si>
  <si>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</si>
  <si>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</si>
  <si>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</si>
  <si>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</si>
  <si>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</si>
  <si>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</si>
  <si>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</si>
  <si>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</si>
  <si>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</si>
  <si>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</si>
  <si>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</si>
  <si>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</si>
  <si>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</si>
  <si>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</si>
  <si>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</si>
  <si>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</si>
  <si>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</si>
  <si>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</si>
  <si>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</si>
  <si>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</si>
  <si>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</si>
  <si>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</si>
  <si>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</si>
  <si>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</si>
  <si>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</si>
  <si>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</si>
  <si>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</si>
  <si>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</si>
  <si>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</si>
  <si>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</si>
  <si>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</si>
  <si>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</si>
  <si>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</si>
  <si>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</si>
  <si>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</si>
  <si>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</si>
  <si>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</si>
  <si>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</si>
  <si>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</si>
  <si>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</si>
  <si>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</si>
  <si>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</si>
  <si>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</si>
  <si>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</si>
  <si>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</si>
  <si>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</si>
  <si>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</si>
  <si>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</si>
  <si>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</si>
  <si>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</si>
  <si>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</si>
  <si>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</si>
  <si>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</si>
  <si>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</si>
  <si>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</si>
  <si>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</si>
  <si>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</si>
  <si>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</si>
  <si>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</si>
  <si>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</si>
  <si>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</si>
  <si>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</si>
  <si>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</si>
  <si>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</si>
  <si>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</si>
  <si>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</si>
  <si>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</si>
  <si>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</si>
  <si>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</si>
  <si>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</si>
  <si>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</si>
  <si>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</si>
  <si>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</si>
  <si>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</si>
  <si>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</si>
  <si>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</si>
  <si>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</si>
  <si>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</si>
  <si>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</si>
  <si>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</si>
  <si>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</si>
  <si>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</si>
  <si>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</si>
  <si>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</si>
  <si>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</si>
  <si>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</si>
  <si>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</si>
  <si>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</si>
  <si>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</si>
  <si>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</si>
  <si>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</si>
  <si>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</si>
  <si>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</si>
  <si>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</si>
  <si>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</si>
  <si>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</si>
  <si>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</si>
  <si>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</si>
  <si>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</si>
  <si>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</si>
  <si>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</si>
  <si>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</si>
  <si>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</si>
  <si>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</si>
  <si>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</si>
  <si>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</si>
  <si>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</si>
  <si>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</si>
  <si>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</si>
  <si>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</si>
  <si>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</si>
  <si>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</si>
  <si>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</si>
  <si>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</si>
  <si>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</si>
  <si>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</si>
  <si>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</si>
  <si>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</si>
  <si>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</si>
  <si>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</si>
  <si>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</si>
  <si>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</si>
  <si>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</si>
  <si>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</si>
  <si>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</si>
  <si>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</si>
  <si>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</si>
  <si>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</si>
  <si>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</si>
  <si>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</si>
  <si>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</si>
  <si>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</si>
  <si>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</si>
  <si>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</si>
  <si>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</si>
  <si>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</si>
  <si>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</si>
  <si>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</si>
  <si>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</si>
  <si>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</si>
  <si>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</si>
  <si>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</si>
  <si>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</si>
  <si>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</si>
  <si>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</si>
  <si>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</si>
  <si>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</si>
  <si>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</si>
  <si>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</si>
  <si>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</si>
  <si>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</si>
  <si>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</si>
  <si>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</si>
  <si>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</si>
  <si>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</si>
  <si>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</si>
  <si>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</si>
  <si>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</si>
  <si>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</si>
  <si>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</si>
  <si>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</si>
  <si>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</si>
  <si>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</si>
  <si>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</si>
  <si>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</si>
  <si>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</si>
  <si>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</si>
  <si>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</si>
  <si>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</si>
  <si>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</si>
  <si>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</si>
  <si>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</si>
  <si>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</si>
  <si>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</si>
  <si>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</si>
  <si>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</si>
  <si>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</si>
  <si>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</si>
  <si>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</si>
  <si>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</si>
  <si>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</si>
  <si>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</si>
  <si>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</si>
  <si>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</si>
  <si>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</si>
  <si>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</si>
  <si>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</si>
  <si>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</si>
  <si>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</si>
  <si>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</si>
  <si>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</si>
  <si>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</si>
  <si>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</si>
  <si>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</si>
  <si>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</si>
  <si>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</si>
  <si>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</si>
  <si>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</si>
  <si>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</si>
  <si>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</si>
  <si>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</si>
  <si>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</si>
  <si>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</si>
  <si>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</si>
  <si>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</si>
  <si>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</si>
  <si>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</si>
  <si>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</si>
  <si>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</si>
  <si>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</si>
  <si>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</si>
  <si>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</si>
  <si>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</si>
  <si>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</si>
  <si>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</si>
  <si>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</si>
  <si>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</si>
  <si>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</si>
  <si>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</si>
  <si>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</si>
  <si>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</si>
  <si>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</si>
  <si>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</si>
  <si>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</si>
  <si>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</si>
  <si>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</si>
  <si>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</si>
  <si>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</si>
  <si>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</si>
  <si>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</si>
  <si>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</si>
  <si>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</si>
  <si>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</si>
  <si>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</si>
  <si>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</si>
  <si>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</si>
  <si>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</si>
  <si>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</si>
  <si>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</si>
  <si>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</si>
  <si>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</si>
  <si>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</si>
  <si>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</si>
  <si>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</si>
  <si>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</si>
  <si>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</si>
  <si>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</si>
  <si>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</si>
  <si>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</si>
  <si>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</si>
  <si>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</si>
  <si>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</si>
  <si>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</si>
  <si>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</si>
  <si>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</si>
  <si>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</si>
  <si>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</si>
  <si>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</si>
  <si>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</si>
  <si>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</si>
  <si>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</si>
  <si>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</si>
  <si>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</si>
  <si>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</si>
  <si>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</si>
  <si>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</si>
  <si>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</si>
  <si>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</si>
  <si>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</si>
  <si>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</si>
  <si>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</si>
  <si>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</si>
  <si>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</si>
  <si>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</si>
  <si>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</si>
  <si>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</si>
  <si>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</si>
  <si>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</si>
  <si>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</si>
  <si>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</si>
  <si>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</si>
  <si>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</si>
  <si>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</si>
  <si>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</si>
  <si>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</si>
  <si>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</si>
  <si>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</si>
  <si>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</si>
  <si>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</si>
  <si>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</si>
  <si>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</si>
  <si>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</si>
  <si>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</si>
  <si>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</si>
  <si>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</si>
  <si>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</si>
  <si>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</si>
  <si>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</si>
  <si>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</si>
  <si>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</si>
  <si>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</si>
  <si>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</si>
  <si>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</si>
  <si>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</si>
  <si>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</si>
  <si>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</si>
  <si>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</si>
  <si>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</si>
  <si>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</si>
  <si>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</si>
  <si>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</si>
  <si>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</si>
  <si>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</si>
  <si>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</si>
  <si>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</si>
  <si>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</si>
  <si>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</si>
  <si>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</si>
  <si>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</si>
  <si>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</si>
  <si>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</si>
  <si>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</si>
  <si>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</si>
  <si>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</si>
  <si>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</si>
  <si>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</si>
  <si>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</si>
  <si>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</si>
  <si>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</si>
  <si>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</si>
  <si>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</si>
  <si>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</si>
  <si>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</si>
  <si>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</si>
  <si>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</si>
  <si>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</si>
  <si>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</si>
  <si>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</si>
  <si>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</si>
  <si>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</si>
  <si>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</si>
  <si>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</si>
  <si>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</si>
  <si>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</si>
  <si>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</si>
  <si>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</si>
  <si>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</si>
  <si>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</si>
  <si>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</si>
  <si>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</si>
  <si>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</si>
  <si>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</si>
  <si>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</si>
  <si>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</si>
  <si>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</si>
  <si>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</si>
  <si>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</si>
  <si>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</si>
  <si>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</si>
  <si>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</si>
  <si>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</si>
  <si>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</si>
  <si>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</si>
  <si>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</si>
  <si>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</si>
  <si>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</si>
  <si>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</si>
  <si>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</si>
  <si>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</si>
  <si>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</si>
  <si>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</si>
  <si>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</si>
  <si>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</si>
  <si>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</si>
  <si>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</si>
  <si>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</si>
  <si>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</si>
  <si>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</si>
  <si>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</si>
  <si>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</si>
  <si>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</si>
  <si>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</si>
  <si>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</si>
  <si>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</si>
  <si>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</si>
  <si>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</si>
  <si>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</si>
  <si>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</si>
  <si>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</si>
  <si>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</si>
  <si>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</si>
  <si>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</si>
  <si>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</si>
  <si>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</si>
  <si>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</si>
  <si>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</si>
  <si>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</si>
  <si>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</si>
  <si>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</si>
  <si>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</si>
  <si>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</si>
  <si>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</si>
  <si>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</si>
  <si>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</si>
  <si>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</si>
  <si>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</si>
  <si>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</si>
  <si>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</si>
  <si>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</si>
  <si>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</si>
  <si>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</si>
  <si>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</si>
  <si>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</si>
  <si>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</si>
  <si>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</si>
  <si>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</si>
  <si>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</si>
  <si>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</si>
  <si>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</si>
  <si>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</si>
  <si>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</si>
  <si>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</si>
  <si>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</si>
  <si>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</si>
  <si>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</si>
  <si>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</si>
  <si>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</si>
  <si>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</si>
  <si>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</si>
  <si>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</si>
  <si>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</si>
  <si>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</si>
  <si>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</si>
  <si>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</si>
  <si>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</si>
  <si>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</si>
  <si>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</si>
  <si>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</si>
  <si>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</si>
  <si>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</si>
  <si>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</si>
  <si>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</si>
  <si>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</si>
  <si>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</si>
  <si>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</si>
  <si>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</si>
  <si>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</si>
  <si>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</si>
  <si>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</si>
  <si>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</si>
  <si>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</si>
  <si>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</si>
  <si>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</si>
  <si>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</si>
  <si>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</si>
  <si>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</si>
  <si>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</si>
  <si>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</si>
  <si>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</si>
  <si>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</si>
  <si>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</si>
  <si>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</si>
  <si>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</si>
  <si>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</si>
  <si>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</si>
  <si>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</si>
  <si>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</si>
  <si>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</si>
  <si>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</si>
  <si>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</si>
  <si>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</si>
  <si>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</si>
  <si>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</si>
  <si>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</si>
  <si>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</si>
  <si>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</si>
  <si>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</si>
  <si>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</si>
  <si>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</si>
  <si>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</si>
  <si>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</si>
  <si>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</si>
  <si>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</si>
  <si>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</si>
  <si>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</si>
  <si>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</si>
  <si>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</si>
  <si>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</si>
  <si>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</si>
  <si>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</si>
  <si>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</si>
  <si>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</si>
  <si>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</si>
  <si>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</si>
  <si>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</si>
  <si>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</si>
  <si>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</si>
  <si>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</si>
  <si>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</si>
  <si>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</si>
  <si>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</si>
  <si>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</si>
  <si>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</si>
  <si>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</si>
  <si>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</si>
  <si>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</si>
  <si>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</si>
  <si>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</si>
  <si>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</si>
  <si>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</si>
  <si>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</si>
  <si>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</si>
  <si>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</si>
  <si>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</si>
  <si>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</si>
  <si>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</si>
  <si>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</si>
  <si>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</si>
  <si>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</si>
  <si>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</si>
  <si>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</si>
  <si>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</si>
  <si>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</si>
  <si>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</si>
  <si>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</si>
  <si>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</si>
  <si>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</si>
  <si>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</si>
  <si>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</si>
  <si>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</si>
  <si>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</si>
  <si>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</si>
  <si>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</si>
  <si>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</si>
  <si>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</si>
  <si>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</si>
  <si>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</si>
  <si>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</si>
  <si>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</si>
  <si>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</si>
  <si>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</si>
  <si>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</si>
  <si>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</si>
  <si>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</si>
  <si>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</si>
  <si>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</si>
  <si>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</si>
  <si>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</si>
  <si>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</si>
  <si>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</si>
  <si>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</si>
  <si>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</si>
  <si>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</si>
  <si>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</si>
  <si>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</si>
  <si>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</si>
  <si>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</si>
  <si>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</si>
  <si>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</si>
  <si>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</si>
  <si>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</si>
  <si>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</si>
  <si>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</si>
  <si>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</si>
  <si>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</si>
  <si>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</si>
  <si>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</si>
  <si>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</si>
  <si>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</si>
  <si>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</si>
  <si>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</si>
  <si>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</si>
  <si>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</si>
  <si>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</si>
  <si>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</si>
  <si>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</si>
  <si>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</si>
  <si>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</si>
  <si>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</si>
  <si>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</si>
  <si>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</si>
  <si>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</si>
  <si>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</si>
  <si>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</si>
  <si>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</si>
  <si>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</si>
  <si>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</si>
  <si>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</si>
  <si>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</si>
  <si>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</si>
  <si>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</si>
  <si>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</si>
  <si>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</si>
  <si>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</si>
  <si>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</si>
  <si>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</si>
  <si>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</si>
  <si>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</si>
  <si>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</si>
  <si>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</si>
  <si>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</si>
  <si>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</si>
  <si>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</si>
  <si>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</si>
  <si>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</si>
  <si>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</si>
  <si>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</si>
  <si>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</si>
  <si>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</si>
  <si>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</si>
  <si>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</si>
  <si>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</si>
  <si>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</si>
  <si>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</si>
  <si>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</si>
  <si>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</si>
  <si>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</si>
  <si>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</si>
  <si>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</si>
  <si>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</si>
  <si>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</si>
  <si>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</si>
  <si>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</si>
  <si>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</si>
  <si>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</si>
  <si>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</si>
  <si>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</si>
  <si>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</si>
  <si>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</si>
  <si>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</si>
  <si>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</si>
  <si>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</si>
  <si>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</si>
  <si>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</si>
  <si>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</si>
  <si>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</si>
  <si>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</si>
  <si>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</si>
  <si>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</si>
  <si>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</si>
  <si>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</si>
  <si>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</si>
  <si>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</si>
  <si>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</si>
  <si>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</si>
  <si>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</si>
  <si>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</si>
  <si>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</si>
  <si>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</si>
  <si>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</si>
  <si>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</si>
  <si>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</si>
  <si>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</si>
  <si>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</si>
  <si>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</si>
  <si>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</si>
  <si>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</si>
  <si>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</si>
  <si>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</si>
  <si>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</si>
  <si>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</si>
  <si>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</si>
  <si>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</si>
  <si>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</si>
  <si>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</si>
  <si>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</si>
  <si>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</si>
  <si>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</si>
  <si>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</si>
  <si>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</si>
  <si>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</si>
  <si>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</si>
  <si>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</si>
  <si>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</si>
  <si>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</si>
  <si>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</si>
  <si>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</si>
  <si>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</si>
  <si>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</si>
  <si>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</si>
  <si>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</si>
  <si>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</si>
  <si>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</si>
  <si>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</si>
  <si>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</si>
  <si>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</si>
  <si>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</si>
  <si>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</si>
  <si>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</si>
  <si>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</si>
  <si>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</si>
  <si>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</si>
  <si>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</si>
  <si>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</si>
  <si>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</si>
  <si>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</si>
  <si>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</si>
  <si>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</si>
  <si>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</si>
  <si>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</si>
  <si>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</si>
  <si>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</si>
  <si>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</si>
  <si>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</si>
  <si>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</si>
  <si>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</si>
  <si>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</si>
  <si>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</si>
  <si>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</si>
  <si>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</si>
  <si>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</si>
  <si>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</si>
  <si>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</si>
  <si>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</si>
  <si>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</si>
  <si>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</si>
  <si>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</si>
  <si>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</si>
  <si>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</si>
  <si>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</si>
  <si>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</si>
  <si>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</si>
  <si>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</si>
  <si>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</si>
  <si>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</si>
  <si>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</si>
  <si>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</si>
  <si>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</si>
  <si>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</si>
  <si>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</si>
  <si>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</si>
  <si>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</si>
  <si>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</si>
  <si>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</si>
  <si>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</si>
  <si>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</si>
  <si>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</si>
  <si>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</si>
  <si>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</si>
  <si>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</si>
  <si>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</si>
  <si>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</si>
  <si>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</si>
  <si>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</si>
  <si>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</si>
  <si>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</si>
  <si>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</si>
  <si>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</si>
  <si>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</si>
  <si>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</si>
  <si>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</si>
  <si>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</si>
  <si>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</si>
  <si>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</si>
  <si>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</si>
  <si>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</si>
  <si>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</si>
  <si>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</si>
  <si>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</si>
  <si>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</si>
  <si>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</si>
  <si>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</si>
  <si>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</si>
  <si>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</si>
  <si>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</si>
  <si>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</si>
  <si>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</si>
  <si>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</si>
  <si>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</si>
  <si>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</si>
  <si>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</si>
  <si>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</si>
  <si>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</si>
  <si>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</si>
  <si>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</si>
  <si>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</si>
  <si>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</si>
  <si>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</si>
  <si>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</si>
  <si>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</si>
  <si>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</si>
  <si>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</si>
  <si>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</si>
  <si>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</si>
  <si>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</si>
  <si>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</si>
  <si>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</si>
  <si>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</si>
  <si>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</si>
  <si>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</si>
  <si>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</si>
  <si>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</si>
  <si>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</si>
  <si>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</si>
  <si>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</si>
  <si>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</si>
  <si>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</si>
  <si>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</si>
  <si>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</si>
  <si>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</si>
  <si>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</si>
  <si>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</si>
  <si>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</si>
  <si>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</si>
  <si>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</si>
  <si>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</si>
  <si>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</si>
  <si>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</si>
  <si>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</si>
  <si>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</si>
  <si>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</si>
  <si>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</si>
  <si>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</si>
  <si>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</si>
  <si>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</si>
  <si>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</si>
  <si>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</si>
  <si>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</si>
  <si>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</si>
  <si>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</si>
  <si>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</si>
  <si>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</si>
  <si>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</si>
  <si>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</si>
  <si>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</si>
  <si>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</si>
  <si>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</si>
  <si>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</si>
  <si>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</si>
  <si>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</si>
  <si>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</si>
  <si>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</si>
  <si>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</si>
  <si>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</si>
  <si>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</si>
  <si>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</si>
  <si>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</si>
  <si>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</si>
  <si>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</si>
  <si>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</si>
  <si>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</si>
  <si>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</si>
  <si>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</si>
  <si>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</si>
  <si>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</si>
  <si>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</si>
  <si>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</si>
  <si>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</si>
  <si>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</si>
  <si>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</si>
  <si>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</si>
  <si>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</si>
  <si>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</si>
  <si>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</si>
  <si>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</si>
  <si>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</si>
  <si>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</si>
  <si>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</si>
  <si>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</si>
  <si>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</si>
  <si>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</si>
  <si>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</si>
  <si>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</si>
  <si>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</si>
  <si>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</si>
  <si>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</si>
  <si>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</si>
  <si>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</si>
  <si>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</si>
  <si>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</si>
  <si>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</si>
  <si>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</si>
  <si>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</si>
  <si>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</si>
  <si>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</si>
  <si>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</si>
  <si>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</si>
  <si>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</si>
  <si>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</si>
  <si>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</si>
  <si>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</si>
  <si>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</si>
  <si>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</si>
  <si>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</si>
  <si>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</si>
  <si>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</si>
  <si>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</si>
  <si>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</si>
  <si>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</si>
  <si>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</si>
  <si>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</si>
  <si>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</si>
  <si>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</si>
  <si>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</si>
  <si>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</si>
  <si>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</si>
  <si>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</si>
  <si>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</si>
  <si>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</si>
  <si>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</si>
  <si>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</si>
  <si>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</si>
  <si>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</si>
  <si>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</si>
  <si>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</si>
  <si>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</si>
  <si>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</si>
  <si>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</si>
  <si>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</si>
  <si>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</si>
  <si>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</si>
  <si>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</si>
  <si>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</si>
  <si>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</si>
  <si>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</si>
  <si>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</si>
  <si>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</si>
  <si>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</si>
  <si>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</si>
  <si>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</si>
  <si>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</si>
  <si>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</si>
  <si>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</si>
  <si>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</si>
  <si>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</si>
  <si>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</si>
  <si>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</si>
  <si>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</si>
  <si>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</si>
  <si>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</si>
  <si>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</si>
  <si>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</si>
  <si>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</si>
  <si>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</si>
  <si>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</si>
  <si>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</si>
  <si>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</si>
  <si>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</si>
  <si>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</si>
  <si>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</si>
  <si>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</si>
  <si>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</si>
  <si>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</si>
  <si>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</si>
  <si>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</si>
  <si>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</si>
  <si>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</si>
  <si>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</si>
  <si>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</si>
  <si>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</si>
  <si>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</si>
  <si>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</si>
  <si>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</si>
  <si>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</si>
  <si>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</si>
  <si>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</si>
  <si>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</si>
  <si>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</si>
  <si>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</si>
  <si>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</si>
  <si>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</si>
  <si>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</si>
  <si>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</si>
  <si>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</si>
  <si>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</si>
  <si>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</si>
  <si>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</si>
  <si>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</si>
  <si>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</si>
  <si>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</si>
  <si>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</si>
  <si>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</si>
  <si>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</si>
  <si>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</si>
  <si>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</si>
  <si>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</si>
  <si>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</si>
  <si>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</si>
  <si>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</si>
  <si>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</si>
  <si>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</si>
  <si>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</si>
  <si>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</si>
  <si>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</si>
  <si>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</si>
  <si>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</si>
  <si>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</si>
  <si>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</si>
  <si>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</si>
  <si>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</si>
  <si>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</si>
  <si>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</si>
  <si>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</si>
  <si>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</si>
  <si>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</si>
  <si>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</si>
  <si>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</si>
  <si>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</si>
  <si>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</si>
  <si>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</si>
  <si>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</si>
  <si>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</si>
  <si>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</si>
  <si>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</si>
  <si>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</si>
  <si>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</si>
  <si>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</si>
  <si>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</si>
  <si>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</si>
  <si>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</si>
  <si>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</si>
  <si>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</si>
  <si>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</si>
  <si>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</si>
  <si>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</si>
  <si>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</si>
  <si>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</si>
  <si>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</si>
  <si>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</si>
  <si>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</si>
  <si>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</si>
  <si>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</si>
  <si>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</si>
  <si>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</si>
  <si>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</si>
  <si>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</si>
  <si>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</si>
  <si>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</si>
  <si>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</si>
  <si>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</si>
  <si>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</si>
  <si>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</si>
  <si>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</si>
  <si>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</si>
  <si>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</si>
  <si>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</si>
  <si>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</si>
  <si>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</si>
  <si>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</si>
  <si>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</si>
  <si>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</si>
  <si>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</si>
  <si>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</si>
  <si>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</si>
  <si>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</si>
  <si>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</si>
  <si>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</si>
  <si>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</si>
  <si>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</si>
  <si>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</si>
  <si>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</si>
  <si>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</si>
  <si>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</si>
  <si>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</si>
  <si>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</si>
  <si>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</si>
  <si>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</si>
  <si>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</si>
  <si>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</si>
  <si>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</si>
  <si>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</si>
  <si>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</si>
  <si>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</si>
  <si>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</si>
  <si>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</si>
  <si>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</si>
  <si>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</si>
  <si>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</si>
  <si>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</si>
  <si>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</si>
  <si>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</si>
  <si>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</si>
  <si>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</si>
  <si>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</si>
  <si>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</si>
  <si>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</si>
  <si>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</si>
  <si>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</si>
  <si>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</si>
  <si>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</si>
  <si>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</si>
  <si>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</si>
  <si>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</si>
  <si>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</si>
  <si>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</si>
  <si>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</si>
  <si>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</si>
  <si>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</si>
  <si>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</si>
  <si>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</si>
  <si>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</si>
  <si>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</si>
  <si>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</si>
  <si>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</si>
  <si>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</si>
  <si>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</si>
  <si>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</si>
  <si>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</si>
  <si>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</si>
  <si>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</si>
  <si>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</si>
  <si>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</si>
  <si>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</si>
  <si>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</si>
  <si>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</si>
  <si>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</si>
  <si>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</si>
  <si>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</si>
  <si>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</si>
  <si>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</si>
  <si>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</si>
  <si>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</si>
  <si>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</si>
  <si>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</si>
  <si>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</si>
  <si>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</si>
  <si>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</si>
  <si>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</si>
  <si>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</si>
  <si>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</si>
  <si>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</si>
  <si>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</si>
  <si>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</si>
  <si>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</si>
  <si>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</si>
  <si>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</si>
  <si>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</si>
  <si>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</si>
  <si>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</si>
  <si>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</si>
  <si>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</si>
  <si>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</si>
  <si>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</si>
  <si>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</si>
  <si>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</si>
  <si>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</si>
  <si>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</si>
  <si>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</si>
  <si>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</si>
  <si>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</si>
  <si>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</si>
  <si>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</si>
  <si>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</si>
  <si>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</si>
  <si>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</si>
  <si>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</si>
  <si>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</si>
  <si>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</si>
  <si>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</si>
  <si>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</si>
  <si>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</si>
  <si>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</si>
  <si>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</si>
  <si>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</si>
  <si>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</si>
  <si>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</si>
  <si>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</si>
  <si>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</si>
  <si>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</si>
  <si>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</si>
  <si>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</si>
  <si>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</si>
  <si>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</si>
  <si>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</si>
  <si>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</si>
  <si>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</si>
  <si>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</si>
  <si>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</si>
  <si>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</si>
  <si>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</si>
  <si>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</si>
  <si>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</si>
  <si>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</si>
  <si>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</si>
  <si>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</si>
  <si>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</si>
  <si>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</si>
  <si>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</si>
  <si>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</si>
  <si>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</si>
  <si>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</si>
  <si>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</si>
  <si>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</si>
  <si>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</si>
  <si>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</si>
  <si>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</si>
  <si>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</si>
  <si>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</si>
  <si>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</si>
  <si>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</si>
  <si>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</si>
  <si>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</si>
  <si>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</si>
  <si>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</si>
  <si>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</si>
  <si>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</si>
  <si>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</si>
  <si>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</si>
  <si>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</si>
  <si>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</si>
  <si>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</si>
  <si>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</si>
  <si>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</si>
  <si>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</si>
  <si>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</si>
  <si>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</si>
  <si>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</si>
  <si>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</si>
  <si>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</si>
  <si>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</si>
  <si>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</si>
  <si>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</si>
  <si>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</si>
  <si>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</si>
  <si>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</si>
  <si>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</si>
  <si>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</si>
  <si>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</si>
  <si>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</si>
  <si>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</si>
  <si>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</si>
  <si>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</si>
  <si>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</si>
  <si>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</si>
  <si>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</si>
  <si>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</si>
  <si>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</si>
  <si>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</si>
  <si>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</si>
  <si>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</si>
  <si>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</si>
  <si>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</si>
  <si>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</si>
  <si>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</si>
  <si>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</si>
  <si>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</si>
  <si>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</si>
  <si>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</si>
  <si>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</si>
  <si>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</si>
  <si>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</si>
  <si>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</si>
  <si>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</si>
  <si>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</si>
  <si>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</si>
  <si>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</si>
  <si>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</si>
  <si>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</si>
  <si>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</si>
  <si>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</si>
  <si>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</si>
  <si>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</si>
  <si>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</si>
  <si>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</si>
  <si>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</si>
  <si>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</si>
  <si>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</si>
  <si>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</si>
  <si>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</si>
  <si>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</si>
  <si>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</si>
  <si>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</si>
  <si>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</si>
  <si>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</si>
  <si>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</si>
  <si>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</si>
  <si>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</si>
  <si>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</si>
  <si>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</si>
  <si>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</si>
  <si>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</si>
  <si>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</si>
  <si>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</si>
  <si>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</si>
  <si>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</si>
  <si>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</si>
  <si>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</si>
  <si>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</si>
  <si>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</si>
  <si>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</si>
  <si>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</si>
  <si>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</si>
  <si>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</si>
  <si>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</si>
  <si>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</si>
  <si>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</si>
  <si>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</si>
  <si>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</si>
  <si>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</si>
  <si>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</si>
  <si>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</si>
  <si>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</si>
  <si>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</si>
  <si>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</si>
  <si>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</si>
  <si>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</si>
  <si>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</si>
  <si>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</si>
  <si>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</si>
  <si>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</si>
  <si>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</si>
  <si>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</si>
  <si>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</si>
  <si>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</si>
  <si>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</si>
  <si>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</si>
  <si>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</si>
  <si>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</si>
  <si>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</si>
  <si>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</si>
  <si>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</si>
  <si>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</si>
  <si>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</si>
  <si>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</si>
  <si>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</si>
  <si>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</si>
  <si>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</si>
  <si>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</si>
  <si>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</si>
  <si>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</si>
  <si>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</si>
  <si>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</si>
  <si>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</si>
  <si>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</si>
  <si>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</si>
  <si>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</si>
  <si>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</si>
  <si>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</si>
  <si>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</si>
  <si>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</si>
  <si>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</si>
  <si>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</si>
  <si>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</si>
  <si>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</si>
  <si>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</si>
  <si>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</si>
  <si>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</si>
  <si>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</si>
  <si>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</si>
  <si>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</si>
  <si>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</si>
  <si>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</si>
  <si>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</si>
  <si>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</si>
  <si>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</si>
  <si>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</si>
  <si>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</si>
  <si>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</si>
  <si>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</si>
  <si>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</si>
  <si>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</si>
  <si>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</si>
  <si>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</si>
  <si>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</si>
  <si>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</si>
  <si>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</si>
  <si>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</si>
  <si>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</si>
  <si>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</si>
  <si>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</si>
  <si>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</si>
  <si>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</si>
  <si>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</si>
  <si>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</si>
  <si>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</si>
  <si>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</si>
  <si>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</si>
  <si>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</si>
  <si>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</si>
  <si>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</si>
  <si>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</si>
  <si>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</si>
  <si>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</si>
  <si>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</si>
  <si>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</si>
  <si>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</si>
  <si>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</si>
  <si>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</si>
  <si>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</si>
  <si>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</si>
  <si>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</si>
  <si>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</si>
  <si>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</si>
  <si>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</si>
  <si>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</si>
  <si>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</si>
  <si>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</si>
  <si>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</si>
  <si>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</si>
  <si>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</si>
  <si>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</si>
  <si>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</si>
  <si>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</si>
  <si>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</si>
  <si>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</si>
  <si>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</si>
  <si>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</si>
  <si>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</si>
  <si>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</si>
  <si>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</si>
  <si>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</si>
  <si>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</si>
  <si>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</si>
  <si>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</si>
  <si>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</si>
  <si>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</si>
  <si>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</si>
  <si>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</si>
  <si>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</si>
  <si>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</si>
  <si>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</si>
  <si>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</si>
  <si>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</si>
  <si>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</si>
  <si>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</si>
  <si>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</si>
  <si>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</si>
  <si>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</si>
  <si>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</si>
  <si>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</si>
  <si>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</si>
  <si>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</si>
  <si>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</si>
  <si>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</si>
  <si>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</si>
  <si>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</si>
  <si>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</si>
  <si>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</si>
  <si>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</si>
  <si>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</si>
  <si>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</si>
  <si>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</si>
  <si>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</si>
  <si>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</si>
  <si>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</si>
  <si>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</si>
  <si>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</si>
  <si>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</si>
  <si>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</si>
  <si>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</si>
  <si>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</si>
  <si>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</si>
  <si>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</si>
  <si>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</si>
  <si>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</si>
  <si>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</si>
  <si>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</si>
  <si>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</si>
  <si>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</si>
  <si>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</si>
  <si>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</si>
  <si>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</si>
  <si>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</si>
  <si>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</si>
  <si>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</si>
  <si>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</si>
  <si>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</si>
  <si>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</si>
  <si>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</si>
  <si>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</si>
  <si>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</si>
  <si>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</si>
  <si>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</si>
  <si>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</si>
  <si>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</si>
  <si>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</si>
  <si>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</si>
  <si>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</si>
  <si>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</si>
  <si>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</si>
  <si>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</si>
  <si>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</si>
  <si>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</si>
  <si>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</si>
  <si>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</si>
  <si>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</si>
  <si>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</si>
  <si>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</si>
  <si>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</si>
  <si>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</si>
  <si>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</si>
  <si>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</si>
  <si>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</si>
  <si>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</si>
  <si>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</si>
  <si>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</si>
  <si>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</si>
  <si>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</si>
  <si>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</si>
  <si>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</si>
  <si>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</si>
  <si>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</si>
  <si>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</si>
  <si>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</si>
  <si>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</si>
  <si>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</si>
  <si>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</si>
  <si>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</si>
  <si>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</si>
  <si>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</si>
  <si>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</si>
  <si>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</si>
  <si>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</si>
  <si>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</si>
  <si>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</si>
  <si>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</si>
  <si>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</si>
  <si>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</si>
  <si>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</si>
  <si>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</si>
  <si>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</si>
  <si>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</si>
  <si>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</si>
  <si>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</si>
  <si>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</si>
  <si>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</si>
  <si>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</si>
  <si>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</si>
  <si>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</si>
  <si>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</si>
  <si>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</si>
  <si>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</si>
  <si>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</si>
  <si>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</si>
  <si>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</si>
  <si>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</si>
  <si>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</si>
  <si>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</si>
  <si>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</si>
  <si>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</si>
  <si>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</si>
  <si>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</si>
  <si>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</si>
  <si>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</si>
  <si>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</si>
  <si>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</si>
  <si>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</si>
  <si>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</si>
  <si>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</si>
  <si>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</si>
  <si>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</si>
  <si>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</si>
  <si>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</si>
  <si>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</si>
  <si>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</si>
  <si>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</si>
  <si>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</si>
  <si>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</si>
  <si>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</si>
  <si>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</si>
  <si>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</si>
  <si>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</si>
  <si>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</si>
  <si>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</si>
  <si>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</si>
  <si>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</si>
  <si>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</si>
  <si>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</si>
  <si>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</si>
  <si>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</si>
  <si>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</si>
  <si>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</si>
  <si>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</si>
  <si>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</si>
  <si>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</si>
  <si>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</si>
  <si>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</si>
  <si>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</si>
  <si>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</si>
  <si>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</si>
  <si>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</si>
  <si>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</si>
  <si>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</si>
  <si>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</si>
  <si>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</si>
  <si>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</si>
  <si>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</si>
  <si>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</si>
  <si>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</si>
  <si>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</si>
  <si>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</si>
  <si>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</si>
  <si>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</si>
  <si>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</si>
  <si>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</si>
  <si>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</si>
  <si>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</si>
  <si>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</si>
  <si>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</si>
  <si>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</si>
  <si>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</si>
  <si>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</si>
  <si>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</si>
  <si>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</si>
  <si>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</si>
  <si>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</si>
  <si>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</si>
  <si>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</si>
  <si>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</si>
  <si>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</si>
  <si>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</si>
  <si>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</si>
  <si>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</si>
  <si>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</si>
  <si>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</si>
  <si>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</si>
  <si>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</si>
  <si>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</si>
  <si>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</si>
  <si>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</si>
  <si>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</si>
  <si>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</si>
  <si>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</si>
  <si>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</si>
  <si>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</si>
  <si>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</si>
  <si>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</si>
  <si>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</si>
  <si>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</si>
  <si>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</si>
  <si>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</si>
  <si>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</si>
  <si>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</si>
  <si>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</si>
  <si>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</si>
  <si>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</si>
  <si>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</si>
  <si>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</si>
  <si>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</si>
  <si>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</si>
  <si>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</si>
  <si>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</si>
  <si>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</si>
  <si>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</si>
  <si>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</si>
  <si>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</si>
  <si>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</si>
  <si>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</si>
  <si>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</si>
  <si>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</si>
  <si>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</si>
  <si>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</si>
  <si>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</si>
  <si>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</si>
  <si>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</si>
  <si>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</si>
  <si>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</si>
  <si>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</si>
  <si>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</si>
  <si>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</si>
  <si>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</si>
  <si>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</si>
  <si>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</si>
  <si>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</si>
  <si>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</si>
  <si>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</si>
  <si>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</si>
  <si>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</si>
  <si>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</si>
  <si>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</si>
  <si>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</si>
  <si>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</si>
  <si>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</si>
  <si>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</si>
  <si>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</si>
  <si>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</si>
  <si>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</si>
  <si>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</si>
  <si>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</si>
  <si>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</si>
  <si>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</si>
  <si>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</si>
  <si>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</si>
  <si>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</si>
  <si>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</si>
  <si>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</si>
  <si>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</si>
  <si>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</si>
  <si>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</si>
  <si>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</si>
  <si>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</si>
  <si>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</si>
  <si>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</si>
  <si>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</si>
  <si>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</si>
  <si>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</si>
  <si>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</si>
  <si>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</si>
  <si>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</si>
  <si>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</si>
  <si>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</si>
  <si>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</si>
  <si>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</si>
  <si>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</si>
  <si>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</si>
  <si>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</si>
  <si>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</si>
  <si>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</si>
  <si>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</si>
  <si>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</si>
  <si>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</si>
  <si>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</si>
  <si>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</si>
  <si>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</si>
  <si>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</si>
  <si>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</si>
  <si>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</si>
  <si>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</si>
  <si>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</si>
  <si>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</si>
  <si>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</si>
  <si>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</si>
  <si>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</si>
  <si>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</si>
  <si>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</si>
  <si>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</si>
  <si>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</si>
  <si>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</si>
  <si>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</si>
  <si>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</si>
  <si>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</si>
  <si>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</si>
  <si>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</si>
  <si>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</si>
  <si>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</si>
  <si>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</si>
  <si>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</si>
  <si>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</si>
  <si>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</si>
  <si>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</si>
  <si>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</si>
  <si>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</si>
  <si>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</si>
  <si>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</si>
  <si>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</si>
  <si>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</si>
  <si>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</si>
  <si>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</si>
  <si>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</si>
  <si>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</si>
  <si>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</si>
  <si>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</si>
  <si>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</si>
  <si>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</si>
  <si>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</si>
  <si>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</si>
  <si>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</si>
  <si>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</si>
  <si>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</si>
  <si>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</si>
  <si>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</si>
  <si>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</si>
  <si>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</si>
  <si>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</si>
  <si>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</si>
  <si>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</si>
  <si>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</si>
  <si>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</si>
  <si>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</si>
  <si>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</si>
  <si>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</si>
  <si>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</si>
  <si>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</si>
  <si>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</si>
  <si>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</si>
  <si>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</si>
  <si>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</si>
  <si>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</si>
  <si>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</si>
  <si>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</si>
  <si>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</si>
  <si>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</si>
  <si>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</si>
  <si>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</si>
  <si>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</si>
  <si>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</si>
  <si>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</si>
  <si>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</si>
  <si>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</si>
  <si>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</si>
  <si>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</si>
  <si>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</si>
  <si>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</si>
  <si>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</si>
  <si>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</si>
  <si>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</si>
  <si>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</si>
  <si>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</si>
  <si>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</si>
  <si>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</si>
  <si>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</si>
  <si>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</si>
  <si>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</si>
  <si>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</si>
  <si>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</si>
  <si>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</si>
  <si>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</si>
  <si>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</si>
  <si>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</si>
  <si>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</si>
  <si>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</si>
  <si>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</si>
  <si>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</si>
  <si>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</si>
  <si>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</si>
  <si>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</si>
  <si>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</si>
  <si>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</si>
  <si>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</si>
  <si>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</si>
  <si>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</si>
  <si>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</si>
  <si>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</si>
  <si>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</si>
  <si>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</si>
  <si>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</si>
  <si>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</si>
  <si>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</si>
  <si>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</si>
  <si>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</si>
  <si>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</si>
  <si>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</si>
  <si>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</si>
  <si>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</si>
  <si>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</si>
  <si>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</si>
  <si>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</si>
  <si>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</si>
  <si>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</si>
  <si>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</si>
  <si>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</si>
  <si>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</si>
  <si>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</si>
  <si>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</si>
  <si>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</si>
  <si>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</si>
  <si>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</si>
  <si>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</si>
  <si>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</si>
  <si>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</si>
  <si>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</si>
  <si>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</si>
  <si>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</si>
  <si>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</si>
  <si>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</si>
  <si>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</si>
  <si>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</si>
  <si>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</si>
  <si>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</si>
  <si>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</si>
  <si>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</si>
  <si>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</si>
  <si>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</si>
  <si>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</si>
  <si>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</si>
  <si>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</si>
  <si>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</si>
  <si>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</si>
  <si>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</si>
  <si>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</si>
  <si>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</si>
  <si>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</si>
  <si>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</si>
  <si>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</si>
  <si>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</si>
  <si>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</si>
  <si>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</si>
  <si>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</si>
  <si>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</si>
  <si>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</si>
  <si>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</si>
  <si>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</si>
  <si>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</si>
  <si>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</si>
  <si>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</si>
  <si>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</si>
  <si>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</si>
  <si>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</si>
  <si>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</si>
  <si>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</si>
  <si>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</si>
  <si>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</si>
  <si>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</si>
  <si>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</si>
  <si>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</si>
  <si>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</si>
  <si>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</si>
  <si>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</si>
  <si>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</si>
  <si>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</si>
  <si>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</si>
  <si>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</si>
  <si>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</si>
  <si>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</si>
  <si>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</si>
  <si>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</si>
  <si>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</si>
  <si>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</si>
  <si>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</si>
  <si>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</si>
  <si>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</si>
  <si>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</si>
  <si>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</si>
  <si>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</si>
  <si>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</si>
  <si>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</si>
  <si>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</si>
  <si>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</si>
  <si>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</si>
  <si>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</si>
  <si>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</si>
  <si>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</si>
  <si>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</si>
  <si>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</si>
  <si>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</si>
  <si>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</si>
  <si>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</si>
  <si>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</si>
  <si>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</si>
  <si>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</si>
  <si>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</si>
  <si>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</si>
  <si>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</si>
  <si>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</si>
  <si>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</si>
  <si>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</si>
  <si>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</si>
  <si>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</si>
  <si>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</si>
  <si>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</si>
  <si>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</si>
  <si>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</si>
  <si>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</si>
  <si>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</si>
  <si>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</si>
  <si>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</si>
  <si>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</si>
  <si>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</si>
  <si>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</si>
  <si>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</si>
  <si>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</si>
  <si>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</si>
  <si>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</si>
  <si>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</si>
  <si>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</si>
  <si>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</si>
  <si>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</si>
  <si>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</si>
  <si>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</si>
  <si>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</si>
  <si>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</si>
  <si>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</si>
  <si>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</si>
  <si>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</si>
  <si>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</si>
  <si>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</si>
  <si>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</si>
  <si>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</si>
  <si>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</si>
  <si>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</si>
  <si>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</si>
  <si>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</si>
  <si>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</si>
  <si>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</si>
  <si>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</si>
  <si>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</si>
  <si>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</si>
  <si>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</si>
  <si>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</si>
  <si>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</si>
  <si>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</si>
  <si>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</si>
  <si>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</si>
  <si>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</si>
  <si>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</si>
  <si>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</si>
  <si>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</si>
  <si>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</si>
  <si>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</si>
  <si>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</si>
  <si>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</si>
  <si>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</si>
  <si>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</si>
  <si>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</si>
  <si>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</si>
  <si>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</si>
  <si>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</si>
  <si>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</si>
  <si>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</si>
  <si>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</si>
  <si>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</si>
  <si>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</si>
  <si>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</si>
  <si>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</si>
  <si>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</si>
  <si>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</si>
  <si>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</si>
  <si>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</si>
  <si>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</si>
  <si>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</si>
  <si>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</si>
  <si>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</si>
  <si>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</si>
  <si>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</si>
  <si>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</si>
  <si>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</si>
  <si>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</si>
  <si>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</si>
  <si>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</si>
  <si>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</si>
  <si>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</si>
  <si>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</si>
  <si>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</si>
  <si>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</si>
  <si>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</si>
  <si>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</si>
  <si>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</si>
  <si>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</si>
  <si>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</si>
  <si>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</si>
  <si>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</si>
  <si>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</si>
  <si>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</si>
  <si>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</si>
  <si>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</si>
  <si>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</si>
  <si>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</si>
  <si>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</si>
  <si>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</si>
  <si>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</si>
  <si>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</si>
  <si>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</si>
  <si>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</si>
  <si>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</si>
  <si>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</si>
  <si>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</si>
  <si>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</si>
  <si>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</si>
  <si>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</si>
  <si>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</si>
  <si>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</si>
  <si>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</si>
  <si>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</si>
  <si>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</si>
  <si>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</si>
  <si>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</si>
  <si>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</si>
  <si>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</si>
  <si>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</si>
  <si>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</si>
  <si>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</si>
  <si>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</si>
  <si>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</si>
  <si>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</si>
  <si>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</si>
  <si>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</si>
  <si>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</si>
  <si>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</si>
  <si>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</si>
  <si>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</si>
  <si>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</si>
  <si>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</si>
  <si>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</si>
  <si>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</si>
  <si>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</si>
  <si>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</si>
  <si>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</si>
  <si>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</si>
  <si>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</si>
  <si>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</si>
  <si>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</si>
  <si>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</si>
  <si>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</si>
  <si>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</si>
  <si>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</si>
  <si>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</si>
  <si>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</si>
  <si>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</si>
  <si>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</si>
  <si>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</si>
  <si>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</si>
  <si>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</si>
  <si>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</si>
  <si>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</si>
  <si>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</si>
  <si>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</si>
  <si>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</si>
  <si>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</si>
  <si>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</si>
  <si>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</si>
  <si>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</si>
  <si>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</si>
  <si>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</si>
  <si>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</si>
  <si>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</si>
  <si>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</si>
  <si>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</si>
  <si>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</si>
  <si>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</si>
  <si>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</si>
  <si>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</si>
  <si>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</si>
  <si>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</si>
  <si>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</si>
  <si>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</si>
  <si>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</si>
  <si>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</si>
  <si>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</si>
  <si>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</si>
  <si>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</si>
  <si>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</si>
  <si>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</si>
  <si>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</si>
  <si>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</si>
  <si>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</si>
  <si>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</si>
  <si>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</si>
  <si>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</si>
  <si>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</si>
  <si>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</si>
  <si>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</si>
  <si>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</si>
  <si>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</si>
  <si>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</si>
  <si>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</si>
  <si>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</si>
  <si>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</si>
  <si>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</si>
  <si>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</si>
  <si>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</si>
  <si>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</si>
  <si>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</si>
  <si>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</si>
  <si>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</si>
  <si>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</si>
  <si>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</si>
  <si>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</si>
  <si>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</si>
  <si>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</si>
  <si>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</si>
  <si>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</si>
  <si>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</si>
  <si>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</si>
  <si>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</si>
  <si>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</si>
  <si>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</si>
  <si>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</si>
  <si>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</si>
  <si>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</si>
  <si>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</si>
  <si>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</si>
  <si>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</si>
  <si>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</si>
  <si>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</si>
  <si>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</si>
  <si>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</si>
  <si>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</si>
  <si>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</si>
  <si>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</si>
  <si>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</si>
  <si>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</si>
  <si>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</si>
  <si>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</si>
  <si>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</si>
  <si>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</si>
  <si>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</si>
  <si>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</si>
  <si>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</si>
  <si>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</si>
  <si>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</si>
  <si>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</si>
  <si>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</si>
  <si>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</si>
  <si>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</si>
  <si>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</si>
  <si>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</si>
  <si>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</si>
  <si>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</si>
  <si>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</si>
  <si>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</si>
  <si>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</si>
  <si>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</si>
  <si>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</si>
  <si>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</si>
  <si>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</si>
  <si>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</si>
  <si>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</si>
  <si>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</si>
  <si>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</si>
  <si>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</si>
  <si>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</si>
  <si>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</si>
  <si>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</si>
  <si>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</si>
  <si>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</si>
  <si>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</si>
  <si>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</si>
  <si>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</si>
  <si>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</si>
  <si>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</si>
  <si>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</si>
  <si>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</si>
  <si>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</si>
  <si>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</si>
  <si>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</si>
  <si>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</si>
  <si>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</si>
  <si>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</si>
  <si>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</si>
  <si>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</si>
  <si>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</si>
  <si>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</si>
  <si>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</si>
  <si>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</si>
  <si>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</si>
  <si>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</si>
  <si>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</si>
  <si>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</si>
  <si>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</si>
  <si>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</si>
  <si>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</si>
  <si>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</si>
  <si>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</si>
  <si>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</si>
  <si>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</si>
  <si>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</si>
  <si>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</si>
  <si>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</si>
  <si>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</si>
  <si>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</si>
  <si>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</si>
  <si>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</si>
  <si>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</si>
  <si>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</si>
  <si>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</si>
  <si>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</si>
  <si>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</si>
  <si>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</si>
  <si>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</si>
  <si>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</si>
  <si>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</si>
  <si>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</si>
  <si>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</si>
  <si>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</si>
  <si>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</si>
  <si>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</si>
  <si>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</si>
  <si>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</si>
  <si>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</si>
  <si>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</si>
  <si>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</si>
  <si>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</si>
  <si>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</si>
  <si>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</si>
  <si>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</si>
  <si>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</si>
  <si>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</si>
  <si>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</si>
  <si>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</si>
  <si>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</si>
  <si>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</si>
  <si>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</si>
  <si>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</si>
  <si>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</si>
  <si>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</si>
  <si>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</si>
  <si>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</si>
  <si>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</si>
  <si>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</si>
  <si>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</si>
  <si>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</si>
  <si>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</si>
  <si>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</si>
  <si>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</si>
  <si>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</si>
  <si>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</si>
  <si>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</si>
  <si>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</si>
  <si>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</si>
  <si>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</si>
  <si>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</si>
  <si>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</si>
  <si>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</si>
  <si>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</si>
  <si>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</si>
  <si>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</si>
  <si>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</si>
  <si>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</si>
  <si>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</si>
  <si>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</si>
  <si>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</si>
  <si>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</si>
  <si>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</si>
  <si>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</si>
  <si>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</si>
  <si>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</si>
  <si>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</si>
  <si>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</si>
  <si>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</si>
  <si>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</si>
  <si>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</si>
  <si>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</si>
  <si>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</si>
  <si>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</si>
  <si>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</si>
  <si>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</si>
  <si>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</si>
  <si>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</si>
  <si>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</si>
  <si>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</si>
  <si>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</si>
  <si>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</si>
  <si>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</si>
  <si>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</si>
  <si>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</si>
  <si>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</si>
  <si>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</si>
  <si>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</si>
  <si>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</si>
  <si>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</si>
  <si>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</si>
  <si>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</si>
  <si>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</si>
  <si>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</si>
  <si>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</si>
  <si>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</si>
  <si>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</si>
  <si>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</si>
  <si>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</si>
  <si>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</si>
  <si>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</si>
  <si>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</si>
  <si>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</si>
  <si>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</si>
  <si>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</si>
  <si>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</si>
  <si>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</si>
  <si>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</si>
  <si>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</si>
  <si>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</si>
  <si>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</si>
  <si>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</si>
  <si>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</si>
  <si>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</si>
  <si>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</si>
  <si>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</si>
  <si>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</si>
  <si>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</si>
  <si>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</si>
  <si>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</si>
  <si>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</si>
  <si>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</si>
  <si>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</si>
  <si>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</si>
  <si>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</si>
  <si>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</si>
  <si>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</si>
  <si>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</si>
  <si>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</si>
  <si>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</si>
  <si>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</si>
  <si>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</si>
  <si>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</si>
  <si>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</si>
  <si>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</si>
  <si>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</si>
  <si>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</si>
  <si>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</si>
  <si>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</si>
  <si>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</si>
  <si>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</si>
  <si>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</si>
  <si>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</si>
  <si>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</si>
  <si>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</si>
  <si>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</si>
  <si>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</si>
  <si>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</si>
  <si>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</si>
  <si>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</si>
  <si>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</si>
  <si>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</si>
  <si>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</si>
  <si>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</si>
  <si>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</si>
  <si>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</si>
  <si>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</si>
  <si>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</si>
  <si>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</si>
  <si>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</si>
  <si>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</si>
  <si>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</si>
  <si>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</si>
  <si>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</si>
  <si>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</si>
  <si>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</si>
  <si>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</si>
  <si>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</si>
  <si>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</si>
  <si>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</si>
  <si>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</si>
  <si>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</si>
  <si>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</si>
  <si>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</si>
  <si>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</si>
  <si>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</si>
  <si>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</si>
  <si>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</si>
  <si>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</si>
  <si>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</si>
  <si>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</si>
  <si>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</si>
  <si>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</si>
  <si>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</si>
  <si>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</si>
  <si>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</si>
  <si>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</si>
  <si>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</si>
  <si>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</si>
  <si>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</si>
  <si>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</si>
  <si>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</si>
  <si>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</si>
  <si>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</si>
  <si>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</si>
  <si>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</si>
  <si>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</si>
  <si>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</si>
  <si>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</si>
  <si>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</si>
  <si>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</si>
  <si>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</si>
  <si>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</si>
  <si>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</si>
  <si>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</si>
  <si>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</si>
  <si>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</si>
  <si>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</si>
  <si>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</si>
  <si>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</si>
  <si>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</si>
  <si>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</si>
  <si>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</si>
  <si>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</si>
  <si>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</si>
  <si>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</si>
  <si>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</si>
  <si>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</si>
  <si>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</si>
  <si>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</si>
  <si>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</si>
  <si>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</si>
  <si>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</si>
  <si>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</si>
  <si>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</si>
  <si>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</si>
  <si>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</si>
  <si>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</si>
  <si>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</si>
  <si>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</si>
  <si>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</si>
  <si>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</si>
  <si>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</si>
  <si>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</si>
  <si>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</si>
  <si>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</si>
  <si>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</si>
  <si>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</si>
  <si>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</si>
  <si>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</si>
  <si>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</si>
  <si>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</si>
  <si>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</si>
  <si>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</si>
  <si>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</si>
  <si>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</si>
  <si>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</si>
  <si>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</si>
  <si>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</si>
  <si>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</si>
  <si>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</si>
  <si>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</si>
  <si>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</si>
  <si>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</si>
  <si>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</si>
  <si>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</si>
  <si>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</si>
  <si>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</si>
  <si>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</si>
  <si>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</si>
  <si>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</si>
  <si>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</si>
  <si>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</si>
  <si>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</si>
  <si>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</si>
  <si>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</si>
  <si>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</si>
  <si>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</si>
  <si>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</si>
  <si>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</si>
  <si>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</si>
  <si>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</si>
  <si>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</si>
  <si>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</si>
  <si>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</si>
  <si>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</si>
  <si>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</si>
  <si>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</si>
  <si>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</si>
  <si>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</si>
  <si>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</si>
  <si>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</si>
  <si>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</si>
  <si>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</si>
  <si>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</si>
  <si>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</si>
  <si>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</si>
  <si>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</si>
  <si>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</si>
  <si>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</si>
  <si>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</si>
  <si>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</si>
  <si>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</si>
  <si>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</si>
  <si>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</si>
  <si>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</si>
  <si>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</si>
  <si>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</si>
  <si>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</si>
  <si>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</si>
  <si>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</si>
  <si>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</si>
  <si>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</si>
  <si>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</si>
  <si>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</si>
  <si>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</si>
  <si>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</si>
  <si>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</si>
  <si>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</si>
  <si>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</si>
  <si>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</si>
  <si>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</si>
  <si>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</si>
  <si>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</si>
  <si>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</si>
  <si>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</si>
  <si>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</si>
  <si>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</si>
  <si>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</si>
  <si>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</si>
  <si>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</si>
  <si>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</si>
  <si>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</si>
  <si>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</si>
  <si>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</si>
  <si>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</si>
  <si>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</si>
  <si>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</si>
  <si>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</si>
  <si>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</si>
  <si>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</si>
  <si>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</si>
  <si>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</si>
  <si>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</si>
  <si>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</si>
  <si>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</si>
  <si>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</si>
  <si>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</si>
  <si>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</si>
  <si>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</si>
  <si>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</si>
  <si>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</si>
  <si>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</si>
  <si>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</si>
  <si>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</si>
  <si>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</si>
  <si>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</si>
  <si>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</si>
  <si>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</si>
  <si>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</si>
  <si>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</si>
  <si>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</si>
  <si>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</si>
  <si>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</si>
  <si>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</si>
  <si>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</si>
  <si>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</si>
  <si>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</si>
  <si>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</si>
  <si>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</si>
  <si>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</si>
  <si>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</si>
  <si>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</si>
  <si>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</si>
  <si>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</si>
  <si>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</si>
  <si>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</si>
  <si>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</si>
  <si>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</si>
  <si>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</si>
  <si>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</si>
  <si>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</si>
  <si>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</si>
  <si>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</si>
  <si>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</si>
  <si>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</si>
  <si>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</si>
  <si>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</si>
  <si>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</si>
  <si>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</si>
  <si>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</si>
  <si>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</si>
  <si>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</si>
  <si>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</si>
  <si>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</si>
  <si>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</si>
  <si>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</si>
  <si>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</si>
  <si>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</si>
  <si>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</si>
  <si>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</si>
  <si>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</si>
  <si>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</si>
  <si>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</si>
  <si>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</si>
  <si>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</si>
  <si>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</si>
  <si>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</si>
  <si>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</si>
  <si>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</si>
  <si>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</si>
  <si>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</si>
  <si>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</si>
  <si>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</si>
  <si>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</si>
  <si>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</si>
  <si>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</si>
  <si>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</si>
  <si>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</si>
  <si>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</si>
  <si>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</si>
  <si>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</si>
  <si>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</si>
  <si>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</si>
  <si>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</si>
  <si>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</si>
  <si>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</si>
  <si>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</si>
  <si>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</si>
  <si>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</si>
  <si>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</si>
  <si>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</si>
  <si>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</si>
  <si>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</si>
  <si>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</si>
  <si>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</si>
  <si>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</si>
  <si>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</si>
  <si>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</si>
  <si>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</si>
  <si>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</si>
  <si>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</si>
  <si>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</si>
  <si>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</si>
  <si>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</si>
  <si>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</si>
  <si>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</si>
  <si>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</si>
  <si>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</si>
  <si>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</si>
  <si>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</si>
  <si>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</si>
  <si>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</si>
  <si>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</si>
  <si>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</si>
  <si>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</si>
  <si>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</si>
  <si>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</si>
  <si>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</si>
  <si>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</si>
  <si>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</si>
  <si>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</si>
  <si>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</si>
  <si>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</si>
  <si>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</si>
  <si>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</si>
  <si>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</si>
  <si>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</si>
  <si>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</si>
  <si>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</si>
  <si>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</si>
  <si>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</si>
  <si>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</si>
  <si>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</si>
  <si>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</si>
  <si>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</si>
  <si>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</si>
  <si>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</si>
  <si>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</si>
  <si>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</si>
  <si>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</si>
  <si>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</si>
  <si>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</si>
  <si>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</si>
  <si>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</si>
  <si>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</si>
  <si>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</si>
  <si>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</si>
  <si>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</si>
  <si>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</si>
  <si>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</si>
  <si>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</si>
  <si>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</si>
  <si>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</si>
  <si>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</si>
  <si>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</si>
  <si>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</si>
  <si>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</si>
  <si>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</si>
  <si>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</si>
  <si>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</si>
  <si>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</si>
  <si>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</si>
  <si>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</si>
  <si>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</si>
  <si>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</si>
  <si>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</si>
  <si>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</si>
  <si>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</si>
  <si>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</si>
  <si>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</si>
  <si>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</si>
  <si>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</si>
  <si>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</si>
  <si>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</si>
  <si>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</si>
  <si>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</si>
  <si>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</si>
  <si>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</si>
  <si>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</si>
  <si>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</si>
  <si>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</si>
  <si>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</si>
  <si>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</si>
  <si>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</si>
  <si>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</si>
  <si>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</si>
  <si>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</si>
  <si>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</si>
  <si>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</si>
  <si>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</si>
  <si>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</si>
  <si>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</si>
  <si>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</si>
  <si>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</si>
  <si>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</si>
  <si>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</si>
  <si>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</si>
  <si>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</si>
  <si>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</si>
  <si>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</si>
  <si>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</si>
  <si>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</si>
  <si>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</si>
  <si>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</si>
  <si>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</si>
  <si>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</si>
  <si>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</si>
  <si>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</si>
  <si>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</si>
  <si>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</si>
  <si>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</si>
  <si>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</si>
  <si>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</si>
  <si>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</si>
  <si>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</si>
  <si>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</si>
  <si>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</si>
  <si>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</si>
  <si>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</si>
  <si>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</si>
  <si>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</si>
  <si>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</si>
  <si>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</si>
  <si>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</si>
  <si>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</si>
  <si>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</si>
  <si>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</si>
  <si>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</si>
  <si>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</si>
  <si>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</si>
  <si>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</si>
  <si>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</si>
  <si>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</si>
  <si>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</si>
  <si>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</si>
  <si>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</si>
  <si>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</si>
  <si>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</si>
  <si>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</si>
  <si>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</si>
  <si>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</si>
  <si>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</si>
  <si>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</si>
  <si>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</si>
  <si>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</si>
  <si>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</si>
  <si>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</si>
  <si>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</si>
  <si>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</si>
  <si>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</si>
  <si>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</si>
  <si>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</si>
  <si>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</si>
  <si>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</si>
  <si>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</si>
  <si>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</si>
  <si>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</si>
  <si>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</si>
  <si>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</si>
  <si>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</si>
  <si>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</si>
  <si>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</si>
  <si>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</si>
  <si>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</si>
  <si>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</si>
  <si>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</si>
  <si>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</si>
  <si>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</si>
  <si>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</si>
  <si>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</si>
  <si>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</si>
  <si>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</si>
  <si>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</si>
  <si>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</si>
  <si>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</si>
  <si>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</si>
  <si>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</si>
  <si>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</si>
  <si>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</si>
  <si>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</si>
  <si>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</si>
  <si>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</si>
  <si>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</si>
  <si>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</si>
  <si>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</si>
  <si>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</si>
  <si>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</si>
  <si>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</si>
  <si>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</si>
  <si>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</si>
  <si>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</si>
  <si>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</si>
  <si>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</si>
  <si>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</si>
  <si>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</si>
  <si>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</si>
  <si>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</si>
  <si>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</si>
  <si>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</si>
  <si>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</si>
  <si>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</si>
  <si>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</si>
  <si>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</si>
  <si>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</si>
  <si>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</si>
  <si>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</si>
  <si>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</si>
  <si>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</si>
  <si>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</si>
  <si>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</si>
  <si>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</si>
  <si>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</si>
  <si>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</si>
  <si>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</si>
  <si>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</si>
  <si>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</si>
  <si>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</si>
  <si>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</si>
  <si>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</si>
  <si>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</si>
  <si>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</si>
  <si>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</si>
  <si>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</si>
  <si>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</si>
  <si>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</si>
  <si>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</si>
  <si>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</si>
  <si>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</si>
  <si>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</si>
  <si>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</si>
  <si>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</si>
  <si>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</si>
  <si>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</si>
  <si>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</si>
  <si>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</si>
  <si>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</si>
  <si>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</si>
  <si>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</si>
  <si>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</si>
  <si>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</si>
  <si>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</si>
  <si>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</si>
  <si>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</si>
  <si>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</si>
  <si>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</si>
  <si>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</si>
  <si>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</si>
  <si>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</si>
  <si>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</si>
  <si>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</si>
  <si>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</si>
  <si>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</si>
  <si>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</si>
  <si>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</si>
  <si>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</si>
  <si>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</si>
  <si>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</si>
  <si>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</si>
  <si>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</si>
  <si>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</si>
  <si>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</si>
  <si>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</si>
  <si>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</si>
  <si>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</si>
  <si>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</si>
  <si>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</si>
  <si>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</si>
  <si>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</si>
  <si>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</si>
  <si>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</si>
  <si>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</si>
  <si>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</si>
  <si>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</si>
  <si>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</si>
  <si>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</si>
  <si>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</si>
  <si>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</si>
  <si>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</si>
  <si>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</si>
  <si>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</si>
  <si>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</si>
  <si>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</si>
  <si>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</si>
  <si>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</si>
  <si>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</si>
  <si>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</si>
  <si>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</si>
  <si>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</si>
  <si>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</si>
  <si>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</si>
  <si>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</si>
  <si>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</si>
  <si>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</si>
  <si>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</si>
  <si>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</si>
  <si>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</si>
  <si>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</si>
  <si>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</si>
  <si>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</si>
  <si>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</si>
  <si>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</si>
  <si>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</si>
  <si>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</si>
  <si>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</si>
  <si>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</si>
  <si>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</si>
  <si>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</si>
  <si>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</si>
  <si>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</si>
  <si>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</si>
  <si>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</si>
  <si>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</si>
  <si>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</si>
  <si>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</si>
  <si>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</si>
  <si>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</si>
  <si>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</si>
  <si>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</si>
  <si>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</si>
  <si>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</si>
  <si>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</si>
  <si>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</si>
  <si>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</si>
  <si>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</si>
  <si>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</si>
  <si>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</si>
  <si>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</si>
  <si>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</si>
  <si>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</si>
  <si>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</si>
  <si>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</si>
  <si>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</si>
  <si>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</si>
  <si>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</si>
  <si>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</si>
  <si>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</si>
  <si>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</si>
  <si>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</si>
  <si>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</si>
  <si>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</si>
  <si>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</si>
  <si>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</si>
  <si>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</si>
  <si>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</si>
  <si>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</si>
  <si>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</si>
  <si>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</si>
  <si>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</si>
  <si>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</si>
  <si>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</si>
  <si>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</si>
  <si>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</si>
  <si>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</si>
  <si>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</si>
  <si>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</si>
  <si>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</si>
  <si>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</si>
  <si>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</si>
  <si>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</si>
  <si>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</si>
  <si>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</si>
  <si>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</si>
  <si>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</si>
  <si>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</si>
  <si>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</si>
  <si>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</si>
  <si>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</si>
  <si>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</si>
  <si>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</si>
  <si>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</si>
  <si>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</si>
  <si>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</si>
  <si>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</si>
  <si>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</si>
  <si>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</si>
  <si>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</si>
  <si>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</si>
  <si>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</si>
  <si>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</si>
  <si>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</si>
  <si>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</si>
  <si>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</si>
  <si>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</si>
  <si>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</si>
  <si>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</si>
  <si>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</si>
  <si>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</si>
  <si>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</si>
  <si>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</si>
  <si>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</si>
  <si>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</si>
  <si>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</si>
  <si>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</si>
  <si>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</si>
  <si>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</si>
  <si>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</si>
  <si>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</si>
  <si>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</si>
  <si>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</si>
  <si>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</si>
  <si>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</si>
  <si>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</si>
  <si>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</si>
  <si>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</si>
  <si>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</si>
  <si>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</si>
  <si>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</si>
  <si>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</si>
  <si>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</si>
  <si>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</si>
  <si>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</si>
  <si>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</si>
  <si>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</si>
  <si>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</si>
  <si>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</si>
  <si>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</si>
  <si>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</si>
  <si>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</si>
  <si>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</si>
  <si>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</si>
  <si>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</si>
  <si>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</si>
  <si>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</si>
  <si>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</si>
  <si>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</si>
  <si>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</si>
  <si>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</si>
  <si>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</si>
  <si>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</si>
  <si>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</si>
  <si>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</si>
  <si>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</si>
  <si>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</si>
  <si>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</si>
  <si>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</si>
  <si>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</si>
  <si>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</si>
  <si>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</si>
  <si>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</si>
  <si>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</si>
  <si>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</si>
  <si>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</si>
  <si>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</si>
  <si>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</si>
  <si>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</si>
  <si>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</si>
  <si>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</si>
  <si>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</si>
  <si>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</si>
  <si>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</si>
  <si>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</si>
  <si>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</si>
  <si>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</si>
  <si>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</si>
  <si>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</si>
  <si>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</si>
  <si>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</si>
  <si>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</si>
  <si>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</si>
  <si>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</si>
  <si>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</si>
  <si>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</si>
  <si>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</si>
  <si>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</si>
  <si>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</si>
  <si>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</si>
  <si>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</si>
  <si>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</si>
  <si>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</si>
  <si>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</si>
  <si>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</si>
  <si>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</si>
  <si>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</si>
  <si>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</si>
  <si>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</si>
  <si>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</si>
  <si>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</si>
  <si>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</si>
  <si>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</si>
  <si>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</si>
  <si>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</si>
  <si>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</si>
  <si>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</si>
  <si>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</si>
  <si>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</si>
  <si>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</si>
  <si>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</si>
  <si>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</si>
  <si>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</si>
  <si>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</si>
  <si>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</si>
  <si>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</si>
  <si>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</si>
  <si>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</si>
  <si>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</si>
  <si>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</si>
  <si>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</si>
  <si>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</si>
  <si>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</si>
  <si>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</si>
  <si>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</si>
  <si>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</si>
  <si>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</si>
  <si>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</si>
  <si>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</si>
  <si>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</si>
  <si>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</si>
  <si>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</si>
  <si>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</si>
  <si>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</si>
  <si>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</si>
  <si>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</si>
  <si>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</si>
  <si>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</si>
  <si>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</si>
  <si>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</si>
  <si>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</si>
  <si>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</si>
  <si>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</si>
  <si>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</si>
  <si>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</si>
  <si>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</si>
  <si>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</si>
  <si>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</si>
  <si>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</si>
  <si>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</si>
  <si>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</si>
  <si>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</si>
  <si>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</si>
  <si>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</si>
  <si>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</si>
  <si>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</si>
  <si>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</si>
  <si>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</si>
  <si>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</si>
  <si>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</si>
  <si>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</si>
  <si>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</si>
  <si>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</si>
  <si>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</si>
  <si>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</si>
  <si>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</si>
  <si>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</si>
  <si>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</si>
  <si>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</si>
  <si>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</si>
  <si>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</si>
  <si>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</si>
  <si>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</si>
  <si>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</si>
  <si>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</si>
  <si>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</si>
  <si>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</si>
  <si>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</si>
  <si>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</si>
  <si>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</si>
  <si>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</si>
  <si>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</si>
  <si>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</si>
  <si>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</si>
  <si>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</si>
  <si>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</si>
  <si>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</si>
  <si>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</si>
  <si>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</si>
  <si>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</si>
  <si>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</si>
  <si>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</si>
  <si>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</si>
  <si>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</si>
  <si>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</si>
  <si>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</si>
  <si>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</si>
  <si>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</si>
  <si>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</si>
  <si>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</si>
  <si>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</si>
  <si>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</si>
  <si>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</si>
  <si>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</si>
  <si>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</si>
  <si>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</si>
  <si>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</si>
  <si>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</si>
  <si>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</si>
  <si>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</si>
  <si>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</si>
  <si>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</si>
  <si>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</si>
  <si>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</si>
  <si>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</si>
  <si>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</si>
  <si>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</si>
  <si>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</si>
  <si>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</si>
  <si>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</si>
  <si>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</si>
  <si>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</si>
  <si>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</si>
  <si>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</si>
  <si>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</si>
  <si>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</si>
  <si>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</si>
  <si>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</si>
  <si>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</si>
  <si>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</si>
  <si>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</si>
  <si>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</si>
  <si>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</si>
  <si>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</si>
  <si>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</si>
  <si>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</si>
  <si>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</si>
  <si>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</si>
  <si>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</si>
  <si>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</si>
  <si>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</si>
  <si>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</si>
  <si>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</si>
  <si>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</si>
  <si>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</si>
  <si>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</si>
  <si>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</si>
  <si>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</si>
  <si>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</si>
  <si>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</si>
  <si>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</si>
  <si>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</si>
  <si>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</si>
  <si>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</si>
  <si>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</si>
  <si>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</si>
  <si>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</si>
  <si>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</si>
  <si>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</si>
  <si>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</si>
  <si>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</si>
  <si>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</si>
  <si>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</si>
  <si>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</si>
  <si>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</si>
  <si>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</si>
  <si>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</si>
  <si>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</si>
  <si>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</si>
  <si>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</si>
  <si>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</si>
  <si>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</si>
  <si>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</si>
  <si>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</si>
  <si>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</si>
  <si>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</si>
  <si>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</si>
  <si>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</si>
  <si>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</si>
  <si>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</si>
  <si>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</si>
  <si>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</si>
  <si>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</si>
  <si>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</si>
  <si>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</si>
  <si>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</si>
  <si>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</si>
  <si>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</si>
  <si>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</si>
  <si>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</si>
  <si>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</si>
  <si>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</si>
  <si>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</si>
  <si>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</si>
  <si>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</si>
  <si>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</si>
  <si>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</si>
  <si>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</si>
  <si>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</si>
  <si>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</si>
  <si>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</si>
  <si>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</si>
  <si>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</si>
  <si>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</si>
  <si>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</si>
  <si>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</si>
  <si>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</si>
  <si>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</si>
  <si>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</si>
  <si>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</si>
  <si>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</si>
  <si>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</si>
  <si>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</si>
  <si>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</si>
  <si>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</si>
  <si>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</si>
  <si>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</si>
  <si>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</si>
  <si>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</si>
  <si>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</si>
  <si>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</si>
  <si>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</si>
  <si>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</si>
  <si>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</si>
  <si>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</si>
  <si>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</si>
  <si>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</si>
  <si>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</si>
  <si>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</si>
  <si>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</si>
  <si>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</si>
  <si>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</si>
  <si>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</si>
  <si>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</si>
  <si>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</si>
  <si>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</si>
  <si>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</si>
  <si>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</si>
  <si>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</si>
  <si>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</si>
  <si>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</si>
  <si>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</si>
  <si>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</si>
  <si>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</si>
  <si>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</si>
  <si>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</si>
  <si>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</si>
  <si>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</si>
  <si>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</si>
  <si>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</si>
  <si>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</si>
  <si>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</si>
  <si>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</si>
  <si>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</si>
  <si>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</si>
  <si>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</si>
  <si>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</si>
  <si>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</si>
  <si>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</si>
  <si>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</si>
  <si>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</si>
  <si>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</si>
  <si>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</si>
  <si>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</si>
  <si>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</si>
  <si>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</si>
  <si>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</si>
  <si>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</si>
  <si>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</si>
  <si>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</si>
  <si>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</si>
  <si>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</si>
  <si>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</si>
  <si>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</si>
  <si>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</si>
  <si>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</si>
  <si>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</si>
  <si>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</si>
  <si>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</si>
  <si>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</si>
  <si>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</si>
  <si>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</si>
  <si>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</si>
  <si>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</si>
  <si>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</si>
  <si>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</si>
  <si>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</si>
  <si>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</si>
  <si>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</si>
  <si>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</si>
  <si>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</si>
  <si>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</si>
  <si>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</si>
  <si>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</si>
  <si>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</si>
  <si>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</si>
  <si>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</si>
  <si>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</si>
  <si>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</si>
  <si>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</si>
  <si>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</si>
  <si>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</si>
  <si>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</si>
  <si>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</si>
  <si>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</si>
  <si>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</si>
  <si>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</si>
  <si>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</si>
  <si>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</si>
  <si>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</si>
  <si>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</si>
  <si>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</si>
  <si>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</si>
  <si>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</si>
  <si>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</si>
  <si>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</si>
  <si>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</si>
  <si>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</si>
  <si>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</si>
  <si>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</si>
  <si>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</si>
  <si>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</si>
  <si>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</si>
  <si>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</si>
  <si>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</si>
  <si>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</si>
  <si>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</si>
  <si>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</si>
  <si>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</si>
  <si>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</si>
  <si>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</si>
  <si>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</si>
  <si>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</si>
  <si>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</si>
  <si>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</si>
  <si>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</si>
  <si>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</si>
  <si>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</si>
  <si>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</si>
  <si>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</si>
  <si>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</si>
  <si>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</si>
  <si>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</si>
  <si>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</si>
  <si>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</si>
  <si>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</si>
  <si>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</si>
  <si>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</si>
  <si>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</si>
  <si>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</si>
  <si>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</si>
  <si>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</si>
  <si>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</si>
  <si>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</si>
  <si>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</si>
  <si>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</si>
  <si>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</si>
  <si>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</si>
  <si>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</si>
  <si>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</si>
  <si>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</si>
  <si>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</si>
  <si>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</si>
  <si>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</si>
  <si>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</si>
  <si>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</si>
  <si>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</si>
  <si>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</si>
  <si>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</si>
  <si>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</si>
  <si>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</si>
  <si>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</si>
  <si>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</si>
  <si>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</si>
  <si>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</si>
  <si>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</si>
  <si>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</si>
  <si>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</si>
  <si>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</si>
  <si>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</si>
  <si>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</si>
  <si>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</si>
  <si>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</si>
  <si>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</si>
  <si>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</si>
  <si>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</si>
  <si>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</si>
  <si>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</si>
  <si>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</si>
  <si>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</si>
  <si>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</si>
  <si>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</si>
  <si>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</si>
  <si>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</si>
  <si>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</si>
  <si>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</si>
  <si>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</si>
  <si>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</si>
  <si>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</si>
  <si>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</si>
  <si>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</si>
  <si>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</si>
  <si>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</si>
  <si>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</si>
  <si>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</si>
  <si>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</si>
  <si>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</si>
  <si>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</si>
  <si>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</si>
  <si>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</si>
  <si>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</si>
  <si>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</si>
  <si>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</si>
  <si>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</si>
  <si>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</si>
  <si>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</si>
  <si>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</si>
  <si>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</si>
  <si>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</si>
  <si>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</si>
  <si>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</si>
  <si>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</si>
  <si>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</si>
  <si>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</si>
  <si>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</si>
  <si>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</si>
  <si>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</si>
  <si>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</si>
  <si>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</si>
  <si>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</si>
  <si>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</si>
  <si>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</si>
  <si>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</si>
  <si>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</si>
  <si>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</si>
  <si>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</si>
  <si>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</si>
  <si>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</si>
  <si>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</si>
  <si>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</si>
  <si>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</si>
  <si>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</si>
  <si>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</si>
  <si>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</si>
  <si>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</si>
  <si>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</si>
  <si>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</si>
  <si>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</si>
  <si>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</si>
  <si>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</si>
  <si>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</si>
  <si>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</si>
  <si>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</si>
  <si>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</si>
  <si>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</si>
  <si>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</si>
  <si>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</si>
  <si>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</si>
  <si>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</si>
  <si>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</si>
  <si>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</si>
  <si>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</si>
  <si>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</si>
  <si>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</si>
  <si>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</si>
  <si>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</si>
  <si>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</si>
  <si>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</si>
  <si>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</si>
  <si>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</si>
  <si>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</si>
  <si>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</si>
  <si>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</si>
  <si>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</si>
  <si>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</si>
  <si>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</si>
  <si>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</si>
  <si>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</si>
  <si>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</si>
  <si>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</si>
  <si>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</si>
  <si>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</si>
  <si>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</si>
  <si>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</si>
  <si>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</si>
  <si>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</si>
  <si>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</si>
  <si>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</si>
  <si>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</si>
  <si>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</si>
  <si>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</si>
  <si>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</si>
  <si>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</si>
  <si>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</si>
  <si>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</si>
  <si>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</si>
  <si>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</si>
  <si>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</si>
  <si>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</si>
  <si>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</si>
  <si>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</si>
  <si>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</si>
  <si>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</si>
  <si>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</si>
  <si>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</si>
  <si>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</si>
  <si>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</si>
  <si>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</si>
  <si>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</si>
  <si>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</si>
  <si>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</si>
  <si>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</si>
  <si>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</si>
  <si>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</si>
  <si>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</si>
  <si>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</si>
  <si>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</si>
  <si>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</si>
  <si>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</si>
  <si>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</si>
  <si>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</si>
  <si>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</si>
  <si>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</si>
  <si>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</si>
  <si>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</si>
  <si>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</si>
  <si>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</si>
  <si>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</si>
  <si>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</si>
  <si>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</si>
  <si>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</si>
  <si>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</si>
  <si>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</si>
  <si>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</si>
  <si>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</si>
  <si>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</si>
  <si>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</si>
  <si>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</si>
  <si>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</si>
  <si>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</si>
  <si>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</si>
  <si>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</si>
  <si>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</si>
  <si>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</si>
  <si>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</si>
  <si>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</si>
  <si>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</si>
  <si>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</si>
  <si>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</si>
  <si>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</si>
  <si>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</si>
  <si>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</si>
  <si>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</si>
  <si>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</si>
  <si>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</si>
  <si>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</si>
  <si>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</si>
  <si>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</si>
  <si>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</si>
  <si>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</si>
  <si>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</si>
  <si>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</si>
  <si>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</si>
  <si>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</si>
  <si>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</si>
  <si>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</si>
  <si>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</si>
  <si>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</si>
  <si>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</si>
  <si>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</si>
  <si>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</si>
  <si>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</si>
  <si>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</si>
  <si>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</si>
  <si>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</si>
  <si>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</si>
  <si>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</si>
  <si>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</si>
  <si>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</si>
  <si>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</si>
  <si>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</si>
  <si>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</si>
  <si>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</si>
  <si>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</si>
  <si>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</si>
  <si>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</si>
  <si>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</si>
  <si>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</si>
  <si>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</si>
  <si>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</si>
  <si>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</si>
  <si>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</si>
  <si>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</si>
  <si>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</si>
  <si>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</si>
  <si>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</si>
  <si>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</si>
  <si>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</si>
  <si>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</si>
  <si>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</si>
  <si>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</si>
  <si>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</si>
  <si>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</si>
  <si>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</si>
  <si>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</si>
  <si>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</si>
  <si>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</si>
  <si>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</si>
  <si>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</si>
  <si>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</si>
  <si>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</si>
  <si>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</si>
  <si>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</si>
  <si>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</si>
  <si>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</si>
  <si>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</si>
  <si>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</si>
  <si>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</si>
  <si>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</si>
  <si>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</si>
  <si>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</si>
  <si>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</si>
  <si>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</si>
  <si>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</si>
  <si>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</si>
  <si>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</si>
  <si>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</si>
  <si>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</si>
  <si>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</si>
  <si>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</si>
  <si>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</si>
  <si>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</si>
  <si>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</si>
  <si>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</si>
  <si>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</si>
  <si>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</si>
  <si>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</si>
  <si>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</si>
  <si>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</si>
  <si>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</si>
  <si>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</si>
  <si>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</si>
  <si>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</si>
  <si>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</si>
  <si>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</si>
  <si>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</si>
  <si>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</si>
  <si>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</si>
  <si>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</si>
  <si>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</si>
  <si>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</si>
  <si>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</si>
  <si>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</si>
  <si>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</si>
  <si>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</si>
  <si>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</si>
  <si>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</si>
  <si>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</si>
  <si>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</si>
  <si>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</si>
  <si>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</si>
  <si>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</si>
  <si>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</si>
  <si>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</si>
  <si>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</si>
  <si>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</si>
  <si>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</si>
  <si>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</si>
  <si>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</si>
  <si>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</si>
  <si>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</si>
  <si>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</si>
  <si>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</si>
  <si>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</si>
  <si>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</si>
  <si>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</si>
  <si>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</si>
  <si>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</si>
  <si>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</si>
  <si>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</si>
  <si>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</si>
  <si>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</si>
  <si>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</si>
  <si>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</si>
  <si>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</si>
  <si>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</si>
  <si>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</si>
  <si>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</si>
  <si>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</si>
  <si>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</si>
  <si>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</si>
  <si>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</si>
  <si>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</si>
  <si>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</si>
  <si>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</si>
  <si>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</si>
  <si>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</si>
  <si>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</si>
  <si>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</si>
  <si>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</si>
  <si>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</si>
  <si>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</si>
  <si>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</si>
  <si>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</si>
  <si>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</si>
  <si>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</si>
  <si>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</si>
  <si>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</si>
  <si>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</si>
  <si>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</si>
  <si>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</si>
  <si>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</si>
  <si>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</si>
  <si>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</si>
  <si>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</si>
  <si>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</si>
  <si>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</si>
  <si>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</si>
  <si>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</si>
  <si>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</si>
  <si>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</si>
  <si>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</si>
  <si>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</si>
  <si>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</si>
  <si>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</si>
  <si>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</si>
  <si>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</si>
  <si>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</si>
  <si>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</si>
  <si>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</si>
  <si>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</si>
  <si>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</si>
  <si>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</si>
  <si>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</si>
  <si>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</si>
  <si>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</si>
  <si>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</si>
  <si>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</si>
  <si>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</si>
  <si>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</si>
  <si>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</si>
  <si>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</si>
  <si>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</si>
  <si>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</si>
  <si>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</si>
  <si>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</si>
  <si>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</si>
  <si>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</si>
  <si>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</si>
  <si>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</si>
  <si>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</si>
  <si>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</si>
  <si>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</si>
  <si>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</si>
  <si>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</si>
  <si>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</si>
  <si>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</si>
  <si>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</si>
  <si>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</si>
  <si>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</si>
  <si>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</si>
  <si>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</si>
  <si>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</si>
  <si>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</si>
  <si>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</si>
  <si>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</si>
  <si>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</si>
  <si>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</si>
  <si>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</si>
  <si>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</si>
  <si>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</si>
  <si>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</si>
  <si>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</si>
  <si>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</si>
  <si>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</si>
  <si>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</si>
  <si>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</si>
  <si>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</si>
  <si>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</si>
  <si>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</si>
  <si>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</si>
  <si>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</si>
  <si>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</si>
  <si>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</si>
  <si>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</si>
  <si>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</si>
  <si>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</si>
  <si>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</si>
  <si>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</si>
  <si>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</si>
  <si>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</si>
  <si>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</si>
  <si>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</si>
  <si>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</si>
  <si>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</si>
  <si>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</si>
  <si>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</si>
  <si>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</si>
  <si>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</si>
  <si>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</si>
  <si>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</si>
  <si>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</si>
  <si>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</si>
  <si>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</si>
  <si>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</si>
  <si>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</si>
  <si>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</si>
  <si>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</si>
  <si>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</si>
  <si>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</si>
  <si>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</si>
  <si>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</si>
  <si>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</si>
  <si>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</si>
  <si>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</si>
  <si>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</si>
  <si>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</si>
  <si>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</si>
  <si>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</si>
  <si>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</si>
  <si>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</si>
  <si>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</si>
  <si>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</si>
  <si>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</si>
  <si>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</si>
  <si>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</si>
  <si>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</si>
  <si>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</si>
  <si>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</si>
  <si>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</si>
  <si>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</si>
  <si>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</si>
  <si>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</si>
  <si>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</si>
  <si>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</si>
  <si>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</si>
  <si>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</si>
  <si>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</si>
  <si>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</si>
  <si>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</si>
  <si>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</si>
  <si>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</si>
  <si>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</si>
  <si>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</si>
  <si>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</si>
  <si>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</si>
  <si>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</si>
  <si>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</si>
  <si>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</si>
  <si>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</si>
  <si>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</si>
  <si>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</si>
  <si>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</si>
  <si>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</si>
  <si>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</si>
  <si>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</si>
  <si>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</si>
  <si>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</si>
  <si>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</si>
  <si>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</si>
  <si>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</si>
  <si>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</si>
  <si>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</si>
  <si>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</si>
  <si>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</si>
  <si>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</si>
  <si>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</si>
  <si>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</si>
  <si>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</si>
  <si>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</si>
  <si>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</si>
  <si>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</si>
  <si>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</si>
  <si>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</si>
  <si>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</si>
  <si>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</si>
  <si>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</si>
  <si>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</si>
  <si>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</si>
  <si>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</si>
  <si>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</si>
  <si>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</si>
  <si>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</si>
  <si>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</si>
  <si>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</si>
  <si>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</si>
  <si>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</si>
  <si>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</si>
  <si>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</si>
  <si>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</si>
  <si>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</si>
  <si>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</si>
  <si>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</si>
  <si>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</si>
  <si>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</si>
  <si>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</si>
  <si>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</si>
  <si>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</si>
  <si>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</si>
  <si>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</si>
  <si>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</si>
  <si>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</si>
  <si>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</si>
  <si>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</si>
  <si>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</si>
  <si>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</si>
  <si>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</si>
  <si>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</si>
  <si>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</si>
  <si>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</si>
  <si>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</si>
  <si>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</si>
  <si>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</si>
  <si>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</si>
  <si>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</si>
  <si>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</si>
  <si>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</si>
  <si>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</si>
  <si>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</si>
  <si>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</si>
  <si>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</si>
  <si>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</si>
  <si>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</si>
  <si>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</si>
  <si>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</si>
  <si>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</si>
  <si>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</si>
  <si>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</si>
  <si>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</si>
  <si>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</si>
  <si>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</si>
  <si>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</si>
  <si>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</si>
  <si>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</si>
  <si>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</si>
  <si>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</si>
  <si>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</si>
  <si>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</si>
  <si>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</si>
  <si>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</si>
  <si>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</si>
  <si>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</si>
  <si>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</si>
  <si>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</si>
  <si>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</si>
  <si>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</si>
  <si>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</si>
  <si>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</si>
  <si>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</si>
  <si>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</si>
  <si>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</si>
  <si>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</si>
  <si>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</si>
  <si>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</si>
  <si>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</si>
  <si>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</si>
  <si>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</si>
  <si>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</si>
  <si>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</si>
  <si>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</si>
  <si>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</si>
  <si>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</si>
  <si>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</si>
  <si>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</si>
  <si>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</si>
  <si>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</si>
  <si>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</si>
  <si>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</si>
  <si>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</si>
  <si>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</si>
  <si>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</si>
  <si>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</si>
  <si>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</si>
  <si>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</si>
  <si>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</si>
  <si>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</si>
  <si>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</si>
  <si>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</si>
  <si>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</si>
  <si>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</si>
  <si>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</si>
  <si>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</si>
  <si>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</si>
  <si>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</si>
  <si>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</si>
  <si>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</si>
  <si>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</si>
  <si>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</si>
  <si>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</si>
  <si>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</si>
  <si>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</si>
  <si>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</si>
  <si>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</si>
  <si>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</si>
  <si>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</si>
  <si>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</si>
  <si>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</si>
  <si>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</si>
  <si>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</si>
  <si>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</si>
  <si>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</si>
  <si>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</si>
  <si>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</si>
  <si>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</si>
  <si>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</si>
  <si>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</si>
  <si>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</si>
  <si>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</si>
  <si>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</si>
  <si>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</si>
  <si>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</si>
  <si>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</si>
  <si>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</si>
  <si>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</si>
  <si>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</si>
  <si>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</si>
  <si>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</si>
  <si>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</si>
  <si>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</si>
  <si>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</si>
  <si>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</si>
  <si>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</si>
  <si>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</si>
  <si>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</si>
  <si>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</si>
  <si>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</si>
  <si>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</si>
  <si>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</si>
  <si>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</si>
  <si>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</si>
  <si>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</si>
  <si>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</si>
  <si>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</si>
  <si>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</si>
  <si>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</si>
  <si>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</si>
  <si>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</si>
  <si>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</si>
  <si>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</si>
  <si>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</si>
  <si>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</si>
  <si>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</si>
  <si>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</si>
  <si>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</si>
  <si>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</si>
  <si>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</si>
  <si>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</si>
  <si>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</si>
  <si>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</si>
  <si>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</si>
  <si>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</si>
  <si>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</si>
  <si>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</si>
  <si>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</si>
  <si>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</si>
  <si>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</si>
  <si>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</si>
  <si>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</si>
  <si>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</si>
  <si>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</si>
  <si>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</si>
  <si>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</si>
  <si>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</si>
  <si>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</si>
  <si>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</si>
  <si>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</si>
  <si>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</si>
  <si>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</si>
  <si>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</si>
  <si>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</si>
  <si>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</si>
  <si>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</si>
  <si>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</si>
  <si>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</si>
  <si>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</si>
  <si>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</si>
  <si>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</si>
  <si>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</si>
  <si>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</si>
  <si>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</si>
  <si>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</si>
  <si>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</si>
  <si>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</si>
  <si>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</si>
  <si>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</si>
  <si>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</si>
  <si>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</si>
  <si>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</si>
  <si>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</si>
  <si>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</si>
  <si>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</si>
  <si>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</si>
  <si>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</si>
  <si>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</si>
  <si>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</si>
  <si>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</si>
  <si>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</si>
  <si>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</si>
  <si>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</si>
  <si>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</si>
  <si>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</si>
  <si>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</si>
  <si>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</si>
  <si>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</si>
  <si>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</si>
  <si>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</si>
  <si>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</si>
  <si>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</si>
  <si>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</si>
  <si>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</si>
  <si>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</si>
  <si>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</si>
  <si>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</si>
  <si>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</si>
  <si>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</si>
  <si>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</si>
  <si>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</si>
  <si>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</si>
  <si>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</si>
  <si>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</si>
  <si>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</si>
  <si>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</si>
  <si>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</si>
  <si>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</si>
  <si>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</si>
  <si>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</si>
  <si>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</si>
  <si>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</si>
  <si>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</si>
  <si>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</si>
  <si>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</si>
  <si>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</si>
  <si>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</si>
  <si>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</si>
  <si>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</si>
  <si>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</si>
  <si>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</si>
  <si>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</si>
  <si>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</si>
  <si>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</si>
  <si>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</si>
  <si>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</si>
  <si>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</si>
  <si>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</si>
  <si>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</si>
  <si>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</si>
  <si>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</si>
  <si>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</si>
  <si>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</si>
  <si>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</si>
  <si>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</si>
  <si>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</si>
  <si>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</si>
  <si>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</si>
  <si>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</si>
  <si>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</si>
  <si>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</si>
  <si>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</si>
  <si>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</si>
  <si>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</si>
  <si>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</si>
  <si>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</si>
  <si>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</si>
  <si>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</si>
  <si>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</si>
  <si>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</si>
  <si>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</si>
  <si>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</si>
  <si>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</si>
  <si>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</si>
  <si>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</si>
  <si>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</si>
  <si>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</si>
  <si>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</si>
  <si>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</si>
  <si>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</si>
  <si>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</si>
  <si>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</si>
  <si>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</si>
  <si>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</si>
  <si>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</si>
  <si>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</si>
  <si>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</si>
  <si>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</si>
  <si>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</si>
  <si>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</si>
  <si>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</si>
  <si>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</si>
  <si>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</si>
  <si>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</si>
  <si>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</si>
  <si>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</si>
  <si>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</si>
  <si>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</si>
  <si>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</si>
  <si>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</si>
  <si>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</si>
  <si>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</si>
  <si>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</si>
  <si>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</si>
  <si>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</si>
  <si>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</si>
  <si>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</si>
  <si>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</si>
  <si>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</si>
  <si>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</si>
  <si>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</si>
  <si>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</si>
  <si>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</si>
  <si>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</si>
  <si>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</si>
  <si>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</si>
  <si>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</si>
  <si>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</si>
  <si>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</si>
  <si>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</si>
  <si>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</si>
  <si>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</si>
  <si>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</si>
  <si>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</si>
  <si>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</si>
  <si>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</si>
  <si>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</si>
  <si>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</si>
  <si>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</si>
  <si>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</si>
  <si>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</si>
  <si>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</si>
  <si>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</si>
  <si>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</si>
  <si>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</si>
  <si>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</si>
  <si>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</si>
  <si>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</si>
  <si>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</si>
  <si>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</si>
  <si>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</si>
  <si>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</si>
  <si>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</si>
  <si>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</si>
  <si>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</si>
  <si>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</si>
  <si>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</si>
  <si>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</si>
  <si>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</si>
  <si>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</si>
  <si>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</si>
  <si>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</si>
  <si>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</si>
  <si>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</si>
  <si>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</si>
  <si>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</si>
  <si>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</si>
  <si>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</si>
  <si>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</si>
  <si>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</si>
  <si>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</si>
  <si>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</si>
  <si>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</si>
  <si>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</si>
  <si>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</si>
  <si>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</si>
  <si>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</si>
  <si>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</si>
  <si>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</si>
  <si>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</si>
  <si>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</si>
  <si>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</si>
  <si>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</si>
  <si>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</si>
  <si>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</si>
  <si>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</si>
  <si>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</si>
  <si>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</si>
  <si>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</si>
  <si>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</si>
  <si>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</si>
  <si>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</si>
  <si>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</si>
  <si>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</si>
  <si>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</si>
  <si>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</si>
  <si>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</si>
  <si>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</si>
  <si>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</si>
  <si>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</si>
  <si>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</si>
  <si>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</si>
  <si>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</si>
  <si>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</si>
  <si>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</si>
  <si>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</si>
  <si>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</si>
  <si>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</si>
  <si>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</si>
  <si>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</si>
  <si>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</si>
  <si>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</si>
  <si>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</si>
  <si>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</si>
  <si>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</si>
  <si>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</si>
  <si>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</si>
  <si>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</si>
  <si>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</si>
  <si>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</si>
  <si>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</si>
  <si>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</si>
  <si>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</si>
  <si>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</si>
  <si>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</si>
  <si>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</si>
  <si>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</si>
  <si>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</si>
  <si>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</si>
  <si>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</si>
  <si>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</si>
  <si>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</si>
  <si>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</si>
  <si>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</si>
  <si>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</si>
  <si>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</si>
  <si>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</si>
  <si>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</si>
  <si>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</si>
  <si>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</si>
  <si>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</si>
  <si>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</si>
  <si>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</si>
  <si>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</si>
  <si>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</si>
  <si>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</si>
  <si>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</si>
  <si>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</si>
  <si>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</si>
  <si>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</si>
  <si>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</si>
  <si>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</si>
  <si>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</si>
  <si>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</si>
  <si>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</si>
  <si>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</si>
  <si>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</si>
  <si>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</si>
  <si>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</si>
  <si>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</si>
  <si>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</si>
  <si>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</si>
  <si>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</si>
  <si>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</si>
  <si>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</si>
  <si>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</si>
  <si>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</si>
  <si>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</si>
  <si>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</si>
  <si>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</si>
  <si>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</si>
  <si>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</si>
  <si>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</si>
  <si>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</si>
  <si>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</si>
  <si>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</si>
  <si>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</si>
  <si>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</si>
  <si>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</si>
  <si>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</si>
  <si>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</si>
  <si>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</si>
  <si>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</si>
  <si>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</si>
  <si>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</si>
  <si>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</si>
  <si>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</si>
  <si>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</si>
  <si>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</si>
  <si>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</si>
  <si>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</si>
  <si>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</si>
  <si>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</si>
  <si>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</si>
  <si>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</si>
  <si>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</si>
  <si>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</si>
  <si>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</si>
  <si>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</si>
  <si>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</si>
  <si>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</si>
  <si>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</si>
  <si>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</si>
  <si>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</si>
  <si>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</si>
  <si>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</si>
  <si>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</si>
  <si>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</si>
  <si>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</si>
  <si>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</si>
  <si>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</si>
  <si>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</si>
  <si>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</si>
  <si>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</si>
  <si>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</si>
  <si>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</si>
  <si>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</si>
  <si>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</si>
  <si>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</si>
  <si>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</si>
  <si>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</si>
  <si>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</si>
  <si>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</si>
  <si>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</si>
  <si>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</si>
  <si>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</si>
  <si>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</si>
  <si>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</si>
  <si>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</si>
  <si>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</si>
  <si>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</si>
  <si>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</si>
  <si>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</si>
  <si>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</si>
  <si>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</si>
  <si>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</si>
  <si>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</si>
  <si>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</si>
  <si>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</si>
  <si>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</si>
  <si>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</si>
  <si>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</si>
  <si>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</si>
  <si>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</si>
  <si>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</si>
  <si>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</si>
  <si>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</si>
  <si>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</si>
  <si>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</si>
  <si>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</si>
  <si>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</si>
  <si>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</si>
  <si>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</si>
  <si>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</si>
  <si>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</si>
  <si>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</si>
  <si>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</si>
  <si>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</si>
  <si>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</si>
  <si>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</si>
  <si>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</si>
  <si>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</si>
  <si>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</si>
  <si>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</si>
  <si>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</si>
  <si>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</si>
  <si>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</si>
  <si>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</si>
  <si>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</si>
  <si>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</si>
  <si>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</si>
  <si>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</si>
  <si>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</si>
  <si>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</si>
  <si>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</si>
  <si>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</si>
  <si>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</si>
  <si>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</si>
  <si>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</si>
  <si>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</si>
  <si>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</si>
  <si>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</si>
  <si>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</si>
  <si>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</si>
  <si>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</si>
  <si>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</si>
  <si>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</si>
  <si>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</si>
  <si>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</si>
  <si>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</si>
  <si>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</si>
  <si>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</si>
  <si>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</si>
  <si>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</si>
  <si>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</si>
  <si>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</si>
  <si>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</si>
  <si>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</si>
  <si>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</si>
  <si>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</si>
  <si>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</si>
  <si>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</si>
  <si>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</si>
  <si>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</si>
  <si>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</si>
  <si>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</si>
  <si>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</si>
  <si>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</si>
  <si>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</si>
  <si>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</si>
  <si>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</si>
  <si>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</si>
  <si>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</si>
  <si>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</si>
  <si>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</si>
  <si>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</si>
  <si>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</si>
  <si>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</si>
  <si>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</si>
  <si>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</si>
  <si>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</si>
  <si>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</si>
  <si>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</si>
  <si>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</si>
  <si>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</si>
  <si>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</si>
  <si>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</si>
  <si>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</si>
  <si>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</si>
  <si>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</si>
  <si>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</si>
  <si>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</si>
  <si>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</si>
  <si>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</si>
  <si>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</si>
  <si>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</si>
  <si>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</si>
  <si>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</si>
  <si>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</si>
  <si>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</si>
  <si>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</si>
  <si>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</si>
  <si>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</si>
  <si>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</si>
  <si>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</si>
  <si>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</si>
  <si>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</si>
  <si>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</si>
  <si>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</si>
  <si>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</si>
  <si>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</si>
  <si>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</si>
  <si>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</si>
  <si>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</si>
  <si>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</si>
  <si>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</si>
  <si>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</si>
  <si>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</si>
  <si>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</si>
  <si>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</si>
  <si>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</si>
  <si>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</si>
  <si>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</si>
  <si>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</si>
  <si>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</si>
  <si>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</si>
  <si>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</si>
  <si>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</si>
  <si>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</si>
  <si>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</si>
  <si>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</si>
  <si>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</si>
  <si>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</si>
  <si>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</si>
  <si>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</si>
  <si>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</si>
  <si>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</si>
  <si>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</si>
  <si>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</si>
  <si>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</si>
  <si>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</si>
  <si>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</si>
  <si>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</si>
  <si>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</si>
  <si>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</si>
  <si>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</si>
  <si>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</si>
  <si>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</si>
  <si>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</si>
  <si>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</si>
  <si>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</si>
  <si>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</si>
  <si>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</si>
  <si>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</si>
  <si>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</si>
  <si>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</si>
  <si>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</si>
  <si>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</si>
  <si>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</si>
  <si>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</si>
  <si>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</si>
  <si>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</si>
  <si>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</si>
  <si>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</si>
  <si>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</si>
  <si>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</si>
  <si>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</si>
  <si>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</si>
  <si>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</si>
  <si>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</si>
  <si>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</si>
  <si>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</si>
  <si>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</si>
  <si>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</si>
  <si>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</si>
  <si>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</si>
  <si>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</si>
  <si>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</si>
  <si>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</si>
  <si>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</si>
  <si>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</si>
  <si>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</si>
  <si>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</si>
  <si>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</si>
  <si>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</si>
  <si>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</si>
  <si>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</si>
  <si>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</si>
  <si>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</si>
  <si>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</si>
  <si>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</si>
  <si>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</si>
  <si>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</si>
  <si>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</si>
  <si>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</si>
  <si>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</si>
  <si>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</si>
  <si>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</si>
  <si>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</si>
  <si>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</si>
  <si>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</si>
  <si>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</si>
  <si>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</si>
  <si>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</si>
  <si>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</si>
  <si>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</si>
  <si>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</si>
  <si>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</si>
  <si>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</si>
  <si>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</si>
  <si>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</si>
  <si>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</si>
  <si>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</si>
  <si>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</si>
  <si>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</si>
  <si>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</si>
  <si>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</si>
  <si>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</si>
  <si>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</si>
  <si>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</si>
  <si>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</si>
  <si>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</si>
  <si>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</si>
  <si>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</si>
  <si>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</si>
  <si>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</si>
  <si>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</si>
  <si>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</si>
  <si>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</si>
  <si>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</si>
  <si>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</si>
  <si>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</si>
  <si>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</si>
  <si>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</si>
  <si>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</si>
  <si>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</si>
  <si>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</si>
  <si>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</si>
  <si>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</si>
  <si>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</si>
  <si>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</si>
  <si>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</si>
  <si>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</si>
  <si>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</si>
  <si>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</si>
  <si>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</si>
  <si>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</si>
  <si>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</si>
  <si>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</si>
  <si>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</si>
  <si>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</si>
  <si>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</si>
  <si>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</si>
  <si>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</si>
  <si>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</si>
  <si>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</si>
  <si>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</si>
  <si>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</si>
  <si>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</si>
  <si>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</si>
  <si>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</si>
  <si>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</si>
  <si>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</si>
  <si>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</si>
  <si>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</si>
  <si>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</si>
  <si>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</si>
  <si>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</si>
  <si>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</si>
  <si>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</si>
  <si>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</si>
  <si>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</si>
  <si>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</si>
  <si>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</si>
  <si>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</si>
  <si>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</si>
  <si>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</si>
  <si>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</si>
  <si>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</si>
  <si>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</si>
  <si>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</si>
  <si>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</si>
  <si>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</si>
  <si>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</si>
  <si>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</si>
  <si>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</si>
  <si>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</si>
  <si>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</si>
  <si>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</si>
  <si>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</si>
  <si>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</si>
  <si>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</si>
  <si>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</si>
  <si>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</si>
  <si>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</si>
  <si>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</si>
  <si>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</si>
  <si>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</si>
  <si>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</si>
  <si>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</si>
  <si>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</si>
  <si>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</si>
  <si>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</si>
  <si>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</si>
  <si>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</si>
  <si>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</si>
  <si>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</si>
  <si>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</si>
  <si>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</si>
  <si>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</si>
  <si>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</si>
  <si>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</si>
  <si>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</si>
  <si>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</si>
  <si>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</si>
  <si>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</si>
  <si>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</si>
  <si>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</si>
  <si>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</si>
  <si>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</si>
  <si>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</si>
  <si>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</si>
  <si>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</si>
  <si>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</si>
  <si>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</si>
  <si>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</si>
  <si>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</si>
  <si>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</si>
  <si>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</si>
  <si>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</si>
  <si>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</si>
  <si>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</si>
  <si>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</si>
  <si>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</si>
  <si>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</si>
  <si>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</si>
  <si>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</si>
  <si>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</si>
  <si>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</si>
  <si>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</si>
  <si>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</si>
  <si>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</si>
  <si>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</si>
  <si>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</si>
  <si>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</si>
  <si>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</si>
  <si>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</si>
  <si>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</si>
  <si>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</si>
  <si>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</si>
  <si>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</si>
  <si>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</si>
  <si>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</si>
  <si>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</si>
  <si>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</si>
  <si>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</si>
  <si>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</si>
  <si>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</si>
  <si>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</si>
  <si>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</si>
  <si>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</si>
  <si>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</si>
  <si>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</si>
  <si>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</si>
  <si>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</si>
  <si>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</si>
  <si>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</si>
  <si>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</si>
  <si>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</si>
  <si>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</si>
  <si>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</si>
  <si>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</si>
  <si>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</si>
  <si>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</si>
  <si>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</si>
  <si>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</si>
  <si>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</si>
  <si>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</si>
  <si>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</si>
  <si>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</si>
  <si>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</si>
  <si>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</si>
  <si>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</si>
  <si>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</si>
  <si>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</si>
  <si>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</si>
  <si>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</si>
  <si>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</si>
  <si>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</si>
  <si>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</si>
  <si>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</si>
  <si>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</si>
  <si>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</si>
  <si>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</si>
  <si>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</si>
  <si>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</si>
  <si>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</si>
  <si>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</si>
  <si>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</si>
  <si>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</si>
  <si>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</si>
  <si>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</si>
  <si>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</si>
  <si>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</si>
  <si>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</si>
  <si>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</si>
  <si>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</si>
  <si>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</si>
  <si>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</si>
  <si>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</si>
  <si>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</si>
  <si>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</si>
  <si>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</si>
  <si>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</si>
  <si>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</si>
  <si>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</si>
  <si>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</si>
  <si>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</si>
  <si>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</si>
  <si>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</si>
  <si>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</si>
  <si>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</si>
  <si>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</si>
  <si>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</si>
  <si>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</si>
  <si>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</si>
  <si>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</si>
  <si>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</si>
  <si>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</si>
  <si>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</si>
  <si>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</si>
  <si>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</si>
  <si>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</si>
  <si>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</si>
  <si>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</si>
  <si>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</si>
  <si>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</si>
  <si>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</si>
  <si>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</si>
  <si>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</si>
  <si>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</si>
  <si>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</si>
  <si>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</si>
  <si>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</si>
  <si>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</si>
  <si>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</si>
  <si>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</si>
  <si>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</si>
  <si>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</si>
  <si>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</si>
  <si>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</si>
  <si>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</si>
  <si>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</si>
  <si>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</si>
  <si>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</si>
  <si>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</si>
  <si>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</si>
  <si>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</si>
  <si>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</si>
  <si>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</si>
  <si>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</si>
  <si>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</si>
  <si>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</si>
  <si>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</si>
  <si>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</si>
  <si>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</si>
  <si>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</si>
  <si>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</si>
  <si>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</si>
  <si>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</si>
  <si>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</si>
  <si>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</si>
  <si>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</si>
  <si>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</si>
  <si>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</si>
  <si>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</si>
  <si>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</si>
  <si>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</si>
  <si>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</si>
  <si>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</si>
  <si>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</si>
  <si>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</si>
  <si>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</si>
  <si>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</si>
  <si>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</si>
  <si>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</si>
  <si>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</si>
  <si>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</si>
  <si>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</si>
  <si>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</si>
  <si>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</si>
  <si>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</si>
  <si>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</si>
  <si>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</si>
  <si>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</si>
  <si>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</si>
  <si>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</si>
  <si>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</si>
  <si>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</si>
  <si>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</si>
  <si>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</si>
  <si>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</si>
  <si>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</si>
  <si>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</si>
  <si>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</si>
  <si>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</si>
  <si>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</si>
  <si>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</si>
  <si>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</si>
  <si>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</si>
  <si>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</si>
  <si>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</si>
  <si>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</si>
  <si>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</si>
  <si>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</si>
  <si>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</si>
  <si>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</si>
  <si>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</si>
  <si>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</si>
  <si>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</si>
  <si>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</si>
  <si>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</si>
  <si>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</si>
  <si>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</si>
  <si>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</si>
  <si>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</si>
  <si>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</si>
  <si>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</si>
  <si>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</si>
  <si>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</si>
  <si>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</si>
  <si>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</si>
  <si>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</si>
  <si>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</si>
  <si>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</si>
  <si>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</si>
  <si>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</si>
  <si>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</si>
  <si>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</si>
  <si>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</si>
  <si>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</si>
  <si>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</si>
  <si>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</si>
  <si>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</si>
  <si>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</si>
  <si>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</si>
  <si>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</si>
  <si>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</si>
  <si>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</si>
  <si>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</si>
  <si>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</si>
  <si>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</si>
  <si>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</si>
  <si>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</si>
  <si>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</si>
  <si>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</si>
  <si>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</si>
  <si>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</si>
  <si>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</si>
  <si>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</si>
  <si>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</si>
  <si>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</si>
  <si>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</si>
  <si>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</si>
  <si>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</si>
  <si>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</si>
  <si>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</si>
  <si>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</si>
  <si>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</si>
  <si>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</si>
  <si>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</si>
  <si>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</si>
  <si>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</si>
  <si>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</si>
  <si>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</si>
  <si>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</si>
  <si>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</si>
  <si>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</si>
  <si>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</si>
  <si>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</si>
  <si>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</si>
  <si>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</si>
  <si>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</si>
  <si>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</si>
  <si>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</si>
  <si>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</si>
  <si>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</si>
  <si>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</si>
  <si>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</si>
  <si>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</si>
  <si>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</si>
  <si>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</si>
  <si>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</si>
  <si>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</si>
  <si>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</si>
  <si>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</si>
  <si>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</si>
  <si>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</si>
  <si>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</si>
  <si>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</si>
  <si>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</si>
  <si>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</si>
  <si>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</si>
  <si>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Goals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</si>
  <si>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</si>
  <si>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</si>
  <si>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</si>
  <si>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</si>
  <si>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</si>
  <si>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</si>
  <si>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</si>
  <si>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</si>
  <si>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</si>
  <si>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</si>
  <si>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</si>
  <si>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</si>
  <si>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</si>
  <si>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</si>
  <si>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</si>
  <si>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</si>
  <si>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</si>
  <si>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Less than 1000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</si>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</sst>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6" fontId="0" fillId="0" borderId="0" xfId="0" applyNumberFormat="1"/>
    <xf numFmtId="0" fontId="0" fillId="0" borderId="0" xfId="0" applyAlignment="1"/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9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3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F-4F07-A46A-E6C09392F9B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F-4F07-A46A-E6C09392F9B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F-4F07-A46A-E6C09392F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212800"/>
        <c:axId val="871211136"/>
      </c:lineChart>
      <c:catAx>
        <c:axId val="87121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11136"/>
        <c:crosses val="autoZero"/>
        <c:auto val="1"/>
        <c:lblAlgn val="ctr"/>
        <c:lblOffset val="100"/>
        <c:noMultiLvlLbl val="0"/>
      </c:catAx>
      <c:valAx>
        <c:axId val="87121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5B-4C97-9BD9-7561B865D78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5B-4C97-9BD9-7561B865D78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5B-4C97-9BD9-7561B865D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7734159"/>
        <c:axId val="21277333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5B-4C97-9BD9-7561B865D7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4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F5B-4C97-9BD9-7561B865D7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F5B-4C97-9BD9-7561B865D7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5B-4C97-9BD9-7561B865D789}"/>
                  </c:ext>
                </c:extLst>
              </c15:ser>
            </c15:filteredLineSeries>
          </c:ext>
        </c:extLst>
      </c:lineChart>
      <c:catAx>
        <c:axId val="212773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33327"/>
        <c:crosses val="autoZero"/>
        <c:auto val="1"/>
        <c:lblAlgn val="ctr"/>
        <c:lblOffset val="100"/>
        <c:noMultiLvlLbl val="0"/>
      </c:catAx>
      <c:valAx>
        <c:axId val="212773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3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F-4103-BDF0-B20F1151D1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F-4103-BDF0-B20F1151D1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F-4103-BDF0-B20F1151D1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F-4103-BDF0-B20F1151D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358063"/>
        <c:axId val="610356815"/>
      </c:barChart>
      <c:catAx>
        <c:axId val="6103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56815"/>
        <c:crosses val="autoZero"/>
        <c:auto val="1"/>
        <c:lblAlgn val="ctr"/>
        <c:lblOffset val="100"/>
        <c:noMultiLvlLbl val="0"/>
      </c:catAx>
      <c:valAx>
        <c:axId val="6103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5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4249781277340332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0-47F9-A0C5-8E058F05B4E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0-47F9-A0C5-8E058F05B4E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0-47F9-A0C5-8E058F05B4E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0-47F9-A0C5-8E058F05B4E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D0-47F9-A0C5-8E058F05B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326895"/>
        <c:axId val="1315328559"/>
      </c:lineChart>
      <c:catAx>
        <c:axId val="13153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8559"/>
        <c:crosses val="autoZero"/>
        <c:auto val="1"/>
        <c:lblAlgn val="ctr"/>
        <c:lblOffset val="100"/>
        <c:noMultiLvlLbl val="0"/>
      </c:catAx>
      <c:valAx>
        <c:axId val="13153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C-4950-A27F-2032CDB34D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C-4950-A27F-2032CDB34D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C-4950-A27F-2032CDB3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5771263"/>
        <c:axId val="1235769183"/>
      </c:barChart>
      <c:catAx>
        <c:axId val="123577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69183"/>
        <c:crosses val="autoZero"/>
        <c:auto val="1"/>
        <c:lblAlgn val="ctr"/>
        <c:lblOffset val="100"/>
        <c:noMultiLvlLbl val="0"/>
      </c:catAx>
      <c:valAx>
        <c:axId val="123576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7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522CE11-9A35-418D-9A48-C2EDEA2E9B4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2DE9B6-93FA-4FBD-B77E-6D0F5DC0F9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2046F2-B1E6-4DC4-9D90-AD19E2861E84}">
  <sheetPr/>
  <sheetViews>
    <sheetView zoomScale="116" workbookViewId="0" zoomToFit="1"/>
    <sheetView zoomScale="116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534542-3409-45D0-AC3B-A825E30CD863}">
  <sheetPr/>
  <sheetViews>
    <sheetView workbookViewId="0" zoomToFit="1"/>
    <sheetView tabSelected="1" zoomScale="116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55E1C8-3D46-44BA-92E1-757B236A45BE}">
  <sheetPr/>
  <sheetViews>
    <sheetView zoomScale="116" workbookViewId="0" zoomToFit="1"/>
    <sheetView zoomScale="116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612" cy="624872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430AD-BC2D-4819-9345-186CBF1999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612" cy="62569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174CF-FB7A-4915-8A73-3BC01E9CDAD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5</xdr:row>
      <xdr:rowOff>166687</xdr:rowOff>
    </xdr:from>
    <xdr:to>
      <xdr:col>16</xdr:col>
      <xdr:colOff>581025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19A05-9F5E-4604-84F5-D000EE80B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6</xdr:row>
      <xdr:rowOff>61912</xdr:rowOff>
    </xdr:from>
    <xdr:to>
      <xdr:col>16</xdr:col>
      <xdr:colOff>514350</xdr:colOff>
      <xdr:row>20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0E3E0-3DB1-48CC-8DA6-C51B24694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612" cy="624872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3F57CC-D475-452B-B52D-2309B3A3A7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DA54FB-2EEA-4759-A456-D6425EDEE8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612" cy="624872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6</xdr:row>
      <xdr:rowOff>157162</xdr:rowOff>
    </xdr:from>
    <xdr:to>
      <xdr:col>16</xdr:col>
      <xdr:colOff>504825</xdr:colOff>
      <xdr:row>21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6C5FA-FB26-47C9-B2AB-88A59A595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5.734026967591" createdVersion="7" refreshedVersion="7" minRefreshableVersion="3" recordCount="4115" xr:uid="{4C5CD7FA-803B-492B-8C0D-443B029BA3A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5.744998263886" createdVersion="7" refreshedVersion="7" minRefreshableVersion="3" recordCount="4115" xr:uid="{EE976B36-46A9-48D2-BDF1-C24CBBA408D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9.594968171295" createdVersion="7" refreshedVersion="7" minRefreshableVersion="3" recordCount="4115" xr:uid="{67AAC94E-8E18-4845-B779-D0E6761F358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2"/>
  </r>
  <r>
    <m/>
    <m/>
    <m/>
    <m/>
    <m/>
    <x v="4"/>
    <m/>
    <m/>
    <m/>
    <m/>
    <m/>
    <m/>
    <m/>
    <m/>
    <m/>
    <m/>
    <x v="9"/>
    <m/>
    <m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5E020-1A3C-4984-84F0-2D72EF018005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137C3-1E10-4B4E-8F6A-BC8FBF0E166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F1AEC-57DE-4A79-8A12-488FFA73E4F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90965-11EC-43EF-BC7F-2CFDD90B3CF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9849-BBA5-4830-B252-5E34C9E681B7}">
  <dimension ref="A1:H13"/>
  <sheetViews>
    <sheetView workbookViewId="0">
      <selection activeCell="B2" sqref="B2"/>
    </sheetView>
    <sheetView workbookViewId="1">
      <selection sqref="A1:XFD1048576"/>
    </sheetView>
  </sheetViews>
  <sheetFormatPr defaultRowHeight="15" x14ac:dyDescent="0.25"/>
  <cols>
    <col min="1" max="1" width="22.42578125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8398</v>
      </c>
      <c r="B1" t="s">
        <v>8400</v>
      </c>
      <c r="C1" t="s">
        <v>8401</v>
      </c>
      <c r="D1" t="s">
        <v>8402</v>
      </c>
      <c r="E1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25">
      <c r="A2" t="s">
        <v>8399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9">
        <f>COUNTIFS(Kickstarter!$R:$R,"plays",Kickstarter!$F:$F,"successful",Kickstarter!$D:$D,"&lt;1000")/E2</f>
        <v>0.75806451612903225</v>
      </c>
      <c r="G2" s="19">
        <f>COUNTIFS(Kickstarter!$R:$R,"plays",Kickstarter!$F:$F,"failed",Kickstarter!$D:$D,"&lt;1000")/E2</f>
        <v>0.24193548387096775</v>
      </c>
      <c r="H2" s="19">
        <f>COUNTIFS(Kickstarter!$R:$R,"plays",Kickstarter!$F:$F,"canceled",Kickstarter!$D:$D,"&lt;1000")/E2</f>
        <v>0</v>
      </c>
    </row>
    <row r="3" spans="1:8" x14ac:dyDescent="0.25">
      <c r="A3" t="s">
        <v>8407</v>
      </c>
      <c r="B3">
        <f>COUNTIFS(Kickstarter!$R:$R,"plays",Kickstarter!$F:$F,"successful",Kickstarter!$D:$D,"&gt;999",Kickstarter!$D:$D,"&lt;5000")</f>
        <v>388</v>
      </c>
      <c r="C3">
        <f>COUNTIFS(Kickstarter!$R:$R,"plays",Kickstarter!$F:$F,"failed",Kickstarter!$D:$D,"&gt;999",Kickstarter!$D:$D,"&lt;5000")</f>
        <v>146</v>
      </c>
      <c r="D3">
        <f>COUNTIFS(Kickstarter!$R:$R,"plays",Kickstarter!$F:$F,"canceled",Kickstarter!$D:$D,"&gt;999",Kickstarter!$D:$D,"&lt;5000")</f>
        <v>0</v>
      </c>
      <c r="E3">
        <f t="shared" ref="E3:E13" si="0">SUM(B3:D3)</f>
        <v>534</v>
      </c>
      <c r="F3" s="19">
        <f>COUNTIFS(Kickstarter!$R:$R,"plays",Kickstarter!$F:$F,"successful",Kickstarter!$D:$D,"&gt;999",Kickstarter!$D:$D,"&lt;5000")/E3</f>
        <v>0.72659176029962547</v>
      </c>
      <c r="G3" s="19">
        <f>COUNTIFS(Kickstarter!$R:$R,"plays",Kickstarter!$F:$F,"failed",Kickstarter!$D:$D,"&gt;999",Kickstarter!$D:$D,"&lt;5000")/E3</f>
        <v>0.27340823970037453</v>
      </c>
      <c r="H3" s="19">
        <f>COUNTIFS(Kickstarter!$R:$R,"plays",Kickstarter!$F:$F,"canceled",Kickstarter!$D:$D,"&gt;999",Kickstarter!$D:$D,"&lt;5000")/E3</f>
        <v>0</v>
      </c>
    </row>
    <row r="4" spans="1:8" x14ac:dyDescent="0.25">
      <c r="A4" t="s">
        <v>8408</v>
      </c>
      <c r="B4">
        <f>COUNTIFS(Kickstarter!$R:$R,"plays",Kickstarter!$F:$F,"successful",Kickstarter!$D:$D,"&gt;4999",Kickstarter!$D:$D,"&lt;10000")</f>
        <v>93</v>
      </c>
      <c r="C4">
        <f>COUNTIFS(Kickstarter!$R:$R,"plays",Kickstarter!$F:$F,"failed",Kickstarter!$D:$D,"&gt;4999",Kickstarter!$D:$D,"&lt;10000")</f>
        <v>76</v>
      </c>
      <c r="D4">
        <f>COUNTIFS(Kickstarter!$R:$R,"plays",Kickstarter!$F:$F,"canceled",Kickstarter!$D:$D,"&gt;4999",Kickstarter!$D:$D,"&lt;10000")</f>
        <v>0</v>
      </c>
      <c r="E4">
        <f t="shared" si="0"/>
        <v>169</v>
      </c>
      <c r="F4" s="19">
        <f>COUNTIFS(Kickstarter!$R:$R,"plays",Kickstarter!$F:$F,"successful",Kickstarter!$D:$D,"&gt;4999",Kickstarter!$D:$D,"&lt;10000")/E4</f>
        <v>0.55029585798816572</v>
      </c>
      <c r="G4" s="19">
        <f>COUNTIFS(Kickstarter!$R:$R,"plays",Kickstarter!$F:$F,"failed",Kickstarter!$D:$D,"&gt;4999",Kickstarter!$D:$D,"&lt;10000")/E4</f>
        <v>0.44970414201183434</v>
      </c>
      <c r="H4" s="19">
        <f>COUNTIFS(Kickstarter!$R:$R,"plays",Kickstarter!$F:$F,"canceled",Kickstarter!$D:$D,"&gt;4999",Kickstarter!$D:$D,"&lt;10000")/E4</f>
        <v>0</v>
      </c>
    </row>
    <row r="5" spans="1:8" x14ac:dyDescent="0.25">
      <c r="A5" t="s">
        <v>8409</v>
      </c>
      <c r="B5">
        <f>COUNTIFS(Kickstarter!$R:$R,"plays",Kickstarter!$F:$F,"successful",Kickstarter!$D:$D,"&gt;9999",Kickstarter!$D:$D,"&lt;15000")</f>
        <v>39</v>
      </c>
      <c r="C5">
        <f>COUNTIFS(Kickstarter!$R:$R,"plays",Kickstarter!$F:$F,"failed",Kickstarter!$D:$D,"&gt;9999",Kickstarter!$D:$D,"&lt;15000")</f>
        <v>33</v>
      </c>
      <c r="D5">
        <f>COUNTIFS(Kickstarter!$R:$R,"plays",Kickstarter!$F:$F,"canceled",Kickstarter!$D:$D,"&gt;9999",Kickstarter!$D:$D,"&lt;15000")</f>
        <v>0</v>
      </c>
      <c r="E5">
        <f t="shared" si="0"/>
        <v>72</v>
      </c>
      <c r="F5" s="19">
        <f>COUNTIFS(Kickstarter!$R:$R,"plays",Kickstarter!$F:$F,"successful",Kickstarter!$D:$D,"&gt;9999",Kickstarter!$D:$D,"&lt;15000")/E5</f>
        <v>0.54166666666666663</v>
      </c>
      <c r="G5" s="19">
        <f>COUNTIFS(Kickstarter!$R:$R,"plays",Kickstarter!$F:$F,"failed",Kickstarter!$D:$D,"&gt;9999",Kickstarter!$D:$D,"&lt;15000")/E5</f>
        <v>0.45833333333333331</v>
      </c>
      <c r="H5" s="19">
        <f>COUNTIFS(Kickstarter!$R:$R,"plays",Kickstarter!$F:$F,"canceled",Kickstarter!$D:$D,"&gt;9999",Kickstarter!$D:$D,"&lt;15000")/E5</f>
        <v>0</v>
      </c>
    </row>
    <row r="6" spans="1:8" x14ac:dyDescent="0.25">
      <c r="A6" t="s">
        <v>8410</v>
      </c>
      <c r="B6">
        <f>COUNTIFS(Kickstarter!$R:$R,"plays",Kickstarter!$F:$F,"successful",Kickstarter!$D:$D,"&gt;14999",Kickstarter!$D:$D,"&lt;20000")</f>
        <v>12</v>
      </c>
      <c r="C6">
        <f>COUNTIFS(Kickstarter!$R:$R,"plays",Kickstarter!$F:$F,"failed",Kickstarter!$D:$D,"&gt;14999",Kickstarter!$D:$D,"&lt;20000")</f>
        <v>12</v>
      </c>
      <c r="D6">
        <f>COUNTIFS(Kickstarter!$R:$R,"plays",Kickstarter!$F:$F,"canceled",Kickstarter!$D:$D,"&gt;14999",Kickstarter!$D:$D,"&lt;20000")</f>
        <v>0</v>
      </c>
      <c r="E6">
        <f t="shared" si="0"/>
        <v>24</v>
      </c>
      <c r="F6" s="19">
        <f>COUNTIFS(Kickstarter!$R:$R,"plays",Kickstarter!$F:$F,"successful",Kickstarter!$D:$D,"&gt;14999",Kickstarter!$D:$D,"&lt;20000")/E6</f>
        <v>0.5</v>
      </c>
      <c r="G6" s="19">
        <f>COUNTIFS(Kickstarter!$R:$R,"plays",Kickstarter!$F:$F,"failed",Kickstarter!$D:$D,"&gt;14999",Kickstarter!$D:$D,"&lt;20000")/E6</f>
        <v>0.5</v>
      </c>
      <c r="H6" s="19">
        <f>COUNTIFS(Kickstarter!$R:$R,"plays",Kickstarter!$F:$F,"canceled",Kickstarter!$D:$D,"&gt;14999",Kickstarter!$D:$D,"&lt;20000")/E6</f>
        <v>0</v>
      </c>
    </row>
    <row r="7" spans="1:8" x14ac:dyDescent="0.25">
      <c r="A7" t="s">
        <v>8411</v>
      </c>
      <c r="B7">
        <f>COUNTIFS(Kickstarter!$R:$R,"plays",Kickstarter!$F:$F,"successful",Kickstarter!$D:$D,"&gt;19999",Kickstarter!$D:$D,"&lt;25000")</f>
        <v>9</v>
      </c>
      <c r="C7">
        <f>COUNTIFS(Kickstarter!$R:$R,"plays",Kickstarter!$F:$F,"failed",Kickstarter!$D:$D,"&gt;19999",Kickstarter!$D:$D,"&lt;25000")</f>
        <v>11</v>
      </c>
      <c r="D7">
        <f>COUNTIFS(Kickstarter!$R:$R,"plays",Kickstarter!$F:$F,"canceled",Kickstarter!$D:$D,"&gt;19999",Kickstarter!$D:$D,"&lt;25000")</f>
        <v>0</v>
      </c>
      <c r="E7">
        <f t="shared" si="0"/>
        <v>20</v>
      </c>
      <c r="F7" s="19">
        <f>COUNTIFS(Kickstarter!$R:$R,"plays",Kickstarter!$F:$F,"successful",Kickstarter!$D:$D,"&gt;19999",Kickstarter!$D:$D,"&lt;25000")/E7</f>
        <v>0.45</v>
      </c>
      <c r="G7" s="19">
        <f>COUNTIFS(Kickstarter!$R:$R,"plays",Kickstarter!$F:$F,"failed",Kickstarter!$D:$D,"&gt;19999",Kickstarter!$D:$D,"&lt;25000")/E7</f>
        <v>0.55000000000000004</v>
      </c>
      <c r="H7" s="19">
        <f>COUNTIFS(Kickstarter!$R:$R,"plays",Kickstarter!$F:$F,"canceled",Kickstarter!$D:$D,"&gt;19999",Kickstarter!$D:$D,"&lt;25000")/E7</f>
        <v>0</v>
      </c>
    </row>
    <row r="8" spans="1:8" x14ac:dyDescent="0.25">
      <c r="A8" t="s">
        <v>8412</v>
      </c>
      <c r="B8">
        <f>COUNTIFS(Kickstarter!$R:$R,"plays",Kickstarter!$F:$F,"successful",Kickstarter!$D:$D,"&gt;24999",Kickstarter!$D:$D,"&lt;30000")</f>
        <v>1</v>
      </c>
      <c r="C8">
        <f>COUNTIFS(Kickstarter!$R:$R,"plays",Kickstarter!$F:$F,"failed",Kickstarter!$D:$D,"&gt;24999",Kickstarter!$D:$D,"&lt;30000")</f>
        <v>4</v>
      </c>
      <c r="D8">
        <f>COUNTIFS(Kickstarter!$R:$R,"plays",Kickstarter!$F:$F,"canceled",Kickstarter!$D:$D,"&gt;24999",Kickstarter!$D:$D,"&lt;30000")</f>
        <v>0</v>
      </c>
      <c r="E8">
        <f t="shared" si="0"/>
        <v>5</v>
      </c>
      <c r="F8" s="19">
        <f>COUNTIFS(Kickstarter!$R:$R,"plays",Kickstarter!$F:$F,"successful",Kickstarter!$D:$D,"&gt;24999",Kickstarter!$D:$D,"&lt;30000")/E8</f>
        <v>0.2</v>
      </c>
      <c r="G8" s="19">
        <f>COUNTIFS(Kickstarter!$R:$R,"plays",Kickstarter!$F:$F,"failed",Kickstarter!$D:$D,"&gt;24999",Kickstarter!$D:$D,"&lt;30000")/E8</f>
        <v>0.8</v>
      </c>
      <c r="H8" s="19">
        <f>COUNTIFS(Kickstarter!$R:$R,"plays",Kickstarter!$F:$F,"canceled",Kickstarter!$D:$D,"&gt;24999",Kickstarter!$D:$D,"&lt;30000")/E8</f>
        <v>0</v>
      </c>
    </row>
    <row r="9" spans="1:8" x14ac:dyDescent="0.25">
      <c r="A9" t="s">
        <v>8413</v>
      </c>
      <c r="B9">
        <f>COUNTIFS(Kickstarter!$R:$R,"plays",Kickstarter!$F:$F,"successful",Kickstarter!$D:$D,"&gt;29999",Kickstarter!$D:$D,"&lt;35000")</f>
        <v>3</v>
      </c>
      <c r="C9">
        <f>COUNTIFS(Kickstarter!$R:$R,"plays",Kickstarter!$F:$F,"failed",Kickstarter!$D:$D,"&gt;29999",Kickstarter!$D:$D,"&lt;35000")</f>
        <v>8</v>
      </c>
      <c r="D9">
        <f>COUNTIFS(Kickstarter!$R:$R,"plays",Kickstarter!$F:$F,"canceled",Kickstarter!$D:$D,"&gt;29999",Kickstarter!$D:$D,"&lt;35000")</f>
        <v>0</v>
      </c>
      <c r="E9">
        <f t="shared" si="0"/>
        <v>11</v>
      </c>
      <c r="F9" s="19">
        <f>COUNTIFS(Kickstarter!$R:$R,"plays",Kickstarter!$F:$F,"successful",Kickstarter!$D:$D,"&gt;29999",Kickstarter!$D:$D,"&lt;35000")/E9</f>
        <v>0.27272727272727271</v>
      </c>
      <c r="G9" s="19">
        <f>COUNTIFS(Kickstarter!$R:$R,"plays",Kickstarter!$F:$F,"failed",Kickstarter!$D:$D,"&gt;29999",Kickstarter!$D:$D,"&lt;35000")/E9</f>
        <v>0.72727272727272729</v>
      </c>
      <c r="H9" s="19">
        <f>COUNTIFS(Kickstarter!$R:$R,"plays",Kickstarter!$F:$F,"canceled",Kickstarter!$D:$D,"&gt;29999",Kickstarter!$D:$D,"&lt;35000")/E9</f>
        <v>0</v>
      </c>
    </row>
    <row r="10" spans="1:8" x14ac:dyDescent="0.25">
      <c r="A10" t="s">
        <v>8414</v>
      </c>
      <c r="B10">
        <f>COUNTIFS(Kickstarter!$R:$R,"plays",Kickstarter!$F:$F,"successful",Kickstarter!$D:$D,"&gt;34999",Kickstarter!$D:$D,"&lt;40000")</f>
        <v>4</v>
      </c>
      <c r="C10">
        <f>COUNTIFS(Kickstarter!$R:$R,"plays",Kickstarter!$F:$F,"failed",Kickstarter!$D:$D,"&gt;34999",Kickstarter!$D:$D,"&lt;40000")</f>
        <v>2</v>
      </c>
      <c r="D10">
        <f>COUNTIFS(Kickstarter!$R:$R,"plays",Kickstarter!$F:$F,"canceled",Kickstarter!$D:$D,"&gt;34999",Kickstarter!$D:$D,"&lt;40000")</f>
        <v>0</v>
      </c>
      <c r="E10">
        <f t="shared" si="0"/>
        <v>6</v>
      </c>
      <c r="F10" s="19">
        <f>COUNTIFS(Kickstarter!$R:$R,"plays",Kickstarter!$F:$F,"successful",Kickstarter!$D:$D,"&gt;34999",Kickstarter!$D:$D,"&lt;40000")/E10</f>
        <v>0.66666666666666663</v>
      </c>
      <c r="G10" s="19">
        <f>COUNTIFS(Kickstarter!$R:$R,"plays",Kickstarter!$F:$F,"failed",Kickstarter!$D:$D,"&gt;34999",Kickstarter!$D:$D,"&lt;40000")/E10</f>
        <v>0.33333333333333331</v>
      </c>
      <c r="H10" s="19">
        <f>COUNTIFS(Kickstarter!$R:$R,"plays",Kickstarter!$F:$F,"canceled",Kickstarter!$D:$D,"&gt;34999",Kickstarter!$D:$D,"&lt;40000")/E10</f>
        <v>0</v>
      </c>
    </row>
    <row r="11" spans="1:8" x14ac:dyDescent="0.25">
      <c r="A11" t="s">
        <v>8415</v>
      </c>
      <c r="B11">
        <f>COUNTIFS(Kickstarter!$R:$R,"plays",Kickstarter!$F:$F,"successful",Kickstarter!$D:$D,"&gt;39999",Kickstarter!$D:$D,"&lt;45000")</f>
        <v>2</v>
      </c>
      <c r="C11">
        <f>COUNTIFS(Kickstarter!$R:$R,"plays",Kickstarter!$F:$F,"failed",Kickstarter!$D:$D,"&gt;39999",Kickstarter!$D:$D,"&lt;45000")</f>
        <v>1</v>
      </c>
      <c r="D11">
        <f>COUNTIFS(Kickstarter!$R:$R,"plays",Kickstarter!$F:$F,"canceled",Kickstarter!$D:$D,"&gt;39999",Kickstarter!$D:$D,"&lt;45000")</f>
        <v>0</v>
      </c>
      <c r="E11">
        <f t="shared" si="0"/>
        <v>3</v>
      </c>
      <c r="F11" s="19">
        <f>COUNTIFS(Kickstarter!$R:$R,"plays",Kickstarter!$F:$F,"successful",Kickstarter!$D:$D,"&gt;39999",Kickstarter!$D:$D,"&lt;45000")/E11</f>
        <v>0.66666666666666663</v>
      </c>
      <c r="G11" s="19">
        <f>COUNTIFS(Kickstarter!$R:$R,"plays",Kickstarter!$F:$F,"failed",Kickstarter!$D:$D,"&gt;39999",Kickstarter!$D:$D,"&lt;45000")/E11</f>
        <v>0.33333333333333331</v>
      </c>
      <c r="H11" s="19">
        <f>COUNTIFS(Kickstarter!$R:$R,"plays",Kickstarter!$F:$F,"canceled",Kickstarter!$D:$D,"&gt;39999",Kickstarter!$D:$D,"&lt;45000")/E11</f>
        <v>0</v>
      </c>
    </row>
    <row r="12" spans="1:8" x14ac:dyDescent="0.25">
      <c r="A12" t="s">
        <v>8417</v>
      </c>
      <c r="B12">
        <f>COUNTIFS(Kickstarter!$R:$R,"plays",Kickstarter!$F:$F,"successful",Kickstarter!$D:$D,"&gt;44999",Kickstarter!$D:$D,"50000")</f>
        <v>0</v>
      </c>
      <c r="C12">
        <f>COUNTIFS(Kickstarter!$R:$R,"plays",Kickstarter!$F:$F,"failed",Kickstarter!$D:$D,"&gt;44999",Kickstarter!$D:$D,"50000")</f>
        <v>4</v>
      </c>
      <c r="D12">
        <f>COUNTIFS(Kickstarter!$R:$R,"plays",Kickstarter!$F:$F,"canceled",Kickstarter!$D:$D,"&gt;44999",Kickstarter!$D:$D,"50000")</f>
        <v>0</v>
      </c>
      <c r="E12">
        <f t="shared" si="0"/>
        <v>4</v>
      </c>
      <c r="F12" s="19">
        <f>COUNTIFS(Kickstarter!$R:$R,"plays",Kickstarter!$F:$F,"successful",Kickstarter!$D:$D,"&gt;44999",Kickstarter!$D:$D,"50000")/E12</f>
        <v>0</v>
      </c>
      <c r="G12" s="19">
        <f>COUNTIFS(Kickstarter!$R:$R,"plays",Kickstarter!$F:$F,"failed",Kickstarter!$D:$D,"&gt;44999",Kickstarter!$D:$D,"50000")/E12</f>
        <v>1</v>
      </c>
      <c r="H12" s="19">
        <f>COUNTIFS(Kickstarter!$R:$R,"plays",Kickstarter!$F:$F,"canceled",Kickstarter!$D:$D,"&gt;44999",Kickstarter!$D:$D,"50000")/E12</f>
        <v>0</v>
      </c>
    </row>
    <row r="13" spans="1:8" x14ac:dyDescent="0.25">
      <c r="A13" t="s">
        <v>8416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0"/>
        <v>12</v>
      </c>
      <c r="F13" s="19">
        <f>COUNTIFS(Kickstarter!$R:$R,"plays",Kickstarter!$F:$F,"successful",Kickstarter!$D:$D,"&gt;50000")/E13</f>
        <v>0.16666666666666666</v>
      </c>
      <c r="G13" s="19">
        <f>COUNTIFS(Kickstarter!$R:$R,"plays",Kickstarter!$F:$F,"failed",Kickstarter!$D:$D,"&gt;50000")/E13</f>
        <v>0.83333333333333337</v>
      </c>
      <c r="H13" s="19">
        <f>COUNTIFS(Kickstarter!$R:$R,"plays",Kickstarter!$F:$F,"canceled",Kickstarter!$D:$D,"&gt;50000")/E13</f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E1EE-5B4B-4CFB-BA36-B6DFED23D02D}">
  <dimension ref="A1:E18"/>
  <sheetViews>
    <sheetView workbookViewId="0">
      <selection activeCell="A5" sqref="A5:E17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4" bestFit="1" customWidth="1"/>
    <col min="10" max="10" width="18" bestFit="1" customWidth="1"/>
    <col min="11" max="11" width="14" bestFit="1" customWidth="1"/>
    <col min="12" max="12" width="23" bestFit="1" customWidth="1"/>
    <col min="13" max="13" width="19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8397</v>
      </c>
      <c r="B2" t="s">
        <v>8365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2" t="s">
        <v>8374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5">
      <c r="A7" s="12" t="s">
        <v>8375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5">
      <c r="A8" s="12" t="s">
        <v>8376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5">
      <c r="A9" s="12" t="s">
        <v>8377</v>
      </c>
      <c r="B9" s="13">
        <v>62</v>
      </c>
      <c r="C9" s="13">
        <v>35</v>
      </c>
      <c r="D9" s="13"/>
      <c r="E9" s="13">
        <v>97</v>
      </c>
    </row>
    <row r="10" spans="1:5" x14ac:dyDescent="0.25">
      <c r="A10" s="12" t="s">
        <v>8368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5">
      <c r="A11" s="12" t="s">
        <v>8378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5">
      <c r="A12" s="12" t="s">
        <v>8369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5">
      <c r="A13" s="12" t="s">
        <v>8370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5">
      <c r="A14" s="12" t="s">
        <v>8371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5">
      <c r="A15" s="12" t="s">
        <v>8372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5">
      <c r="A16" s="12" t="s">
        <v>8373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5">
      <c r="A17" s="12" t="s">
        <v>8379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5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5" zoomScaleNormal="85" workbookViewId="0">
      <pane xSplit="2" ySplit="1" topLeftCell="C2" activePane="bottomRight" state="frozenSplit"/>
      <selection pane="topRight" activeCell="C1" sqref="C1"/>
      <selection pane="bottomLeft" activeCell="A2" sqref="A2"/>
      <selection pane="bottomRight" activeCell="D4" sqref="D4"/>
    </sheetView>
    <sheetView workbookViewId="1"/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8" bestFit="1" customWidth="1"/>
    <col min="19" max="19" width="26" style="16" bestFit="1" customWidth="1"/>
    <col min="20" max="20" width="2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8366</v>
      </c>
      <c r="T1" t="s">
        <v>8367</v>
      </c>
      <c r="U1" t="s">
        <v>8397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3A10-713C-4177-A983-580B1CE86D00}">
  <dimension ref="A1:F6"/>
  <sheetViews>
    <sheetView workbookViewId="0">
      <selection activeCell="E3" sqref="E3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797-E5B4-441B-9B74-2C6A7429167D}">
  <dimension ref="A3:G18"/>
  <sheetViews>
    <sheetView workbookViewId="0">
      <selection activeCell="A3" sqref="A3"/>
    </sheetView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1" t="s">
        <v>8364</v>
      </c>
      <c r="B3" s="11" t="s">
        <v>8363</v>
      </c>
    </row>
    <row r="4" spans="1:7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12" t="s">
        <v>8361</v>
      </c>
      <c r="B5" s="13"/>
      <c r="C5" s="13"/>
      <c r="D5" s="13"/>
      <c r="E5" s="13"/>
      <c r="F5" s="13"/>
      <c r="G5" s="13"/>
    </row>
    <row r="6" spans="1:7" x14ac:dyDescent="0.25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25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25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25">
      <c r="A9" s="12" t="s">
        <v>8377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25">
      <c r="A10" s="12" t="s">
        <v>8368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25">
      <c r="A11" s="12" t="s">
        <v>8378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25">
      <c r="A12" s="12" t="s">
        <v>8369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25">
      <c r="A13" s="12" t="s">
        <v>8370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25">
      <c r="A14" s="12" t="s">
        <v>8371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25">
      <c r="A15" s="12" t="s">
        <v>8372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25">
      <c r="A16" s="12" t="s">
        <v>8373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25">
      <c r="A17" s="12" t="s">
        <v>8379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25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25EAD-BEA8-4EBB-A689-8673FD015ACD}">
  <dimension ref="A1:T251"/>
  <sheetViews>
    <sheetView workbookViewId="0">
      <selection activeCell="H10" sqref="H10"/>
    </sheetView>
    <sheetView workbookViewId="1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1CB3C-72FA-4D63-AE64-5CC2792E0A63}">
  <dimension ref="A1:T413"/>
  <sheetViews>
    <sheetView workbookViewId="0">
      <selection activeCell="I12" sqref="I12"/>
    </sheetView>
    <sheetView workbookViewId="1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CFE90-9229-4FE4-9662-1B371732B7EF}">
  <dimension ref="A1:C32"/>
  <sheetViews>
    <sheetView workbookViewId="0">
      <selection activeCell="B7" sqref="B7"/>
    </sheetView>
    <sheetView workbookViewId="1"/>
  </sheetViews>
  <sheetFormatPr defaultRowHeight="15" x14ac:dyDescent="0.25"/>
  <cols>
    <col min="1" max="1" width="28.42578125" bestFit="1" customWidth="1"/>
    <col min="2" max="2" width="10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C4-C5</f>
        <v>11967.731061515115</v>
      </c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  <row r="17" spans="1:3" x14ac:dyDescent="0.25">
      <c r="A17" s="18"/>
      <c r="B17" s="18"/>
      <c r="C17" s="18"/>
    </row>
    <row r="19" spans="1:3" x14ac:dyDescent="0.25">
      <c r="B19" s="17"/>
      <c r="C19" s="17"/>
    </row>
    <row r="20" spans="1:3" x14ac:dyDescent="0.25">
      <c r="B20" s="17"/>
      <c r="C20" s="17"/>
    </row>
    <row r="22" spans="1:3" x14ac:dyDescent="0.25">
      <c r="B22" s="17"/>
      <c r="C22" s="17"/>
    </row>
    <row r="23" spans="1:3" x14ac:dyDescent="0.25">
      <c r="B23" s="17"/>
      <c r="C23" s="17"/>
    </row>
    <row r="26" spans="1:3" x14ac:dyDescent="0.25">
      <c r="A26" s="18"/>
      <c r="B26" s="18"/>
      <c r="C26" s="18"/>
    </row>
    <row r="28" spans="1:3" x14ac:dyDescent="0.25">
      <c r="B28" s="17"/>
    </row>
    <row r="29" spans="1:3" x14ac:dyDescent="0.25">
      <c r="B29" s="17"/>
    </row>
    <row r="31" spans="1:3" x14ac:dyDescent="0.25">
      <c r="B31" s="17"/>
    </row>
    <row r="32" spans="1:3" x14ac:dyDescent="0.25">
      <c r="B32" s="1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D85E-01B9-4374-92E3-0DE8ED154EE3}">
  <dimension ref="A1:E7"/>
  <sheetViews>
    <sheetView workbookViewId="0"/>
    <sheetView workbookViewId="1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8365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04D8-B19B-4BE1-9F7F-97634949EBFE}">
  <dimension ref="A1:D6"/>
  <sheetViews>
    <sheetView workbookViewId="0">
      <selection activeCell="B16" sqref="B16"/>
    </sheetView>
    <sheetView workbookViewId="1"/>
  </sheetViews>
  <sheetFormatPr defaultRowHeight="15" x14ac:dyDescent="0.25"/>
  <cols>
    <col min="1" max="1" width="33.5703125" bestFit="1" customWidth="1"/>
    <col min="2" max="2" width="49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3</vt:i4>
      </vt:variant>
    </vt:vector>
  </HeadingPairs>
  <TitlesOfParts>
    <vt:vector size="13" baseType="lpstr">
      <vt:lpstr>Outcomes Based on Goals</vt:lpstr>
      <vt:lpstr>Theater Outcomes by Launch Date</vt:lpstr>
      <vt:lpstr>Kickstarter</vt:lpstr>
      <vt:lpstr>Category Statistics</vt:lpstr>
      <vt:lpstr>Outcomes Based on Launch Date</vt:lpstr>
      <vt:lpstr>Failed US Kickstarters</vt:lpstr>
      <vt:lpstr>Successful US Kickstarters</vt:lpstr>
      <vt:lpstr>Descriptive Statistics</vt:lpstr>
      <vt:lpstr>Subcategory Statistics</vt:lpstr>
      <vt:lpstr>Vlookup</vt:lpstr>
      <vt:lpstr>Theater Outcomes Chart</vt:lpstr>
      <vt:lpstr>Outcomes Based on Goal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Kaalrok</cp:lastModifiedBy>
  <dcterms:created xsi:type="dcterms:W3CDTF">2017-04-20T15:17:24Z</dcterms:created>
  <dcterms:modified xsi:type="dcterms:W3CDTF">2021-11-22T20:44:10Z</dcterms:modified>
</cp:coreProperties>
</file>