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anursu/Library/Mobile Documents/com~apple~CloudDocs/Hult/Data and Decisions /Foodora/"/>
    </mc:Choice>
  </mc:AlternateContent>
  <xr:revisionPtr revIDLastSave="0" documentId="13_ncr:1_{7EC07F89-C6F2-204C-B484-FF4F81A537E2}" xr6:coauthVersionLast="44" xr6:coauthVersionMax="44" xr10:uidLastSave="{00000000-0000-0000-0000-000000000000}"/>
  <bookViews>
    <workbookView xWindow="0" yWindow="460" windowWidth="38400" windowHeight="23540" firstSheet="2" activeTab="11" xr2:uid="{7FA6F97F-BF2A-6942-9C53-A64581F12D36}"/>
  </bookViews>
  <sheets>
    <sheet name="1. General Info " sheetId="1" r:id="rId1"/>
    <sheet name="2. Online Food Delivery - World" sheetId="2" r:id="rId2"/>
    <sheet name="3. Restaurant Consumer Data" sheetId="3" r:id="rId3"/>
    <sheet name="4. Main Reason to Order Online " sheetId="4" r:id="rId4"/>
    <sheet name="5. Number of Smartphone Users " sheetId="11" r:id="rId5"/>
    <sheet name="6. Employment Rate " sheetId="5" r:id="rId6"/>
    <sheet name="7. Education Rate " sheetId="6" r:id="rId7"/>
    <sheet name="8. D. Hero Income Statement" sheetId="9" r:id="rId8"/>
    <sheet name="9. D. Hero Key Metrics" sheetId="10" r:id="rId9"/>
    <sheet name="10. Cost and Revenue " sheetId="12" r:id="rId10"/>
    <sheet name="11. Regression" sheetId="7" r:id="rId11"/>
    <sheet name="12. Bibliography" sheetId="13" r:id="rId12"/>
  </sheets>
  <externalReferences>
    <externalReference r:id="rId13"/>
  </externalReferences>
  <definedNames>
    <definedName name="FT_GROUP">'[1]Developing Store'!$D$20</definedName>
    <definedName name="FT_SIMPLE">'[1]Developing Store'!$D$22</definedName>
    <definedName name="FT_SIMPLE_BORDERED">'[1]Developing Store'!$D$24</definedName>
    <definedName name="FT_SUB_GROUP">'[1]Developing Store'!$D$26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2" i="12" l="1"/>
  <c r="J14" i="12"/>
  <c r="I22" i="12"/>
  <c r="J19" i="12"/>
  <c r="J20" i="12"/>
  <c r="J21" i="12"/>
  <c r="J18" i="12"/>
  <c r="I14" i="12"/>
  <c r="J9" i="12"/>
  <c r="J10" i="12"/>
  <c r="J11" i="12"/>
  <c r="J12" i="12"/>
  <c r="J13" i="12"/>
  <c r="J8" i="12"/>
  <c r="AY14" i="7" l="1"/>
  <c r="AY13" i="7"/>
  <c r="AY12" i="7"/>
  <c r="AY11" i="7"/>
  <c r="AY10" i="7"/>
  <c r="AY9" i="7"/>
  <c r="AY8" i="7"/>
  <c r="AY7" i="7"/>
  <c r="AW15" i="7"/>
  <c r="AX17" i="7"/>
  <c r="AW16" i="7"/>
  <c r="AX15" i="7"/>
  <c r="AW17" i="7"/>
  <c r="AX16" i="7"/>
  <c r="AY17" i="7" l="1"/>
  <c r="AY16" i="7"/>
  <c r="AY15" i="7"/>
  <c r="N10" i="2"/>
  <c r="N11" i="2"/>
  <c r="N12" i="2"/>
  <c r="N13" i="2"/>
  <c r="N14" i="2"/>
  <c r="N15" i="2"/>
  <c r="N9" i="2"/>
  <c r="L13" i="11"/>
  <c r="L15" i="11"/>
  <c r="L16" i="11"/>
  <c r="L17" i="11"/>
  <c r="L14" i="11"/>
  <c r="L12" i="11"/>
  <c r="L34" i="2"/>
  <c r="L35" i="2"/>
  <c r="L36" i="2"/>
  <c r="L37" i="2"/>
  <c r="L33" i="2"/>
  <c r="C10" i="10" l="1"/>
  <c r="C11" i="10"/>
  <c r="D11" i="10"/>
  <c r="E11" i="10"/>
  <c r="F11" i="10"/>
  <c r="G11" i="10"/>
  <c r="H11" i="10"/>
  <c r="I11" i="10"/>
  <c r="J11" i="10"/>
  <c r="K11" i="10"/>
  <c r="C12" i="10"/>
  <c r="D12" i="10"/>
  <c r="E12" i="10"/>
  <c r="F12" i="10"/>
  <c r="G12" i="10"/>
  <c r="H12" i="10"/>
  <c r="I12" i="10"/>
  <c r="J12" i="10"/>
  <c r="K12" i="10"/>
  <c r="C13" i="10"/>
  <c r="D13" i="10"/>
  <c r="E13" i="10"/>
  <c r="F13" i="10"/>
  <c r="G13" i="10"/>
  <c r="H13" i="10"/>
  <c r="I13" i="10"/>
  <c r="J13" i="10"/>
  <c r="K13" i="10"/>
  <c r="C14" i="10"/>
  <c r="D14" i="10"/>
  <c r="E14" i="10"/>
  <c r="F14" i="10"/>
  <c r="G14" i="10"/>
  <c r="H14" i="10"/>
  <c r="I14" i="10"/>
  <c r="J14" i="10"/>
  <c r="K14" i="10"/>
  <c r="C15" i="10"/>
  <c r="D15" i="10"/>
  <c r="E15" i="10"/>
  <c r="F15" i="10"/>
  <c r="G15" i="10"/>
  <c r="H15" i="10"/>
  <c r="I15" i="10"/>
  <c r="J15" i="10"/>
  <c r="K15" i="10"/>
  <c r="C16" i="10"/>
  <c r="D16" i="10"/>
  <c r="E16" i="10"/>
  <c r="F16" i="10"/>
  <c r="G16" i="10"/>
  <c r="H16" i="10"/>
  <c r="I16" i="10"/>
  <c r="J16" i="10"/>
  <c r="K16" i="10"/>
  <c r="C17" i="10"/>
  <c r="D17" i="10"/>
  <c r="E17" i="10"/>
  <c r="F17" i="10"/>
  <c r="G17" i="10"/>
  <c r="H17" i="10"/>
  <c r="I17" i="10"/>
  <c r="J17" i="10"/>
  <c r="K17" i="10"/>
  <c r="C18" i="10"/>
  <c r="D18" i="10"/>
  <c r="E18" i="10"/>
  <c r="F18" i="10"/>
  <c r="G18" i="10"/>
  <c r="H18" i="10"/>
  <c r="I18" i="10"/>
  <c r="J18" i="10"/>
  <c r="K18" i="10"/>
  <c r="C19" i="10"/>
  <c r="D19" i="10"/>
  <c r="E19" i="10"/>
  <c r="F19" i="10"/>
  <c r="G19" i="10"/>
  <c r="H19" i="10"/>
  <c r="I19" i="10"/>
  <c r="J19" i="10"/>
  <c r="K19" i="10"/>
  <c r="C20" i="10"/>
  <c r="D20" i="10"/>
  <c r="E20" i="10"/>
  <c r="F20" i="10"/>
  <c r="G20" i="10"/>
  <c r="H20" i="10"/>
  <c r="I20" i="10"/>
  <c r="J20" i="10"/>
  <c r="K20" i="10"/>
  <c r="C21" i="10"/>
  <c r="D21" i="10"/>
  <c r="E21" i="10"/>
  <c r="F21" i="10"/>
  <c r="G21" i="10"/>
  <c r="H21" i="10"/>
  <c r="I21" i="10"/>
  <c r="J21" i="10"/>
  <c r="K21" i="10"/>
  <c r="C22" i="10"/>
  <c r="C23" i="10"/>
  <c r="D23" i="10"/>
  <c r="E23" i="10"/>
  <c r="F23" i="10"/>
  <c r="G23" i="10"/>
  <c r="H23" i="10"/>
  <c r="I23" i="10"/>
  <c r="J23" i="10"/>
  <c r="K23" i="10"/>
  <c r="C24" i="10"/>
  <c r="D24" i="10"/>
  <c r="E24" i="10"/>
  <c r="F24" i="10"/>
  <c r="G24" i="10"/>
  <c r="H24" i="10"/>
  <c r="I24" i="10"/>
  <c r="J24" i="10"/>
  <c r="K24" i="10"/>
  <c r="C25" i="10"/>
  <c r="D25" i="10"/>
  <c r="E25" i="10"/>
  <c r="F25" i="10"/>
  <c r="G25" i="10"/>
  <c r="H25" i="10"/>
  <c r="I25" i="10"/>
  <c r="J25" i="10"/>
  <c r="K25" i="10"/>
  <c r="C26" i="10"/>
  <c r="D26" i="10"/>
  <c r="E26" i="10"/>
  <c r="F26" i="10"/>
  <c r="G26" i="10"/>
  <c r="H26" i="10"/>
  <c r="I26" i="10"/>
  <c r="J26" i="10"/>
  <c r="K26" i="10"/>
  <c r="C27" i="10"/>
  <c r="D27" i="10"/>
  <c r="E27" i="10"/>
  <c r="F27" i="10"/>
  <c r="G27" i="10"/>
  <c r="H27" i="10"/>
  <c r="I27" i="10"/>
  <c r="J27" i="10"/>
  <c r="K27" i="10"/>
  <c r="C28" i="10"/>
  <c r="D28" i="10"/>
  <c r="E28" i="10"/>
  <c r="F28" i="10"/>
  <c r="G28" i="10"/>
  <c r="H28" i="10"/>
  <c r="I28" i="10"/>
  <c r="J28" i="10"/>
  <c r="K28" i="10"/>
  <c r="C29" i="10"/>
  <c r="D29" i="10"/>
  <c r="E29" i="10"/>
  <c r="F29" i="10"/>
  <c r="G29" i="10"/>
  <c r="H29" i="10"/>
  <c r="I29" i="10"/>
  <c r="J29" i="10"/>
  <c r="K29" i="10"/>
  <c r="C30" i="10"/>
  <c r="D30" i="10"/>
  <c r="E30" i="10"/>
  <c r="F30" i="10"/>
  <c r="G30" i="10"/>
  <c r="H30" i="10"/>
  <c r="I30" i="10"/>
  <c r="J30" i="10"/>
  <c r="K30" i="10"/>
  <c r="C31" i="10"/>
  <c r="D31" i="10"/>
  <c r="E31" i="10"/>
  <c r="F31" i="10"/>
  <c r="G31" i="10"/>
  <c r="H31" i="10"/>
  <c r="I31" i="10"/>
  <c r="J31" i="10"/>
  <c r="K31" i="10"/>
  <c r="C32" i="10"/>
  <c r="D32" i="10"/>
  <c r="E32" i="10"/>
  <c r="F32" i="10"/>
  <c r="G32" i="10"/>
  <c r="H32" i="10"/>
  <c r="I32" i="10"/>
  <c r="J32" i="10"/>
  <c r="K32" i="10"/>
  <c r="C33" i="10"/>
  <c r="D33" i="10"/>
  <c r="E33" i="10"/>
  <c r="F33" i="10"/>
  <c r="G33" i="10"/>
  <c r="H33" i="10"/>
  <c r="I33" i="10"/>
  <c r="J33" i="10"/>
  <c r="K33" i="10"/>
  <c r="C34" i="10"/>
  <c r="D34" i="10"/>
  <c r="E34" i="10"/>
  <c r="F34" i="10"/>
  <c r="G34" i="10"/>
  <c r="H34" i="10"/>
  <c r="I34" i="10"/>
  <c r="J34" i="10"/>
  <c r="K34" i="10"/>
  <c r="C35" i="10"/>
  <c r="C36" i="10"/>
  <c r="D36" i="10"/>
  <c r="E36" i="10"/>
  <c r="F36" i="10"/>
  <c r="G36" i="10"/>
  <c r="H36" i="10"/>
  <c r="I36" i="10"/>
  <c r="J36" i="10"/>
  <c r="K36" i="10"/>
  <c r="C37" i="10"/>
  <c r="D37" i="10"/>
  <c r="E37" i="10"/>
  <c r="F37" i="10"/>
  <c r="G37" i="10"/>
  <c r="H37" i="10"/>
  <c r="I37" i="10"/>
  <c r="J37" i="10"/>
  <c r="K37" i="10"/>
  <c r="C38" i="10"/>
  <c r="D38" i="10"/>
  <c r="E38" i="10"/>
  <c r="F38" i="10"/>
  <c r="G38" i="10"/>
  <c r="H38" i="10"/>
  <c r="I38" i="10"/>
  <c r="J38" i="10"/>
  <c r="K38" i="10"/>
  <c r="C39" i="10"/>
  <c r="D39" i="10"/>
  <c r="E39" i="10"/>
  <c r="F39" i="10"/>
  <c r="G39" i="10"/>
  <c r="H39" i="10"/>
  <c r="I39" i="10"/>
  <c r="J39" i="10"/>
  <c r="K39" i="10"/>
  <c r="C40" i="10"/>
  <c r="D40" i="10"/>
  <c r="E40" i="10"/>
  <c r="F40" i="10"/>
  <c r="G40" i="10"/>
  <c r="H40" i="10"/>
  <c r="I40" i="10"/>
  <c r="J40" i="10"/>
  <c r="K40" i="10"/>
  <c r="C41" i="10"/>
  <c r="D41" i="10"/>
  <c r="E41" i="10"/>
  <c r="F41" i="10"/>
  <c r="G41" i="10"/>
  <c r="H41" i="10"/>
  <c r="I41" i="10"/>
  <c r="J41" i="10"/>
  <c r="K41" i="10"/>
  <c r="C42" i="10"/>
  <c r="D42" i="10"/>
  <c r="E42" i="10"/>
  <c r="F42" i="10"/>
  <c r="G42" i="10"/>
  <c r="H42" i="10"/>
  <c r="I42" i="10"/>
  <c r="J42" i="10"/>
  <c r="K42" i="10"/>
  <c r="C43" i="10"/>
  <c r="D43" i="10"/>
  <c r="E43" i="10"/>
  <c r="F43" i="10"/>
  <c r="G43" i="10"/>
  <c r="H43" i="10"/>
  <c r="I43" i="10"/>
  <c r="J43" i="10"/>
  <c r="K43" i="10"/>
  <c r="C44" i="10"/>
  <c r="C45" i="10"/>
  <c r="D45" i="10"/>
  <c r="E45" i="10"/>
  <c r="F45" i="10"/>
  <c r="G45" i="10"/>
  <c r="H45" i="10"/>
  <c r="I45" i="10"/>
  <c r="J45" i="10"/>
  <c r="K45" i="10"/>
  <c r="C46" i="10"/>
  <c r="D46" i="10"/>
  <c r="E46" i="10"/>
  <c r="F46" i="10"/>
  <c r="G46" i="10"/>
  <c r="H46" i="10"/>
  <c r="I46" i="10"/>
  <c r="J46" i="10"/>
  <c r="K46" i="10"/>
  <c r="C47" i="10"/>
  <c r="D47" i="10"/>
  <c r="E47" i="10"/>
  <c r="F47" i="10"/>
  <c r="G47" i="10"/>
  <c r="H47" i="10"/>
  <c r="I47" i="10"/>
  <c r="J47" i="10"/>
  <c r="K47" i="10"/>
  <c r="C48" i="10"/>
  <c r="D48" i="10"/>
  <c r="E48" i="10"/>
  <c r="F48" i="10"/>
  <c r="G48" i="10"/>
  <c r="H48" i="10"/>
  <c r="I48" i="10"/>
  <c r="J48" i="10"/>
  <c r="K48" i="10"/>
  <c r="C49" i="10"/>
  <c r="D49" i="10"/>
  <c r="E49" i="10"/>
  <c r="F49" i="10"/>
  <c r="G49" i="10"/>
  <c r="H49" i="10"/>
  <c r="I49" i="10"/>
  <c r="J49" i="10"/>
  <c r="K49" i="10"/>
  <c r="C50" i="10"/>
  <c r="D50" i="10"/>
  <c r="E50" i="10"/>
  <c r="F50" i="10"/>
  <c r="G50" i="10"/>
  <c r="H50" i="10"/>
  <c r="I50" i="10"/>
  <c r="J50" i="10"/>
  <c r="K50" i="10"/>
  <c r="C51" i="10"/>
  <c r="D51" i="10"/>
  <c r="E51" i="10"/>
  <c r="F51" i="10"/>
  <c r="G51" i="10"/>
  <c r="H51" i="10"/>
  <c r="I51" i="10"/>
  <c r="J51" i="10"/>
  <c r="K51" i="10"/>
  <c r="C52" i="10"/>
  <c r="D52" i="10"/>
  <c r="E52" i="10"/>
  <c r="F52" i="10"/>
  <c r="G52" i="10"/>
  <c r="H52" i="10"/>
  <c r="I52" i="10"/>
  <c r="J52" i="10"/>
  <c r="K52" i="10"/>
  <c r="C53" i="10"/>
  <c r="D53" i="10"/>
  <c r="E53" i="10"/>
  <c r="F53" i="10"/>
  <c r="G53" i="10"/>
  <c r="H53" i="10"/>
  <c r="I53" i="10"/>
  <c r="J53" i="10"/>
  <c r="K53" i="10"/>
  <c r="C54" i="10"/>
  <c r="D54" i="10"/>
  <c r="E54" i="10"/>
  <c r="F54" i="10"/>
  <c r="G54" i="10"/>
  <c r="H54" i="10"/>
  <c r="I54" i="10"/>
  <c r="J54" i="10"/>
  <c r="K54" i="10"/>
  <c r="C55" i="10"/>
  <c r="C56" i="10"/>
  <c r="D56" i="10"/>
  <c r="E56" i="10"/>
  <c r="F56" i="10"/>
  <c r="G56" i="10"/>
  <c r="H56" i="10"/>
  <c r="I56" i="10"/>
  <c r="J56" i="10"/>
  <c r="K56" i="10"/>
  <c r="C57" i="10"/>
  <c r="D57" i="10"/>
  <c r="E57" i="10"/>
  <c r="F57" i="10"/>
  <c r="G57" i="10"/>
  <c r="H57" i="10"/>
  <c r="I57" i="10"/>
  <c r="J57" i="10"/>
  <c r="K57" i="10"/>
  <c r="C58" i="10"/>
  <c r="D58" i="10"/>
  <c r="E58" i="10"/>
  <c r="F58" i="10"/>
  <c r="G58" i="10"/>
  <c r="H58" i="10"/>
  <c r="I58" i="10"/>
  <c r="J58" i="10"/>
  <c r="K58" i="10"/>
  <c r="C59" i="10"/>
  <c r="D59" i="10"/>
  <c r="E59" i="10"/>
  <c r="F59" i="10"/>
  <c r="G59" i="10"/>
  <c r="H59" i="10"/>
  <c r="I59" i="10"/>
  <c r="J59" i="10"/>
  <c r="K59" i="10"/>
  <c r="C60" i="10"/>
  <c r="D60" i="10"/>
  <c r="E60" i="10"/>
  <c r="F60" i="10"/>
  <c r="G60" i="10"/>
  <c r="H60" i="10"/>
  <c r="I60" i="10"/>
  <c r="J60" i="10"/>
  <c r="K60" i="10"/>
  <c r="C61" i="10"/>
  <c r="D61" i="10"/>
  <c r="E61" i="10"/>
  <c r="F61" i="10"/>
  <c r="G61" i="10"/>
  <c r="H61" i="10"/>
  <c r="I61" i="10"/>
  <c r="J61" i="10"/>
  <c r="K61" i="10"/>
  <c r="C62" i="10"/>
  <c r="C63" i="10"/>
  <c r="C64" i="10"/>
  <c r="C65" i="10"/>
  <c r="C66" i="10"/>
  <c r="C10" i="9"/>
  <c r="M10" i="9"/>
  <c r="N10" i="9"/>
  <c r="O10" i="9"/>
  <c r="P10" i="9"/>
  <c r="Q10" i="9"/>
  <c r="R10" i="9"/>
  <c r="S10" i="9"/>
  <c r="C11" i="9"/>
  <c r="M11" i="9"/>
  <c r="N11" i="9"/>
  <c r="O11" i="9"/>
  <c r="P11" i="9"/>
  <c r="Q11" i="9"/>
  <c r="R11" i="9"/>
  <c r="S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M16" i="9"/>
  <c r="N16" i="9"/>
  <c r="O16" i="9"/>
  <c r="P16" i="9"/>
  <c r="Q16" i="9"/>
  <c r="R16" i="9"/>
  <c r="S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M22" i="9"/>
  <c r="N22" i="9"/>
  <c r="O22" i="9"/>
  <c r="P22" i="9"/>
  <c r="Q22" i="9"/>
  <c r="R22" i="9"/>
  <c r="S22" i="9"/>
  <c r="C23" i="9"/>
  <c r="M23" i="9"/>
  <c r="N23" i="9"/>
  <c r="O23" i="9"/>
  <c r="P23" i="9"/>
  <c r="Q23" i="9"/>
  <c r="R23" i="9"/>
  <c r="S23" i="9"/>
  <c r="C24" i="9"/>
  <c r="M24" i="9"/>
  <c r="N24" i="9"/>
  <c r="O24" i="9"/>
  <c r="P24" i="9"/>
  <c r="Q24" i="9"/>
  <c r="R24" i="9"/>
  <c r="S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29" i="9"/>
  <c r="D29" i="9"/>
  <c r="E29" i="9"/>
  <c r="F29" i="9"/>
  <c r="G29" i="9"/>
  <c r="H29" i="9"/>
  <c r="I29" i="9"/>
  <c r="J29" i="9"/>
  <c r="K29" i="9"/>
  <c r="C30" i="9"/>
  <c r="D30" i="9"/>
  <c r="E30" i="9"/>
  <c r="F30" i="9"/>
  <c r="G30" i="9"/>
  <c r="H30" i="9"/>
  <c r="I30" i="9"/>
  <c r="J30" i="9"/>
  <c r="K30" i="9"/>
  <c r="C31" i="9"/>
  <c r="D31" i="9"/>
  <c r="E31" i="9"/>
  <c r="F31" i="9"/>
  <c r="G31" i="9"/>
  <c r="H31" i="9"/>
  <c r="I31" i="9"/>
  <c r="J31" i="9"/>
  <c r="K31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M34" i="9"/>
  <c r="N34" i="9"/>
  <c r="O34" i="9"/>
  <c r="P34" i="9"/>
  <c r="Q34" i="9"/>
  <c r="R34" i="9"/>
  <c r="S34" i="9"/>
  <c r="C35" i="9"/>
  <c r="M35" i="9"/>
  <c r="N35" i="9"/>
  <c r="O35" i="9"/>
  <c r="P35" i="9"/>
  <c r="Q35" i="9"/>
  <c r="R35" i="9"/>
  <c r="S35" i="9"/>
  <c r="C36" i="9"/>
  <c r="D36" i="9"/>
  <c r="E36" i="9"/>
  <c r="F36" i="9"/>
  <c r="G36" i="9"/>
  <c r="H36" i="9"/>
  <c r="I36" i="9"/>
  <c r="J36" i="9"/>
  <c r="K36" i="9"/>
  <c r="C37" i="9"/>
  <c r="D37" i="9"/>
  <c r="E37" i="9"/>
  <c r="F37" i="9"/>
  <c r="G37" i="9"/>
  <c r="H37" i="9"/>
  <c r="I37" i="9"/>
  <c r="J37" i="9"/>
  <c r="K37" i="9"/>
  <c r="C38" i="9"/>
  <c r="D38" i="9"/>
  <c r="E38" i="9"/>
  <c r="F38" i="9"/>
  <c r="G38" i="9"/>
  <c r="H38" i="9"/>
  <c r="I38" i="9"/>
  <c r="J38" i="9"/>
  <c r="K38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M41" i="9"/>
  <c r="N41" i="9"/>
  <c r="O41" i="9"/>
  <c r="P41" i="9"/>
  <c r="Q41" i="9"/>
  <c r="R41" i="9"/>
  <c r="S41" i="9"/>
  <c r="C42" i="9"/>
  <c r="D42" i="9"/>
  <c r="E42" i="9"/>
  <c r="F42" i="9"/>
  <c r="G42" i="9"/>
  <c r="H42" i="9"/>
  <c r="I42" i="9"/>
  <c r="J42" i="9"/>
  <c r="K42" i="9"/>
  <c r="C43" i="9"/>
  <c r="D43" i="9"/>
  <c r="E43" i="9"/>
  <c r="F43" i="9"/>
  <c r="G43" i="9"/>
  <c r="H43" i="9"/>
  <c r="I43" i="9"/>
  <c r="J43" i="9"/>
  <c r="K43" i="9"/>
  <c r="C44" i="9"/>
  <c r="D44" i="9"/>
  <c r="E44" i="9"/>
  <c r="F44" i="9"/>
  <c r="G44" i="9"/>
  <c r="H44" i="9"/>
  <c r="I44" i="9"/>
  <c r="J44" i="9"/>
  <c r="K44" i="9"/>
  <c r="C45" i="9"/>
  <c r="M45" i="9"/>
  <c r="N45" i="9"/>
  <c r="O45" i="9"/>
  <c r="P45" i="9"/>
  <c r="Q45" i="9"/>
  <c r="R45" i="9"/>
  <c r="S45" i="9"/>
  <c r="C46" i="9"/>
  <c r="D46" i="9"/>
  <c r="E46" i="9"/>
  <c r="F46" i="9"/>
  <c r="G46" i="9"/>
  <c r="H46" i="9"/>
  <c r="I46" i="9"/>
  <c r="J46" i="9"/>
  <c r="K46" i="9"/>
  <c r="C47" i="9"/>
  <c r="D47" i="9"/>
  <c r="E47" i="9"/>
  <c r="F47" i="9"/>
  <c r="G47" i="9"/>
  <c r="H47" i="9"/>
  <c r="I47" i="9"/>
  <c r="J47" i="9"/>
  <c r="K47" i="9"/>
  <c r="C48" i="9"/>
  <c r="D48" i="9"/>
  <c r="E48" i="9"/>
  <c r="F48" i="9"/>
  <c r="G48" i="9"/>
  <c r="H48" i="9"/>
  <c r="I48" i="9"/>
  <c r="J48" i="9"/>
  <c r="K48" i="9"/>
  <c r="C49" i="9"/>
  <c r="D49" i="9"/>
  <c r="E49" i="9"/>
  <c r="F49" i="9"/>
  <c r="G49" i="9"/>
  <c r="H49" i="9"/>
  <c r="I49" i="9"/>
  <c r="J49" i="9"/>
  <c r="K49" i="9"/>
  <c r="C50" i="9"/>
  <c r="D50" i="9"/>
  <c r="E50" i="9"/>
  <c r="F50" i="9"/>
  <c r="G50" i="9"/>
  <c r="H50" i="9"/>
  <c r="I50" i="9"/>
  <c r="J50" i="9"/>
  <c r="K50" i="9"/>
  <c r="C51" i="9"/>
  <c r="M51" i="9"/>
  <c r="N51" i="9"/>
  <c r="O51" i="9"/>
  <c r="P51" i="9"/>
  <c r="Q51" i="9"/>
  <c r="R51" i="9"/>
  <c r="S51" i="9"/>
  <c r="C52" i="9"/>
  <c r="M52" i="9"/>
  <c r="N52" i="9"/>
  <c r="O52" i="9"/>
  <c r="P52" i="9"/>
  <c r="Q52" i="9"/>
  <c r="R52" i="9"/>
  <c r="S52" i="9"/>
  <c r="C53" i="9"/>
  <c r="M53" i="9"/>
  <c r="N53" i="9"/>
  <c r="O53" i="9"/>
  <c r="P53" i="9"/>
  <c r="Q53" i="9"/>
  <c r="R53" i="9"/>
  <c r="S53" i="9"/>
  <c r="C54" i="9"/>
  <c r="D54" i="9"/>
  <c r="E54" i="9"/>
  <c r="F54" i="9"/>
  <c r="G54" i="9"/>
  <c r="H54" i="9"/>
  <c r="I54" i="9"/>
  <c r="J54" i="9"/>
  <c r="K54" i="9"/>
  <c r="C55" i="9"/>
  <c r="D55" i="9"/>
  <c r="E55" i="9"/>
  <c r="F55" i="9"/>
  <c r="G55" i="9"/>
  <c r="H55" i="9"/>
  <c r="I55" i="9"/>
  <c r="J55" i="9"/>
  <c r="K55" i="9"/>
  <c r="C56" i="9"/>
  <c r="D56" i="9"/>
  <c r="E56" i="9"/>
  <c r="F56" i="9"/>
  <c r="G56" i="9"/>
  <c r="H56" i="9"/>
  <c r="I56" i="9"/>
  <c r="J56" i="9"/>
  <c r="K56" i="9"/>
  <c r="C57" i="9"/>
  <c r="M57" i="9"/>
  <c r="N57" i="9"/>
  <c r="O57" i="9"/>
  <c r="P57" i="9"/>
  <c r="Q57" i="9"/>
  <c r="R57" i="9"/>
  <c r="S57" i="9"/>
  <c r="C58" i="9"/>
  <c r="D58" i="9"/>
  <c r="E58" i="9"/>
  <c r="F58" i="9"/>
  <c r="G58" i="9"/>
  <c r="H58" i="9"/>
  <c r="I58" i="9"/>
  <c r="J58" i="9"/>
  <c r="K58" i="9"/>
  <c r="C59" i="9"/>
  <c r="D59" i="9"/>
  <c r="E59" i="9"/>
  <c r="F59" i="9"/>
  <c r="G59" i="9"/>
  <c r="H59" i="9"/>
  <c r="I59" i="9"/>
  <c r="J59" i="9"/>
  <c r="K59" i="9"/>
  <c r="C60" i="9"/>
  <c r="D60" i="9"/>
  <c r="E60" i="9"/>
  <c r="F60" i="9"/>
  <c r="G60" i="9"/>
  <c r="H60" i="9"/>
  <c r="I60" i="9"/>
  <c r="J60" i="9"/>
  <c r="K60" i="9"/>
  <c r="C61" i="9"/>
  <c r="D61" i="9"/>
  <c r="E61" i="9"/>
  <c r="F61" i="9"/>
  <c r="G61" i="9"/>
  <c r="H61" i="9"/>
  <c r="I61" i="9"/>
  <c r="J61" i="9"/>
  <c r="K61" i="9"/>
  <c r="C62" i="9"/>
  <c r="M62" i="9"/>
  <c r="N62" i="9"/>
  <c r="O62" i="9"/>
  <c r="P62" i="9"/>
  <c r="Q62" i="9"/>
  <c r="R62" i="9"/>
  <c r="S62" i="9"/>
  <c r="C63" i="9"/>
  <c r="D63" i="9"/>
  <c r="E63" i="9"/>
  <c r="F63" i="9"/>
  <c r="G63" i="9"/>
  <c r="H63" i="9"/>
  <c r="I63" i="9"/>
  <c r="J63" i="9"/>
  <c r="K63" i="9"/>
  <c r="C64" i="9"/>
  <c r="D64" i="9"/>
  <c r="E64" i="9"/>
  <c r="F64" i="9"/>
  <c r="G64" i="9"/>
  <c r="H64" i="9"/>
  <c r="I64" i="9"/>
  <c r="J64" i="9"/>
  <c r="K64" i="9"/>
  <c r="C65" i="9"/>
  <c r="M65" i="9"/>
  <c r="N65" i="9"/>
  <c r="O65" i="9"/>
  <c r="P65" i="9"/>
  <c r="Q65" i="9"/>
  <c r="R65" i="9"/>
  <c r="S65" i="9"/>
  <c r="C66" i="9"/>
  <c r="D66" i="9"/>
  <c r="E66" i="9"/>
  <c r="F66" i="9"/>
  <c r="G66" i="9"/>
  <c r="H66" i="9"/>
  <c r="I66" i="9"/>
  <c r="J66" i="9"/>
  <c r="K66" i="9"/>
  <c r="C67" i="9"/>
  <c r="D67" i="9"/>
  <c r="E67" i="9"/>
  <c r="F67" i="9"/>
  <c r="G67" i="9"/>
  <c r="H67" i="9"/>
  <c r="I67" i="9"/>
  <c r="J67" i="9"/>
  <c r="K67" i="9"/>
  <c r="C68" i="9"/>
  <c r="D68" i="9"/>
  <c r="E68" i="9"/>
  <c r="F68" i="9"/>
  <c r="G68" i="9"/>
  <c r="H68" i="9"/>
  <c r="I68" i="9"/>
  <c r="J68" i="9"/>
  <c r="K68" i="9"/>
  <c r="C69" i="9"/>
  <c r="D69" i="9"/>
  <c r="E69" i="9"/>
  <c r="F69" i="9"/>
  <c r="G69" i="9"/>
  <c r="H69" i="9"/>
  <c r="I69" i="9"/>
  <c r="J69" i="9"/>
  <c r="K69" i="9"/>
  <c r="C70" i="9"/>
  <c r="M70" i="9"/>
  <c r="N70" i="9"/>
  <c r="O70" i="9"/>
  <c r="P70" i="9"/>
  <c r="Q70" i="9"/>
  <c r="R70" i="9"/>
  <c r="S70" i="9"/>
  <c r="C71" i="9"/>
  <c r="D71" i="9"/>
  <c r="E71" i="9"/>
  <c r="F71" i="9"/>
  <c r="G71" i="9"/>
  <c r="H71" i="9"/>
  <c r="I71" i="9"/>
  <c r="J71" i="9"/>
  <c r="K71" i="9"/>
  <c r="C72" i="9"/>
  <c r="D72" i="9"/>
  <c r="E72" i="9"/>
  <c r="F72" i="9"/>
  <c r="G72" i="9"/>
  <c r="H72" i="9"/>
  <c r="I72" i="9"/>
  <c r="J72" i="9"/>
  <c r="K72" i="9"/>
  <c r="C73" i="9"/>
  <c r="D73" i="9"/>
  <c r="E73" i="9"/>
  <c r="F73" i="9"/>
  <c r="G73" i="9"/>
  <c r="H73" i="9"/>
  <c r="I73" i="9"/>
  <c r="J73" i="9"/>
  <c r="K73" i="9"/>
  <c r="C74" i="9"/>
  <c r="M74" i="9"/>
  <c r="N74" i="9"/>
  <c r="O74" i="9"/>
  <c r="P74" i="9"/>
  <c r="Q74" i="9"/>
  <c r="R74" i="9"/>
  <c r="S74" i="9"/>
  <c r="C75" i="9"/>
  <c r="D75" i="9"/>
  <c r="E75" i="9"/>
  <c r="F75" i="9"/>
  <c r="G75" i="9"/>
  <c r="H75" i="9"/>
  <c r="I75" i="9"/>
  <c r="J75" i="9"/>
  <c r="K75" i="9"/>
  <c r="C76" i="9"/>
  <c r="D76" i="9"/>
  <c r="E76" i="9"/>
  <c r="F76" i="9"/>
  <c r="G76" i="9"/>
  <c r="H76" i="9"/>
  <c r="I76" i="9"/>
  <c r="J76" i="9"/>
  <c r="K76" i="9"/>
  <c r="C77" i="9"/>
  <c r="D77" i="9"/>
  <c r="E77" i="9"/>
  <c r="F77" i="9"/>
  <c r="G77" i="9"/>
  <c r="H77" i="9"/>
  <c r="I77" i="9"/>
  <c r="J77" i="9"/>
  <c r="K77" i="9"/>
  <c r="C78" i="9"/>
  <c r="D78" i="9"/>
  <c r="E78" i="9"/>
  <c r="F78" i="9"/>
  <c r="G78" i="9"/>
  <c r="H78" i="9"/>
  <c r="I78" i="9"/>
  <c r="J78" i="9"/>
  <c r="K78" i="9"/>
  <c r="C79" i="9"/>
  <c r="D79" i="9"/>
  <c r="E79" i="9"/>
  <c r="F79" i="9"/>
  <c r="G79" i="9"/>
  <c r="H79" i="9"/>
  <c r="I79" i="9"/>
  <c r="J79" i="9"/>
  <c r="K79" i="9"/>
  <c r="C80" i="9"/>
  <c r="D80" i="9"/>
  <c r="E80" i="9"/>
  <c r="F80" i="9"/>
  <c r="G80" i="9"/>
  <c r="H80" i="9"/>
  <c r="I80" i="9"/>
  <c r="J80" i="9"/>
  <c r="K80" i="9"/>
  <c r="C81" i="9"/>
  <c r="D81" i="9"/>
  <c r="E81" i="9"/>
  <c r="F81" i="9"/>
  <c r="G81" i="9"/>
  <c r="H81" i="9"/>
  <c r="I81" i="9"/>
  <c r="J81" i="9"/>
  <c r="K81" i="9"/>
  <c r="C82" i="9"/>
  <c r="D82" i="9"/>
  <c r="E82" i="9"/>
  <c r="F82" i="9"/>
  <c r="G82" i="9"/>
  <c r="H82" i="9"/>
  <c r="I82" i="9"/>
  <c r="J82" i="9"/>
  <c r="K82" i="9"/>
  <c r="C83" i="9"/>
  <c r="D83" i="9"/>
  <c r="E83" i="9"/>
  <c r="F83" i="9"/>
  <c r="G83" i="9"/>
  <c r="H83" i="9"/>
  <c r="I83" i="9"/>
  <c r="J83" i="9"/>
  <c r="K83" i="9"/>
  <c r="C84" i="9"/>
  <c r="D84" i="9"/>
  <c r="E84" i="9"/>
  <c r="F84" i="9"/>
  <c r="G84" i="9"/>
  <c r="H84" i="9"/>
  <c r="I84" i="9"/>
  <c r="J84" i="9"/>
  <c r="K84" i="9"/>
  <c r="C85" i="9"/>
  <c r="D85" i="9"/>
  <c r="E85" i="9"/>
  <c r="F85" i="9"/>
  <c r="G85" i="9"/>
  <c r="H85" i="9"/>
  <c r="I85" i="9"/>
  <c r="J85" i="9"/>
  <c r="K85" i="9"/>
  <c r="C86" i="9"/>
  <c r="D86" i="9"/>
  <c r="E86" i="9"/>
  <c r="F86" i="9"/>
  <c r="G86" i="9"/>
  <c r="H86" i="9"/>
  <c r="I86" i="9"/>
  <c r="J86" i="9"/>
  <c r="K86" i="9"/>
  <c r="C87" i="9"/>
  <c r="D87" i="9"/>
  <c r="E87" i="9"/>
  <c r="F87" i="9"/>
  <c r="G87" i="9"/>
  <c r="H87" i="9"/>
  <c r="I87" i="9"/>
  <c r="J87" i="9"/>
  <c r="K87" i="9"/>
  <c r="C88" i="9"/>
  <c r="D88" i="9"/>
  <c r="E88" i="9"/>
  <c r="F88" i="9"/>
  <c r="G88" i="9"/>
  <c r="H88" i="9"/>
  <c r="I88" i="9"/>
  <c r="J88" i="9"/>
  <c r="K88" i="9"/>
  <c r="C89" i="9"/>
  <c r="D89" i="9"/>
  <c r="E89" i="9"/>
  <c r="F89" i="9"/>
  <c r="G89" i="9"/>
  <c r="H89" i="9"/>
  <c r="I89" i="9"/>
  <c r="J89" i="9"/>
  <c r="K89" i="9"/>
  <c r="C90" i="9"/>
  <c r="D90" i="9"/>
  <c r="E90" i="9"/>
  <c r="F90" i="9"/>
  <c r="G90" i="9"/>
  <c r="H90" i="9"/>
  <c r="I90" i="9"/>
  <c r="J90" i="9"/>
  <c r="K90" i="9"/>
  <c r="C91" i="9"/>
  <c r="D91" i="9"/>
  <c r="E91" i="9"/>
  <c r="F91" i="9"/>
  <c r="G91" i="9"/>
  <c r="H91" i="9"/>
  <c r="I91" i="9"/>
  <c r="J91" i="9"/>
  <c r="K91" i="9"/>
  <c r="C92" i="9"/>
  <c r="M92" i="9"/>
  <c r="N92" i="9"/>
  <c r="O92" i="9"/>
  <c r="P92" i="9"/>
  <c r="Q92" i="9"/>
  <c r="R92" i="9"/>
  <c r="S92" i="9"/>
  <c r="C93" i="9"/>
  <c r="D93" i="9"/>
  <c r="E93" i="9"/>
  <c r="F93" i="9"/>
  <c r="G93" i="9"/>
  <c r="H93" i="9"/>
  <c r="I93" i="9"/>
  <c r="J93" i="9"/>
  <c r="K93" i="9"/>
  <c r="C94" i="9"/>
  <c r="D94" i="9"/>
  <c r="E94" i="9"/>
  <c r="F94" i="9"/>
  <c r="G94" i="9"/>
  <c r="H94" i="9"/>
  <c r="I94" i="9"/>
  <c r="J94" i="9"/>
  <c r="K94" i="9"/>
  <c r="C95" i="9"/>
  <c r="D95" i="9"/>
  <c r="E95" i="9"/>
  <c r="F95" i="9"/>
  <c r="G95" i="9"/>
  <c r="H95" i="9"/>
  <c r="I95" i="9"/>
  <c r="J95" i="9"/>
  <c r="K95" i="9"/>
  <c r="C96" i="9"/>
  <c r="M96" i="9"/>
  <c r="N96" i="9"/>
  <c r="O96" i="9"/>
  <c r="P96" i="9"/>
  <c r="Q96" i="9"/>
  <c r="R96" i="9"/>
  <c r="S96" i="9"/>
  <c r="C97" i="9"/>
  <c r="D97" i="9"/>
  <c r="E97" i="9"/>
  <c r="F97" i="9"/>
  <c r="G97" i="9"/>
  <c r="H97" i="9"/>
  <c r="I97" i="9"/>
  <c r="J97" i="9"/>
  <c r="K97" i="9"/>
  <c r="C98" i="9"/>
  <c r="D98" i="9"/>
  <c r="E98" i="9"/>
  <c r="F98" i="9"/>
  <c r="G98" i="9"/>
  <c r="H98" i="9"/>
  <c r="I98" i="9"/>
  <c r="J98" i="9"/>
  <c r="K98" i="9"/>
  <c r="C99" i="9"/>
  <c r="D99" i="9"/>
  <c r="E99" i="9"/>
  <c r="F99" i="9"/>
  <c r="G99" i="9"/>
  <c r="H99" i="9"/>
  <c r="I99" i="9"/>
  <c r="J99" i="9"/>
  <c r="K99" i="9"/>
  <c r="C100" i="9"/>
  <c r="D100" i="9"/>
  <c r="E100" i="9"/>
  <c r="F100" i="9"/>
  <c r="G100" i="9"/>
  <c r="H100" i="9"/>
  <c r="I100" i="9"/>
  <c r="J100" i="9"/>
  <c r="K100" i="9"/>
  <c r="C101" i="9"/>
  <c r="D101" i="9"/>
  <c r="E101" i="9"/>
  <c r="F101" i="9"/>
  <c r="G101" i="9"/>
  <c r="H101" i="9"/>
  <c r="I101" i="9"/>
  <c r="J101" i="9"/>
  <c r="K101" i="9"/>
  <c r="C102" i="9"/>
  <c r="C103" i="9"/>
  <c r="C104" i="9"/>
  <c r="D104" i="9"/>
  <c r="E104" i="9"/>
  <c r="F104" i="9"/>
  <c r="G104" i="9"/>
  <c r="H104" i="9"/>
  <c r="I104" i="9"/>
  <c r="J104" i="9"/>
  <c r="K104" i="9"/>
  <c r="C105" i="9"/>
  <c r="D105" i="9"/>
  <c r="E105" i="9"/>
  <c r="F105" i="9"/>
  <c r="G105" i="9"/>
  <c r="H105" i="9"/>
  <c r="I105" i="9"/>
  <c r="J105" i="9"/>
  <c r="K105" i="9"/>
  <c r="C106" i="9"/>
  <c r="D106" i="9"/>
  <c r="E106" i="9"/>
  <c r="F106" i="9"/>
  <c r="G106" i="9"/>
  <c r="H106" i="9"/>
  <c r="I106" i="9"/>
  <c r="J106" i="9"/>
  <c r="K106" i="9"/>
  <c r="C107" i="9"/>
  <c r="D107" i="9"/>
  <c r="E107" i="9"/>
  <c r="F107" i="9"/>
  <c r="G107" i="9"/>
  <c r="H107" i="9"/>
  <c r="I107" i="9"/>
  <c r="J107" i="9"/>
  <c r="K107" i="9"/>
  <c r="C108" i="9"/>
  <c r="D108" i="9"/>
  <c r="E108" i="9"/>
  <c r="F108" i="9"/>
  <c r="G108" i="9"/>
  <c r="H108" i="9"/>
  <c r="I108" i="9"/>
  <c r="J108" i="9"/>
  <c r="K108" i="9"/>
  <c r="C109" i="9"/>
  <c r="D109" i="9"/>
  <c r="E109" i="9"/>
  <c r="F109" i="9"/>
  <c r="G109" i="9"/>
  <c r="H109" i="9"/>
  <c r="I109" i="9"/>
  <c r="J109" i="9"/>
  <c r="K109" i="9"/>
  <c r="C110" i="9"/>
  <c r="D110" i="9"/>
  <c r="E110" i="9"/>
  <c r="F110" i="9"/>
  <c r="G110" i="9"/>
  <c r="H110" i="9"/>
  <c r="I110" i="9"/>
  <c r="J110" i="9"/>
  <c r="K110" i="9"/>
  <c r="C111" i="9"/>
  <c r="D111" i="9"/>
  <c r="E111" i="9"/>
  <c r="F111" i="9"/>
  <c r="G111" i="9"/>
  <c r="H111" i="9"/>
  <c r="I111" i="9"/>
  <c r="J111" i="9"/>
  <c r="K111" i="9"/>
  <c r="C112" i="9"/>
  <c r="D112" i="9"/>
  <c r="E112" i="9"/>
  <c r="F112" i="9"/>
  <c r="G112" i="9"/>
  <c r="H112" i="9"/>
  <c r="I112" i="9"/>
  <c r="J112" i="9"/>
  <c r="K112" i="9"/>
  <c r="C113" i="9"/>
  <c r="C114" i="9"/>
  <c r="D114" i="9"/>
  <c r="E114" i="9"/>
  <c r="F114" i="9"/>
  <c r="G114" i="9"/>
  <c r="H114" i="9"/>
  <c r="I114" i="9"/>
  <c r="J114" i="9"/>
  <c r="K114" i="9"/>
  <c r="C115" i="9"/>
  <c r="D115" i="9"/>
  <c r="E115" i="9"/>
  <c r="F115" i="9"/>
  <c r="G115" i="9"/>
  <c r="H115" i="9"/>
  <c r="I115" i="9"/>
  <c r="J115" i="9"/>
  <c r="K115" i="9"/>
  <c r="C116" i="9"/>
  <c r="D116" i="9"/>
  <c r="E116" i="9"/>
  <c r="F116" i="9"/>
  <c r="G116" i="9"/>
  <c r="H116" i="9"/>
  <c r="I116" i="9"/>
  <c r="J116" i="9"/>
  <c r="K116" i="9"/>
  <c r="C117" i="9"/>
  <c r="D117" i="9"/>
  <c r="E117" i="9"/>
  <c r="F117" i="9"/>
  <c r="G117" i="9"/>
  <c r="H117" i="9"/>
  <c r="I117" i="9"/>
  <c r="J117" i="9"/>
  <c r="K117" i="9"/>
  <c r="C118" i="9"/>
  <c r="C119" i="9"/>
  <c r="D119" i="9"/>
  <c r="E119" i="9"/>
  <c r="F119" i="9"/>
  <c r="G119" i="9"/>
  <c r="H119" i="9"/>
  <c r="I119" i="9"/>
  <c r="J119" i="9"/>
  <c r="K119" i="9"/>
  <c r="C120" i="9"/>
  <c r="D120" i="9"/>
  <c r="E120" i="9"/>
  <c r="F120" i="9"/>
  <c r="G120" i="9"/>
  <c r="H120" i="9"/>
  <c r="I120" i="9"/>
  <c r="J120" i="9"/>
  <c r="K120" i="9"/>
  <c r="C121" i="9"/>
  <c r="D121" i="9"/>
  <c r="E121" i="9"/>
  <c r="F121" i="9"/>
  <c r="G121" i="9"/>
  <c r="H121" i="9"/>
  <c r="I121" i="9"/>
  <c r="J121" i="9"/>
  <c r="K121" i="9"/>
  <c r="C122" i="9"/>
  <c r="D122" i="9"/>
  <c r="E122" i="9"/>
  <c r="F122" i="9"/>
  <c r="G122" i="9"/>
  <c r="H122" i="9"/>
  <c r="I122" i="9"/>
  <c r="J122" i="9"/>
  <c r="K122" i="9"/>
  <c r="C123" i="9"/>
  <c r="D123" i="9"/>
  <c r="E123" i="9"/>
  <c r="F123" i="9"/>
  <c r="G123" i="9"/>
  <c r="H123" i="9"/>
  <c r="I123" i="9"/>
  <c r="J123" i="9"/>
  <c r="K123" i="9"/>
  <c r="C124" i="9"/>
  <c r="D124" i="9"/>
  <c r="E124" i="9"/>
  <c r="F124" i="9"/>
  <c r="G124" i="9"/>
  <c r="H124" i="9"/>
  <c r="I124" i="9"/>
  <c r="J124" i="9"/>
  <c r="K124" i="9"/>
  <c r="C125" i="9"/>
  <c r="D125" i="9"/>
  <c r="E125" i="9"/>
  <c r="F125" i="9"/>
  <c r="G125" i="9"/>
  <c r="H125" i="9"/>
  <c r="I125" i="9"/>
  <c r="J125" i="9"/>
  <c r="K125" i="9"/>
  <c r="C126" i="9"/>
  <c r="D126" i="9"/>
  <c r="E126" i="9"/>
  <c r="F126" i="9"/>
  <c r="G126" i="9"/>
  <c r="H126" i="9"/>
  <c r="I126" i="9"/>
  <c r="J126" i="9"/>
  <c r="K126" i="9"/>
  <c r="C127" i="9"/>
  <c r="D127" i="9"/>
  <c r="E127" i="9"/>
  <c r="F127" i="9"/>
  <c r="G127" i="9"/>
  <c r="H127" i="9"/>
  <c r="I127" i="9"/>
  <c r="J127" i="9"/>
  <c r="K127" i="9"/>
  <c r="C128" i="9"/>
  <c r="D128" i="9"/>
  <c r="E128" i="9"/>
  <c r="F128" i="9"/>
  <c r="G128" i="9"/>
  <c r="H128" i="9"/>
  <c r="I128" i="9"/>
  <c r="J128" i="9"/>
  <c r="K128" i="9"/>
  <c r="C129" i="9"/>
  <c r="D129" i="9"/>
  <c r="E129" i="9"/>
  <c r="F129" i="9"/>
  <c r="G129" i="9"/>
  <c r="H129" i="9"/>
  <c r="I129" i="9"/>
  <c r="J129" i="9"/>
  <c r="K129" i="9"/>
  <c r="C130" i="9"/>
  <c r="D130" i="9"/>
  <c r="E130" i="9"/>
  <c r="F130" i="9"/>
  <c r="G130" i="9"/>
  <c r="H130" i="9"/>
  <c r="I130" i="9"/>
  <c r="J130" i="9"/>
  <c r="K130" i="9"/>
  <c r="C131" i="9"/>
  <c r="D131" i="9"/>
  <c r="E131" i="9"/>
  <c r="F131" i="9"/>
  <c r="G131" i="9"/>
  <c r="H131" i="9"/>
  <c r="I131" i="9"/>
  <c r="J131" i="9"/>
  <c r="K131" i="9"/>
  <c r="C132" i="9"/>
  <c r="D132" i="9"/>
  <c r="E132" i="9"/>
  <c r="F132" i="9"/>
  <c r="G132" i="9"/>
  <c r="H132" i="9"/>
  <c r="I132" i="9"/>
  <c r="J132" i="9"/>
  <c r="K132" i="9"/>
  <c r="C133" i="9"/>
  <c r="D133" i="9"/>
  <c r="E133" i="9"/>
  <c r="F133" i="9"/>
  <c r="G133" i="9"/>
  <c r="H133" i="9"/>
  <c r="I133" i="9"/>
  <c r="J133" i="9"/>
  <c r="K133" i="9"/>
  <c r="C134" i="9"/>
  <c r="C135" i="9"/>
  <c r="C136" i="9"/>
  <c r="C137" i="9"/>
  <c r="C138" i="9"/>
  <c r="AG7" i="7"/>
  <c r="AG8" i="7"/>
  <c r="AG6" i="7"/>
  <c r="AH7" i="7"/>
  <c r="AH6" i="7"/>
  <c r="E65" i="9" l="1"/>
  <c r="F53" i="9"/>
  <c r="D92" i="9"/>
  <c r="D74" i="9"/>
  <c r="K65" i="9"/>
  <c r="F52" i="9"/>
  <c r="F35" i="9"/>
  <c r="F34" i="9"/>
  <c r="K16" i="9"/>
  <c r="H96" i="9"/>
  <c r="J92" i="9"/>
  <c r="K74" i="9"/>
  <c r="D53" i="9"/>
  <c r="F51" i="9"/>
  <c r="D45" i="9"/>
  <c r="G70" i="9"/>
  <c r="J65" i="9"/>
  <c r="E62" i="9"/>
  <c r="I57" i="9"/>
  <c r="K53" i="9"/>
  <c r="D52" i="9"/>
  <c r="F41" i="9"/>
  <c r="D35" i="9"/>
  <c r="D34" i="9"/>
  <c r="K70" i="9"/>
  <c r="K52" i="9"/>
  <c r="D51" i="9"/>
  <c r="E41" i="9"/>
  <c r="J24" i="9"/>
  <c r="J23" i="9"/>
  <c r="J22" i="9"/>
  <c r="K11" i="9"/>
  <c r="K10" i="9"/>
  <c r="K96" i="9"/>
  <c r="J70" i="9"/>
  <c r="K51" i="9"/>
  <c r="D41" i="9"/>
  <c r="D11" i="9"/>
  <c r="D10" i="9"/>
  <c r="I45" i="9"/>
  <c r="K41" i="9"/>
  <c r="K92" i="9"/>
  <c r="F74" i="9"/>
  <c r="D57" i="9"/>
  <c r="I35" i="9"/>
  <c r="I34" i="9"/>
  <c r="I24" i="9"/>
  <c r="I23" i="9"/>
  <c r="I22" i="9"/>
  <c r="G16" i="9"/>
  <c r="J11" i="9"/>
  <c r="J10" i="9"/>
  <c r="G96" i="9"/>
  <c r="H57" i="9"/>
  <c r="H35" i="9"/>
  <c r="F96" i="9"/>
  <c r="I92" i="9"/>
  <c r="J74" i="9"/>
  <c r="E70" i="9"/>
  <c r="I65" i="9"/>
  <c r="K62" i="9"/>
  <c r="G57" i="9"/>
  <c r="J53" i="9"/>
  <c r="J52" i="9"/>
  <c r="J51" i="9"/>
  <c r="G45" i="9"/>
  <c r="J41" i="9"/>
  <c r="G35" i="9"/>
  <c r="G34" i="9"/>
  <c r="H24" i="9"/>
  <c r="H23" i="9"/>
  <c r="H22" i="9"/>
  <c r="E16" i="9"/>
  <c r="I11" i="9"/>
  <c r="I10" i="9"/>
  <c r="F70" i="9"/>
  <c r="H45" i="9"/>
  <c r="E96" i="9"/>
  <c r="H92" i="9"/>
  <c r="I74" i="9"/>
  <c r="D70" i="9"/>
  <c r="H65" i="9"/>
  <c r="J62" i="9"/>
  <c r="F57" i="9"/>
  <c r="I53" i="9"/>
  <c r="I52" i="9"/>
  <c r="I51" i="9"/>
  <c r="F45" i="9"/>
  <c r="I41" i="9"/>
  <c r="G24" i="9"/>
  <c r="G23" i="9"/>
  <c r="G22" i="9"/>
  <c r="D16" i="9"/>
  <c r="H11" i="9"/>
  <c r="H10" i="9"/>
  <c r="D62" i="9"/>
  <c r="F16" i="9"/>
  <c r="D96" i="9"/>
  <c r="G92" i="9"/>
  <c r="H74" i="9"/>
  <c r="G65" i="9"/>
  <c r="I62" i="9"/>
  <c r="E57" i="9"/>
  <c r="H53" i="9"/>
  <c r="H52" i="9"/>
  <c r="H51" i="9"/>
  <c r="E45" i="9"/>
  <c r="H41" i="9"/>
  <c r="E35" i="9"/>
  <c r="E34" i="9"/>
  <c r="F24" i="9"/>
  <c r="F23" i="9"/>
  <c r="F22" i="9"/>
  <c r="G11" i="9"/>
  <c r="G10" i="9"/>
  <c r="H34" i="9"/>
  <c r="F92" i="9"/>
  <c r="G74" i="9"/>
  <c r="F65" i="9"/>
  <c r="H62" i="9"/>
  <c r="G53" i="9"/>
  <c r="G52" i="9"/>
  <c r="G51" i="9"/>
  <c r="G41" i="9"/>
  <c r="E24" i="9"/>
  <c r="E23" i="9"/>
  <c r="E22" i="9"/>
  <c r="J16" i="9"/>
  <c r="F11" i="9"/>
  <c r="F10" i="9"/>
  <c r="J96" i="9"/>
  <c r="I70" i="9"/>
  <c r="K57" i="9"/>
  <c r="K45" i="9"/>
  <c r="K35" i="9"/>
  <c r="K34" i="9"/>
  <c r="D24" i="9"/>
  <c r="D23" i="9"/>
  <c r="D22" i="9"/>
  <c r="I16" i="9"/>
  <c r="E11" i="9"/>
  <c r="E10" i="9"/>
  <c r="E92" i="9"/>
  <c r="I96" i="9"/>
  <c r="E74" i="9"/>
  <c r="H70" i="9"/>
  <c r="D65" i="9"/>
  <c r="F62" i="9"/>
  <c r="J57" i="9"/>
  <c r="E53" i="9"/>
  <c r="E52" i="9"/>
  <c r="E51" i="9"/>
  <c r="J45" i="9"/>
  <c r="J35" i="9"/>
  <c r="J34" i="9"/>
  <c r="K24" i="9"/>
  <c r="K23" i="9"/>
  <c r="K22" i="9"/>
  <c r="H16" i="9"/>
  <c r="G62" i="9"/>
  <c r="Q14" i="7"/>
  <c r="Q13" i="7"/>
  <c r="Q12" i="7"/>
  <c r="Q11" i="7"/>
  <c r="Q10" i="7"/>
  <c r="Q9" i="7"/>
  <c r="Q8" i="7"/>
  <c r="Q7" i="7"/>
  <c r="K18" i="7"/>
  <c r="D16" i="7"/>
  <c r="H19" i="7"/>
  <c r="T18" i="7"/>
  <c r="P15" i="7"/>
  <c r="C16" i="7"/>
  <c r="T19" i="7"/>
  <c r="O17" i="7"/>
  <c r="O16" i="7"/>
  <c r="T17" i="7"/>
  <c r="C15" i="7"/>
  <c r="K17" i="7"/>
  <c r="T16" i="7"/>
  <c r="U18" i="7"/>
  <c r="H21" i="7"/>
  <c r="U23" i="7"/>
  <c r="U19" i="7"/>
  <c r="D17" i="7"/>
  <c r="K21" i="7"/>
  <c r="T20" i="7"/>
  <c r="H17" i="7"/>
  <c r="K16" i="7"/>
  <c r="D15" i="7"/>
  <c r="C17" i="7"/>
  <c r="H15" i="7"/>
  <c r="U20" i="7"/>
  <c r="K15" i="7"/>
  <c r="U17" i="7"/>
  <c r="H20" i="7"/>
  <c r="K20" i="7"/>
  <c r="U21" i="7"/>
  <c r="P16" i="7"/>
  <c r="H14" i="7"/>
  <c r="P17" i="7"/>
  <c r="T24" i="7"/>
  <c r="K14" i="7"/>
  <c r="H16" i="7"/>
  <c r="T22" i="7"/>
  <c r="U24" i="7"/>
  <c r="O15" i="7"/>
  <c r="U16" i="7"/>
  <c r="T23" i="7"/>
  <c r="T21" i="7"/>
  <c r="K19" i="7"/>
  <c r="U22" i="7"/>
  <c r="H18" i="7"/>
  <c r="AH14" i="7" l="1"/>
  <c r="AG14" i="7"/>
  <c r="AH8" i="7"/>
  <c r="AH16" i="7"/>
  <c r="AG9" i="7"/>
  <c r="AH13" i="7"/>
  <c r="AG15" i="7"/>
  <c r="AH9" i="7"/>
  <c r="AG10" i="7"/>
  <c r="AH12" i="7"/>
  <c r="AG11" i="7"/>
  <c r="AG16" i="7"/>
  <c r="AH11" i="7"/>
  <c r="AH15" i="7"/>
  <c r="AH10" i="7"/>
  <c r="AG12" i="7"/>
  <c r="AG13" i="7"/>
  <c r="Q16" i="7"/>
  <c r="Q17" i="7"/>
  <c r="Q15" i="7"/>
  <c r="E15" i="7"/>
  <c r="E16" i="7"/>
  <c r="E17" i="7"/>
  <c r="E14" i="7"/>
  <c r="E13" i="7"/>
  <c r="E12" i="7"/>
  <c r="E11" i="7"/>
  <c r="E10" i="7"/>
  <c r="E9" i="7"/>
  <c r="E8" i="7"/>
  <c r="E7" i="7"/>
  <c r="M9" i="2"/>
  <c r="M10" i="2"/>
  <c r="M11" i="2"/>
  <c r="M12" i="2"/>
  <c r="M13" i="2"/>
  <c r="M14" i="2"/>
  <c r="M15" i="2"/>
  <c r="M8" i="2"/>
  <c r="L26" i="2"/>
  <c r="L27" i="2"/>
  <c r="L28" i="2"/>
  <c r="L29" i="2"/>
  <c r="L30" i="2"/>
  <c r="L31" i="2"/>
  <c r="L32" i="2"/>
  <c r="L25" i="2"/>
  <c r="N32" i="2"/>
  <c r="N31" i="2"/>
  <c r="N30" i="2"/>
  <c r="N29" i="2"/>
  <c r="N28" i="2"/>
  <c r="N27" i="2"/>
  <c r="N26" i="2"/>
  <c r="M27" i="2"/>
  <c r="M28" i="2"/>
  <c r="M29" i="2"/>
  <c r="M30" i="2"/>
  <c r="M31" i="2"/>
  <c r="M32" i="2"/>
  <c r="M26" i="2"/>
</calcChain>
</file>

<file path=xl/sharedStrings.xml><?xml version="1.0" encoding="utf-8"?>
<sst xmlns="http://schemas.openxmlformats.org/spreadsheetml/2006/main" count="811" uniqueCount="185">
  <si>
    <t xml:space="preserve">How Foodora Works </t>
  </si>
  <si>
    <t xml:space="preserve">Order made on website or app </t>
  </si>
  <si>
    <t xml:space="preserve">Restaurant receives notification and prepares the order </t>
  </si>
  <si>
    <t>Order delivered by bikes</t>
  </si>
  <si>
    <t xml:space="preserve">Delivery zones are small </t>
  </si>
  <si>
    <t xml:space="preserve">Foodora don’t have bikes </t>
  </si>
  <si>
    <t>Operating in</t>
  </si>
  <si>
    <t>Singapore</t>
  </si>
  <si>
    <t>Norway</t>
  </si>
  <si>
    <t>Sweden</t>
  </si>
  <si>
    <t>Finland</t>
  </si>
  <si>
    <t>Canada</t>
  </si>
  <si>
    <t>P2C</t>
  </si>
  <si>
    <t>R2C</t>
  </si>
  <si>
    <t>Inc Rate P2C</t>
  </si>
  <si>
    <t>Inc Rate R2C</t>
  </si>
  <si>
    <t>18-24</t>
  </si>
  <si>
    <t>25-34</t>
  </si>
  <si>
    <t>35-44</t>
  </si>
  <si>
    <t>45-54</t>
  </si>
  <si>
    <t>55-64</t>
  </si>
  <si>
    <t>Low Income</t>
  </si>
  <si>
    <t xml:space="preserve">Med Income </t>
  </si>
  <si>
    <t xml:space="preserve">High Income </t>
  </si>
  <si>
    <t xml:space="preserve">Top 5 User Penetration Countries </t>
  </si>
  <si>
    <t xml:space="preserve">Netherlands </t>
  </si>
  <si>
    <t>UK</t>
  </si>
  <si>
    <t>Hong Kong</t>
  </si>
  <si>
    <t xml:space="preserve">Canada </t>
  </si>
  <si>
    <t>https://www.statista.com/outlook/374/100/online-food-delivery/worldwide</t>
  </si>
  <si>
    <t>https://digital.hbs.edu/platform-rctom/submission/foodora-a-digital-revolution-of-the-food-delivery-industry/</t>
  </si>
  <si>
    <t>https://www.foodora.com/about/</t>
  </si>
  <si>
    <t>https://futureworktechnologies.com/how-foodora-works-business-revenue-model</t>
  </si>
  <si>
    <t>https://www.gloriafood.com/restaurant-ideas/advantages-of-online-food-ordering</t>
  </si>
  <si>
    <t>1) One Click Away</t>
  </si>
  <si>
    <t xml:space="preserve">2) Fast, easy, confortable </t>
  </si>
  <si>
    <t xml:space="preserve">Restaurant dining accounts for 43% of the average family's annual food budget </t>
  </si>
  <si>
    <t>Over 97% of millenials actually use their phone for anything</t>
  </si>
  <si>
    <t xml:space="preserve">When people are hungry they spend 64% more on food </t>
  </si>
  <si>
    <t xml:space="preserve">Online menu is easier to manage </t>
  </si>
  <si>
    <t>https://www.statista.com/statistics/959112/reasons-for-ordering-takeout-food-us/</t>
  </si>
  <si>
    <t>Didn’t feel like Cooking</t>
  </si>
  <si>
    <t>Satisfy a crawing</t>
  </si>
  <si>
    <t>Saving time for cooking/ cleaning</t>
  </si>
  <si>
    <t xml:space="preserve">At home game night / movie night </t>
  </si>
  <si>
    <t xml:space="preserve">Family night dinner </t>
  </si>
  <si>
    <t>https://www.statista.com/statistics/192396/employment-rate-of-women-in-the-us-since-1990/</t>
  </si>
  <si>
    <t>https://www.statista.com/statistics/184266/educational-attainment-of-high-school-diploma-or-higher-by-gender/</t>
  </si>
  <si>
    <t xml:space="preserve">Male </t>
  </si>
  <si>
    <t xml:space="preserve">Female </t>
  </si>
  <si>
    <t xml:space="preserve">20% of families sat down for dinner once or twice a week </t>
  </si>
  <si>
    <t>60% of U.S. consumers order delivery or takeout once a week.</t>
  </si>
  <si>
    <t>31% say they use these third-party delivery services at least twice a week.</t>
  </si>
  <si>
    <t>34% of consumers spend at least $50 per order when ordering food online.</t>
  </si>
  <si>
    <t>20% of consumers say they spend more on off-premise orders compared to a regular dine-in experience.</t>
  </si>
  <si>
    <t>Digital ordering and delivery have grown 300% faster than dine-in traffic since 2014.</t>
  </si>
  <si>
    <t>70% of consumers say they’d rather order directly from a restaurant, preferring that their money goes straight to the restaurant and not a third party.</t>
  </si>
  <si>
    <t>57% of millennials say that they have restaurant food delivered so they can watch movies and TV shows at home.</t>
  </si>
  <si>
    <t>59% of restaurant orders from millennials are takeout or delivery.</t>
  </si>
  <si>
    <t>33% of consumers say they would be willing to pay a higher fee for faster delivery service.</t>
  </si>
  <si>
    <t>87% of Americans who use third-party food delivery services agree that it makes their lives easier.</t>
  </si>
  <si>
    <t>45% of consumers say that offering mobile ordering or loyalty programs would encourage them to use online ordering services more often.</t>
  </si>
  <si>
    <t>63% of consumers agree that it is more convenient to get delivery than dining out with a family.</t>
  </si>
  <si>
    <t>Americans who have not used a third-party restaurant delivery service say fast delivery (31%), restaurant selection (28%), low order minimums (27%) and first-use coupons (26%) would motivate them to try it.</t>
  </si>
  <si>
    <t>60% of restaurant operators say that offering delivery has generated incremental sales.</t>
  </si>
  <si>
    <t>Orders placed via smartphone and mobile apps will become a $38 billion industry by 2020.</t>
  </si>
  <si>
    <t>Pizza chains reported an 18% increase in customer spend from online/mobile orders vs. phone orders.</t>
  </si>
  <si>
    <t>Working with a third party delivery service has been found to raise restaurant sales volume by 10 to 20%.</t>
  </si>
  <si>
    <t>Delivery sales could rise an annual average of more than 20% to $365 billion worldwide by 2030, from $35 billion.</t>
  </si>
  <si>
    <t>43% of restaurant professionals said they believe third-party apps—many of which withhold data—interfere with the direct relationship between a restaurant/bar/pub and its customers.</t>
  </si>
  <si>
    <t>Customers who place an online order with a restaurant will visit that restaurant 67% more frequently than those who don’t. </t>
  </si>
  <si>
    <t>It’s estimated that mobile orders will make up close to 11% of all QSR sales by 2020.</t>
  </si>
  <si>
    <t>Visits to U.S. restaurants where guests paid by mobile app increased by 50% from 2017-18.</t>
  </si>
  <si>
    <t>https://upserve.com/restaurant-insider/online-ordering-statistics/</t>
  </si>
  <si>
    <t xml:space="preserve"> </t>
  </si>
  <si>
    <t xml:space="preserve">Women Employment Rate </t>
  </si>
  <si>
    <t>Total</t>
  </si>
  <si>
    <t xml:space="preserve">Online Orders Revenue </t>
  </si>
  <si>
    <t>: Prediction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</si>
  <si>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</si>
  <si>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</si>
  <si>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</si>
  <si>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</si>
  <si>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</si>
  <si>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</si>
  <si>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</si>
  <si>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</si>
  <si>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</si>
  <si>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</si>
  <si>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</si>
  <si>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</si>
  <si>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</si>
  <si>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</si>
  <si>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</si>
  <si>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</si>
  <si>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</si>
  <si>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</si>
  <si>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</si>
  <si>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</si>
  <si>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</si>
  <si>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</si>
  <si>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</si>
  <si>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</si>
  <si>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</si>
  <si>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</si>
  <si>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</si>
  <si>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</si>
  <si>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 xml:space="preserve">Education Rate (Male and Female) </t>
  </si>
  <si>
    <t>X Variable 2</t>
  </si>
  <si>
    <t>M</t>
  </si>
  <si>
    <t xml:space="preserve">Online Orders vs Education Rate </t>
  </si>
  <si>
    <t xml:space="preserve">Predicted Online Orders Revenue </t>
  </si>
  <si>
    <t>Revenue</t>
  </si>
  <si>
    <t>Users</t>
  </si>
  <si>
    <t>Users by Age</t>
  </si>
  <si>
    <t>Users by Income</t>
  </si>
  <si>
    <t xml:space="preserve">Reasons for Ordering Takeout </t>
  </si>
  <si>
    <t xml:space="preserve">Education Rate US </t>
  </si>
  <si>
    <t xml:space="preserve">SUMMARY OUTPUT (Male Only) </t>
  </si>
  <si>
    <t>Women</t>
  </si>
  <si>
    <t>Employment</t>
  </si>
  <si>
    <t xml:space="preserve">Online Orders Employment Rate </t>
  </si>
  <si>
    <t xml:space="preserve">Employment Rate </t>
  </si>
  <si>
    <t>SUMMARY OUTPUT (Women)</t>
  </si>
  <si>
    <t>SUMMARY OUTPUT (Female Only)</t>
  </si>
  <si>
    <t xml:space="preserve">Online Orders vs Employment and Education </t>
  </si>
  <si>
    <t>Education Rate</t>
  </si>
  <si>
    <t>Public Fundamental Data provided by Morningstar, Inc.</t>
  </si>
  <si>
    <t>© PitchBook Data, Inc. 2020</t>
  </si>
  <si>
    <t>No</t>
  </si>
  <si>
    <t/>
  </si>
  <si>
    <t>Filing not available</t>
  </si>
  <si>
    <t>Filed:  19-Jun-2017</t>
  </si>
  <si>
    <t>Filed:  23-Apr-2019</t>
  </si>
  <si>
    <t>Amounts in Thousands, USD (except Ratios, Multiples &amp; per share items)</t>
  </si>
  <si>
    <t>FY 2012</t>
  </si>
  <si>
    <t>FY 2013</t>
  </si>
  <si>
    <t>FY 2014</t>
  </si>
  <si>
    <t>FY 2015</t>
  </si>
  <si>
    <t>FY 2016</t>
  </si>
  <si>
    <t>FY 2017</t>
  </si>
  <si>
    <t>FY 2018</t>
  </si>
  <si>
    <t>Coefficient of Variation</t>
  </si>
  <si>
    <t>Std. Dev</t>
  </si>
  <si>
    <t>75th pctile</t>
  </si>
  <si>
    <t>25th pctile</t>
  </si>
  <si>
    <t>Max</t>
  </si>
  <si>
    <t>Min</t>
  </si>
  <si>
    <t>Mean</t>
  </si>
  <si>
    <t>Median</t>
  </si>
  <si>
    <t>Company: Delivery Hero (ETR: DHER)</t>
  </si>
  <si>
    <t>Summary Stats</t>
  </si>
  <si>
    <t>Downloaded On: 05-Mar-2020</t>
  </si>
  <si>
    <t>Income Statement (Fiscal Year)</t>
  </si>
  <si>
    <t>Key Metrics (Fiscal Year)</t>
  </si>
  <si>
    <t>Total Operating Profit/Loss</t>
  </si>
  <si>
    <t xml:space="preserve">Total Revenue </t>
  </si>
  <si>
    <t>https://www.deliveryhero.com/brands/foodora/</t>
  </si>
  <si>
    <t>https://nowtoronto.com/food-and-drink/toronto-food-delivery-services-who-pays-wage/</t>
  </si>
  <si>
    <t>https://www.statista.com/statistics/330695/number-of-smartphone-users-worldwide/</t>
  </si>
  <si>
    <t xml:space="preserve">Billions </t>
  </si>
  <si>
    <t xml:space="preserve"># of Smartphone Users </t>
  </si>
  <si>
    <t># of Smartphone Users</t>
  </si>
  <si>
    <t>Online Orders vs Smartphone Users</t>
  </si>
  <si>
    <t xml:space="preserve">Online Orders vs Employment, Education and Smartphones </t>
  </si>
  <si>
    <t xml:space="preserve">Foodora Operates in both Europe and Americas and there is no financial records for just Foodora </t>
  </si>
  <si>
    <t xml:space="preserve">Cost of Sales </t>
  </si>
  <si>
    <t>Marketing Expenses</t>
  </si>
  <si>
    <t>IT Expenses</t>
  </si>
  <si>
    <t xml:space="preserve">General Administrative Expenses </t>
  </si>
  <si>
    <t xml:space="preserve">Other Operating Expenses </t>
  </si>
  <si>
    <t xml:space="preserve">Impairment Loses </t>
  </si>
  <si>
    <t xml:space="preserve">Commissions </t>
  </si>
  <si>
    <t xml:space="preserve">Delivery Fees </t>
  </si>
  <si>
    <t>Prime Pladings</t>
  </si>
  <si>
    <t xml:space="preserve">Other </t>
  </si>
  <si>
    <t>Delivery Hero Expenses</t>
  </si>
  <si>
    <t xml:space="preserve">Millions </t>
  </si>
  <si>
    <t>Percentage</t>
  </si>
  <si>
    <t xml:space="preserve">Delivery Hero Revenues </t>
  </si>
  <si>
    <t xml:space="preserve">So, I will use Delivery Hero data and show percentages </t>
  </si>
  <si>
    <t>https://ir.deliveryhero.com/download/companies/delivery/Annual%20Reports/Final_secured_en.pdf</t>
  </si>
  <si>
    <t>Sheet Number</t>
  </si>
  <si>
    <t xml:space="preserve">Source Link </t>
  </si>
  <si>
    <t>https://my.pitchbook.com/profile/117939-79/company/profile#comparisons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</si>
</sst>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#,##0.00;[Red]\(#,##0.00\)"/>
    <numFmt numFmtId="166" formatCode="#,##0;[Red]\(#,##0\)"/>
    <numFmt numFmtId="167" formatCode="#,##0.00%;[Red]\-#,##0.00%"/>
    <numFmt numFmtId="168" formatCode="d\-mmm\-yyyy"/>
    <numFmt numFmtId="169" formatCode="[$-409]#,##0.00_);[Red]\(#,##0.00\)"/>
    <numFmt numFmtId="170" formatCode="_(* #,##0_);_(* \(#,##0\);_(* &quot;-&quot;??_);_(@_)"/>
    <numFmt numFmtId="171" formatCode="_([$€-2]\ * #,##0.00_);_([$€-2]\ * \(#,##0.00\);_([$€-2]\ * &quot;-&quot;??_);_(@_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0"/>
      <name val="Calibri (Body)"/>
    </font>
    <font>
      <sz val="12"/>
      <color rgb="FF000000"/>
      <name val="Calibri"/>
      <family val="2"/>
      <scheme val="minor"/>
    </font>
    <font>
      <sz val="11"/>
      <color rgb="FF010000"/>
      <name val="Calibri"/>
      <family val="2"/>
      <charset val="1"/>
    </font>
    <font>
      <sz val="8"/>
      <name val="Arial"/>
      <family val="2"/>
    </font>
    <font>
      <sz val="10"/>
      <color rgb="FF010000"/>
      <name val="Calibri"/>
      <family val="2"/>
      <charset val="1"/>
    </font>
    <font>
      <b/>
      <sz val="10"/>
      <color rgb="FF010000"/>
      <name val="Calibri"/>
      <family val="2"/>
      <charset val="204"/>
    </font>
    <font>
      <b/>
      <sz val="10"/>
      <color rgb="FF010000"/>
      <name val="Calibri"/>
      <family val="2"/>
      <charset val="1"/>
    </font>
    <font>
      <sz val="8"/>
      <color rgb="FF010000"/>
      <name val="Calibri"/>
      <family val="2"/>
      <charset val="1"/>
    </font>
    <font>
      <i/>
      <sz val="9"/>
      <color rgb="FF010000"/>
      <name val="Calibri"/>
      <family val="2"/>
      <charset val="204"/>
    </font>
    <font>
      <b/>
      <u/>
      <sz val="10"/>
      <color rgb="FF558ED5"/>
      <name val="Calibri"/>
      <family val="2"/>
      <charset val="1"/>
    </font>
    <font>
      <sz val="8"/>
      <color rgb="FF010000"/>
      <name val="Arial"/>
      <family val="2"/>
      <charset val="204"/>
    </font>
    <font>
      <b/>
      <sz val="16"/>
      <color rgb="FF010000"/>
      <name val="Calibri"/>
      <family val="2"/>
      <charset val="204"/>
    </font>
    <font>
      <b/>
      <i/>
      <sz val="14"/>
      <color rgb="FF010000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8D8D8"/>
        <bgColor rgb="FFBFBFB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D8056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3" fillId="0" borderId="0" xfId="2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5" fillId="4" borderId="1" xfId="0" applyFont="1" applyFill="1" applyBorder="1"/>
    <xf numFmtId="0" fontId="0" fillId="0" borderId="3" xfId="0" applyBorder="1"/>
    <xf numFmtId="0" fontId="0" fillId="0" borderId="4" xfId="0" applyBorder="1"/>
    <xf numFmtId="0" fontId="0" fillId="2" borderId="4" xfId="0" applyFill="1" applyBorder="1"/>
    <xf numFmtId="1" fontId="0" fillId="2" borderId="4" xfId="0" applyNumberFormat="1" applyFill="1" applyBorder="1"/>
    <xf numFmtId="10" fontId="0" fillId="0" borderId="4" xfId="1" applyNumberFormat="1" applyFont="1" applyBorder="1"/>
    <xf numFmtId="10" fontId="0" fillId="2" borderId="4" xfId="1" applyNumberFormat="1" applyFont="1" applyFill="1" applyBorder="1"/>
    <xf numFmtId="0" fontId="0" fillId="5" borderId="0" xfId="0" applyFill="1"/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6" borderId="4" xfId="0" applyFill="1" applyBorder="1"/>
    <xf numFmtId="1" fontId="0" fillId="6" borderId="4" xfId="0" applyNumberFormat="1" applyFill="1" applyBorder="1"/>
    <xf numFmtId="10" fontId="0" fillId="6" borderId="4" xfId="1" applyNumberFormat="1" applyFont="1" applyFill="1" applyBorder="1"/>
    <xf numFmtId="2" fontId="0" fillId="0" borderId="4" xfId="0" applyNumberFormat="1" applyBorder="1"/>
    <xf numFmtId="9" fontId="0" fillId="0" borderId="4" xfId="0" applyNumberFormat="1" applyBorder="1"/>
    <xf numFmtId="0" fontId="4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10" fontId="0" fillId="0" borderId="0" xfId="1" applyNumberFormat="1" applyFont="1" applyBorder="1"/>
    <xf numFmtId="0" fontId="0" fillId="2" borderId="7" xfId="0" applyFill="1" applyBorder="1"/>
    <xf numFmtId="10" fontId="0" fillId="6" borderId="7" xfId="1" applyNumberFormat="1" applyFont="1" applyFill="1" applyBorder="1"/>
    <xf numFmtId="0" fontId="0" fillId="7" borderId="1" xfId="0" applyFill="1" applyBorder="1"/>
    <xf numFmtId="0" fontId="5" fillId="7" borderId="1" xfId="0" applyFont="1" applyFill="1" applyBorder="1"/>
    <xf numFmtId="0" fontId="0" fillId="0" borderId="4" xfId="0" applyFill="1" applyBorder="1"/>
    <xf numFmtId="10" fontId="6" fillId="0" borderId="4" xfId="0" applyNumberFormat="1" applyFont="1" applyFill="1" applyBorder="1"/>
    <xf numFmtId="10" fontId="0" fillId="0" borderId="4" xfId="0" applyNumberFormat="1" applyFill="1" applyBorder="1"/>
    <xf numFmtId="1" fontId="0" fillId="0" borderId="4" xfId="0" applyNumberFormat="1" applyFill="1" applyBorder="1"/>
    <xf numFmtId="0" fontId="7" fillId="0" borderId="0" xfId="4"/>
    <xf numFmtId="0" fontId="7" fillId="8" borderId="0" xfId="4" applyFill="1"/>
    <xf numFmtId="0" fontId="7" fillId="8" borderId="8" xfId="4" applyFill="1" applyBorder="1"/>
    <xf numFmtId="0" fontId="7" fillId="8" borderId="9" xfId="4" applyFill="1" applyBorder="1"/>
    <xf numFmtId="0" fontId="7" fillId="8" borderId="10" xfId="4" applyFill="1" applyBorder="1"/>
    <xf numFmtId="0" fontId="8" fillId="0" borderId="0" xfId="4" applyFont="1" applyAlignment="1">
      <alignment wrapText="1"/>
    </xf>
    <xf numFmtId="49" fontId="9" fillId="9" borderId="0" xfId="4" applyNumberFormat="1" applyFont="1" applyFill="1" applyAlignment="1">
      <alignment horizontal="right" vertical="top"/>
    </xf>
    <xf numFmtId="49" fontId="9" fillId="10" borderId="0" xfId="4" applyNumberFormat="1" applyFont="1" applyFill="1" applyAlignment="1">
      <alignment horizontal="right" vertical="top"/>
    </xf>
    <xf numFmtId="0" fontId="9" fillId="9" borderId="0" xfId="4" applyFont="1" applyFill="1" applyAlignment="1">
      <alignment horizontal="left" vertical="top"/>
    </xf>
    <xf numFmtId="165" fontId="10" fillId="10" borderId="0" xfId="4" applyNumberFormat="1" applyFont="1" applyFill="1" applyAlignment="1">
      <alignment horizontal="right" vertical="top"/>
    </xf>
    <xf numFmtId="0" fontId="10" fillId="10" borderId="11" xfId="4" applyFont="1" applyFill="1" applyBorder="1" applyAlignment="1">
      <alignment horizontal="left" vertical="top" wrapText="1"/>
    </xf>
    <xf numFmtId="166" fontId="9" fillId="9" borderId="0" xfId="4" applyNumberFormat="1" applyFont="1" applyFill="1" applyAlignment="1">
      <alignment horizontal="right" vertical="top"/>
    </xf>
    <xf numFmtId="165" fontId="9" fillId="10" borderId="0" xfId="4" applyNumberFormat="1" applyFont="1" applyFill="1" applyAlignment="1">
      <alignment horizontal="right" vertical="top"/>
    </xf>
    <xf numFmtId="166" fontId="9" fillId="10" borderId="0" xfId="4" applyNumberFormat="1" applyFont="1" applyFill="1" applyAlignment="1">
      <alignment horizontal="right" vertical="top"/>
    </xf>
    <xf numFmtId="167" fontId="9" fillId="9" borderId="0" xfId="4" applyNumberFormat="1" applyFont="1" applyFill="1" applyAlignment="1">
      <alignment horizontal="right" vertical="top"/>
    </xf>
    <xf numFmtId="167" fontId="9" fillId="10" borderId="0" xfId="4" applyNumberFormat="1" applyFont="1" applyFill="1" applyAlignment="1">
      <alignment horizontal="right" vertical="top"/>
    </xf>
    <xf numFmtId="165" fontId="9" fillId="9" borderId="0" xfId="4" applyNumberFormat="1" applyFont="1" applyFill="1" applyAlignment="1">
      <alignment horizontal="right" vertical="top"/>
    </xf>
    <xf numFmtId="166" fontId="10" fillId="10" borderId="0" xfId="4" applyNumberFormat="1" applyFont="1" applyFill="1" applyAlignment="1">
      <alignment horizontal="right" vertical="top"/>
    </xf>
    <xf numFmtId="165" fontId="10" fillId="10" borderId="12" xfId="4" applyNumberFormat="1" applyFont="1" applyFill="1" applyBorder="1" applyAlignment="1">
      <alignment horizontal="right" vertical="top"/>
    </xf>
    <xf numFmtId="166" fontId="10" fillId="10" borderId="12" xfId="4" applyNumberFormat="1" applyFont="1" applyFill="1" applyBorder="1" applyAlignment="1">
      <alignment horizontal="right" vertical="top"/>
    </xf>
    <xf numFmtId="166" fontId="10" fillId="9" borderId="12" xfId="4" applyNumberFormat="1" applyFont="1" applyFill="1" applyBorder="1" applyAlignment="1">
      <alignment horizontal="right" vertical="top"/>
    </xf>
    <xf numFmtId="0" fontId="11" fillId="9" borderId="0" xfId="4" applyFont="1" applyFill="1" applyAlignment="1">
      <alignment horizontal="left" vertical="top"/>
    </xf>
    <xf numFmtId="168" fontId="12" fillId="9" borderId="13" xfId="4" applyNumberFormat="1" applyFont="1" applyFill="1" applyBorder="1" applyAlignment="1">
      <alignment horizontal="left"/>
    </xf>
    <xf numFmtId="0" fontId="13" fillId="0" borderId="0" xfId="4" applyFont="1" applyAlignment="1">
      <alignment horizontal="left" vertical="top" wrapText="1"/>
    </xf>
    <xf numFmtId="0" fontId="14" fillId="9" borderId="13" xfId="4" applyFont="1" applyFill="1" applyBorder="1" applyAlignment="1">
      <alignment horizontal="left" vertical="top" wrapText="1"/>
    </xf>
    <xf numFmtId="0" fontId="15" fillId="0" borderId="0" xfId="4" applyFont="1"/>
    <xf numFmtId="0" fontId="16" fillId="10" borderId="13" xfId="4" applyFont="1" applyFill="1" applyBorder="1"/>
    <xf numFmtId="0" fontId="17" fillId="0" borderId="0" xfId="4" applyFont="1" applyAlignment="1">
      <alignment horizontal="left" vertical="top"/>
    </xf>
    <xf numFmtId="0" fontId="7" fillId="8" borderId="14" xfId="4" applyFill="1" applyBorder="1"/>
    <xf numFmtId="169" fontId="9" fillId="9" borderId="0" xfId="4" applyNumberFormat="1" applyFont="1" applyFill="1" applyAlignment="1">
      <alignment horizontal="right" vertical="top"/>
    </xf>
    <xf numFmtId="169" fontId="9" fillId="10" borderId="0" xfId="4" applyNumberFormat="1" applyFont="1" applyFill="1" applyAlignment="1">
      <alignment horizontal="right" vertical="top"/>
    </xf>
    <xf numFmtId="0" fontId="7" fillId="8" borderId="4" xfId="4" applyFill="1" applyBorder="1"/>
    <xf numFmtId="0" fontId="7" fillId="11" borderId="0" xfId="4" applyFill="1"/>
    <xf numFmtId="170" fontId="7" fillId="12" borderId="4" xfId="3" applyNumberFormat="1" applyFont="1" applyFill="1" applyBorder="1"/>
    <xf numFmtId="170" fontId="7" fillId="8" borderId="4" xfId="3" applyNumberFormat="1" applyFont="1" applyFill="1" applyBorder="1"/>
    <xf numFmtId="10" fontId="0" fillId="0" borderId="0" xfId="0" applyNumberFormat="1"/>
    <xf numFmtId="2" fontId="0" fillId="0" borderId="7" xfId="0" applyNumberFormat="1" applyFill="1" applyBorder="1"/>
    <xf numFmtId="43" fontId="0" fillId="0" borderId="4" xfId="3" applyFont="1" applyBorder="1"/>
    <xf numFmtId="43" fontId="0" fillId="2" borderId="4" xfId="3" applyFont="1" applyFill="1" applyBorder="1"/>
    <xf numFmtId="43" fontId="0" fillId="6" borderId="4" xfId="3" applyFont="1" applyFill="1" applyBorder="1"/>
    <xf numFmtId="170" fontId="0" fillId="0" borderId="4" xfId="3" applyNumberFormat="1" applyFont="1" applyBorder="1"/>
    <xf numFmtId="9" fontId="0" fillId="0" borderId="4" xfId="1" applyFont="1" applyBorder="1"/>
    <xf numFmtId="171" fontId="0" fillId="0" borderId="0" xfId="5" applyNumberFormat="1" applyFont="1"/>
    <xf numFmtId="171" fontId="0" fillId="14" borderId="0" xfId="0" applyNumberFormat="1" applyFill="1" applyBorder="1"/>
    <xf numFmtId="171" fontId="0" fillId="14" borderId="0" xfId="5" applyNumberFormat="1" applyFont="1" applyFill="1" applyBorder="1"/>
    <xf numFmtId="0" fontId="0" fillId="14" borderId="3" xfId="0" applyFill="1" applyBorder="1"/>
    <xf numFmtId="10" fontId="0" fillId="14" borderId="15" xfId="1" applyNumberFormat="1" applyFont="1" applyFill="1" applyBorder="1"/>
    <xf numFmtId="0" fontId="0" fillId="14" borderId="16" xfId="0" applyFill="1" applyBorder="1"/>
    <xf numFmtId="171" fontId="0" fillId="14" borderId="17" xfId="5" applyNumberFormat="1" applyFont="1" applyFill="1" applyBorder="1"/>
    <xf numFmtId="9" fontId="0" fillId="14" borderId="18" xfId="1" applyFont="1" applyFill="1" applyBorder="1"/>
    <xf numFmtId="0" fontId="0" fillId="13" borderId="5" xfId="0" applyFill="1" applyBorder="1"/>
    <xf numFmtId="0" fontId="0" fillId="13" borderId="19" xfId="0" applyFill="1" applyBorder="1"/>
    <xf numFmtId="0" fontId="0" fillId="13" borderId="6" xfId="0" applyFill="1" applyBorder="1"/>
    <xf numFmtId="171" fontId="0" fillId="13" borderId="19" xfId="5" applyNumberFormat="1" applyFont="1" applyFill="1" applyBorder="1"/>
    <xf numFmtId="0" fontId="0" fillId="14" borderId="20" xfId="0" applyFill="1" applyBorder="1"/>
    <xf numFmtId="171" fontId="0" fillId="14" borderId="1" xfId="0" applyNumberFormat="1" applyFill="1" applyBorder="1"/>
    <xf numFmtId="10" fontId="0" fillId="14" borderId="21" xfId="1" applyNumberFormat="1" applyFont="1" applyFill="1" applyBorder="1"/>
    <xf numFmtId="171" fontId="0" fillId="14" borderId="1" xfId="5" applyNumberFormat="1" applyFont="1" applyFill="1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/>
    <xf numFmtId="0" fontId="0" fillId="7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10" fillId="10" borderId="11" xfId="4" applyFont="1" applyFill="1" applyBorder="1" applyAlignment="1">
      <alignment horizontal="left" vertical="top" wrapText="1"/>
    </xf>
    <xf numFmtId="0" fontId="7" fillId="0" borderId="0" xfId="4"/>
    <xf numFmtId="0" fontId="7" fillId="8" borderId="5" xfId="4" applyFill="1" applyBorder="1" applyAlignment="1">
      <alignment horizontal="center"/>
    </xf>
    <xf numFmtId="0" fontId="7" fillId="8" borderId="6" xfId="4" applyFill="1" applyBorder="1" applyAlignment="1">
      <alignment horizontal="center"/>
    </xf>
    <xf numFmtId="0" fontId="7" fillId="12" borderId="4" xfId="4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</cellXfs>
  <cellStyles count="6">
    <cellStyle name="Comma" xfId="3" builtinId="3"/>
    <cellStyle name="Currency" xfId="5" builtinId="4"/>
    <cellStyle name="Hyperlink" xfId="2" builtinId="8"/>
    <cellStyle name="Normal" xfId="0" builtinId="0"/>
    <cellStyle name="Normal 2" xfId="4" xr:uid="{5CED90F4-6F0E-5E40-8C75-B5A26BA29071}"/>
    <cellStyle name="Percent" xfId="1" builtinId="5"/>
  </cellStyles>
  <dxfs count="2"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3792"/>
      <color rgb="FFD80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Online Food Delivery - World'!$K$7</c:f>
              <c:strCache>
                <c:ptCount val="1"/>
                <c:pt idx="0">
                  <c:v>P2C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Online Food Delivery - World'!$J$8:$J$15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'2. Online Food Delivery - World'!$K$8:$K$15</c:f>
              <c:numCache>
                <c:formatCode>General</c:formatCode>
                <c:ptCount val="8"/>
                <c:pt idx="0">
                  <c:v>35299</c:v>
                </c:pt>
                <c:pt idx="1">
                  <c:v>44282</c:v>
                </c:pt>
                <c:pt idx="2">
                  <c:v>53785</c:v>
                </c:pt>
                <c:pt idx="3">
                  <c:v>62797</c:v>
                </c:pt>
                <c:pt idx="4">
                  <c:v>70673</c:v>
                </c:pt>
                <c:pt idx="5">
                  <c:v>77135</c:v>
                </c:pt>
                <c:pt idx="6">
                  <c:v>82176</c:v>
                </c:pt>
                <c:pt idx="7">
                  <c:v>86006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2-2540-804C-262D26CB6BF8}"/>
            </c:ext>
          </c:extLst>
        </c:ser>
        <c:ser>
          <c:idx val="1"/>
          <c:order val="1"/>
          <c:tx>
            <c:strRef>
              <c:f>'2. Online Food Delivery - World'!$L$7</c:f>
              <c:strCache>
                <c:ptCount val="1"/>
                <c:pt idx="0">
                  <c:v>R2C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Online Food Delivery - World'!$J$8:$J$15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'2. Online Food Delivery - World'!$L$8:$L$15</c:f>
              <c:numCache>
                <c:formatCode>General</c:formatCode>
                <c:ptCount val="8"/>
                <c:pt idx="0">
                  <c:v>40892</c:v>
                </c:pt>
                <c:pt idx="1">
                  <c:v>47123</c:v>
                </c:pt>
                <c:pt idx="2">
                  <c:v>53652</c:v>
                </c:pt>
                <c:pt idx="3">
                  <c:v>59940</c:v>
                </c:pt>
                <c:pt idx="4">
                  <c:v>65624</c:v>
                </c:pt>
                <c:pt idx="5">
                  <c:v>70538</c:v>
                </c:pt>
                <c:pt idx="6">
                  <c:v>74642</c:v>
                </c:pt>
                <c:pt idx="7">
                  <c:v>77996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2-2540-804C-262D26CB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901519"/>
        <c:axId val="1995903151"/>
      </c:lineChart>
      <c:catAx>
        <c:axId val="19959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03151"/>
        <c:crosses val="autoZero"/>
        <c:auto val="1"/>
        <c:lblAlgn val="ctr"/>
        <c:lblOffset val="100"/>
        <c:noMultiLvlLbl val="0"/>
      </c:catAx>
      <c:valAx>
        <c:axId val="19959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D. Hero Key Metrics'!$W$10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 D. Hero Key Metrics'!$V$11:$V$16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'9. D. Hero Key Metrics'!$W$11:$W$16</c:f>
              <c:numCache>
                <c:formatCode>_(* #,##0_);_(* \(#,##0\);_(* "-"??_);_(@_)</c:formatCode>
                <c:ptCount val="6"/>
                <c:pt idx="0">
                  <c:v>-36543</c:v>
                </c:pt>
                <c:pt idx="1">
                  <c:v>-109820</c:v>
                </c:pt>
                <c:pt idx="2">
                  <c:v>-138031</c:v>
                </c:pt>
                <c:pt idx="3">
                  <c:v>-82961</c:v>
                </c:pt>
                <c:pt idx="4">
                  <c:v>-193524</c:v>
                </c:pt>
                <c:pt idx="5">
                  <c:v>-171818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4-E440-BA24-5B1AA5CB5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90336"/>
        <c:axId val="959932304"/>
      </c:lineChart>
      <c:catAx>
        <c:axId val="9599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32304"/>
        <c:crosses val="autoZero"/>
        <c:auto val="1"/>
        <c:lblAlgn val="ctr"/>
        <c:lblOffset val="100"/>
        <c:noMultiLvlLbl val="0"/>
      </c:catAx>
      <c:valAx>
        <c:axId val="9599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D. Hero Key Metrics'!$W$25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 D. Hero Key Metrics'!$V$26:$V$31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'9. D. Hero Key Metrics'!$W$26:$W$31</c:f>
              <c:numCache>
                <c:formatCode>_(* #,##0_);_(* \(#,##0\);_(* "-"??_);_(@_)</c:formatCode>
                <c:ptCount val="6"/>
                <c:pt idx="0">
                  <c:v>55311</c:v>
                </c:pt>
                <c:pt idx="1">
                  <c:v>116740</c:v>
                </c:pt>
                <c:pt idx="2">
                  <c:v>184322</c:v>
                </c:pt>
                <c:pt idx="3">
                  <c:v>320672</c:v>
                </c:pt>
                <c:pt idx="4">
                  <c:v>511667</c:v>
                </c:pt>
                <c:pt idx="5">
                  <c:v>784862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4-2F46-AB27-0892F149C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493904"/>
        <c:axId val="919495536"/>
      </c:lineChart>
      <c:catAx>
        <c:axId val="91949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95536"/>
        <c:crosses val="autoZero"/>
        <c:auto val="1"/>
        <c:lblAlgn val="ctr"/>
        <c:lblOffset val="100"/>
        <c:noMultiLvlLbl val="0"/>
      </c:catAx>
      <c:valAx>
        <c:axId val="9194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9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Regression'!$H$11:$H$21</c:f>
              <c:numCache>
                <c:formatCode>0.00%</c:formatCode>
                <c:ptCount val="11"/>
                <c:pt idx="0">
                  <c:v>0.54600000000000004</c:v>
                </c:pt>
                <c:pt idx="1">
                  <c:v>0.54900000000000004</c:v>
                </c:pt>
                <c:pt idx="2">
                  <c:v>0.55400000000000005</c:v>
                </c:pt>
                <c:pt idx="3">
                  <c:v>0.55720688733414958</c:v>
                </c:pt>
                <c:pt idx="4">
                  <c:v>0.56057512784592345</c:v>
                </c:pt>
                <c:pt idx="5">
                  <c:v>0.56394336835769743</c:v>
                </c:pt>
                <c:pt idx="6">
                  <c:v>0.5673116088694713</c:v>
                </c:pt>
                <c:pt idx="7">
                  <c:v>0.57067984938124516</c:v>
                </c:pt>
                <c:pt idx="8">
                  <c:v>0.57404808989301903</c:v>
                </c:pt>
                <c:pt idx="9">
                  <c:v>0.57741633040479301</c:v>
                </c:pt>
                <c:pt idx="10">
                  <c:v>0.58078457091656688</c:v>
                </c:pt>
              </c:numCache>
            </c:numRef>
          </c:xVal>
          <c:yVal>
            <c:numRef>
              <c:f>'11. Regression'!$D$49:$D$59</c:f>
              <c:numCache>
                <c:formatCode>General</c:formatCode>
                <c:ptCount val="11"/>
                <c:pt idx="0">
                  <c:v>-8036.6878508711234</c:v>
                </c:pt>
                <c:pt idx="1">
                  <c:v>-2247.243722102372</c:v>
                </c:pt>
                <c:pt idx="2">
                  <c:v>-1922.8368408211973</c:v>
                </c:pt>
                <c:pt idx="3">
                  <c:v>3302.6668747002259</c:v>
                </c:pt>
                <c:pt idx="4">
                  <c:v>6281.276577714365</c:v>
                </c:pt>
                <c:pt idx="5">
                  <c:v>7075.8862807282712</c:v>
                </c:pt>
                <c:pt idx="6">
                  <c:v>5639.4959837424103</c:v>
                </c:pt>
                <c:pt idx="7">
                  <c:v>2242.1056867565494</c:v>
                </c:pt>
                <c:pt idx="8">
                  <c:v>-932.5135074557038</c:v>
                </c:pt>
                <c:pt idx="9">
                  <c:v>-4111.554329949664</c:v>
                </c:pt>
                <c:pt idx="10">
                  <c:v>-7290.5951524433913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3-B74A-86B2-6ECFA72E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410736"/>
        <c:axId val="1484412368"/>
      </c:scatterChart>
      <c:valAx>
        <c:axId val="148441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84412368"/>
        <c:crosses val="autoZero"/>
        <c:crossBetween val="midCat"/>
      </c:valAx>
      <c:valAx>
        <c:axId val="148441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4410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'11. Regression'!$H$11:$H$21</c:f>
              <c:numCache>
                <c:formatCode>0.00%</c:formatCode>
                <c:ptCount val="11"/>
                <c:pt idx="0">
                  <c:v>0.54600000000000004</c:v>
                </c:pt>
                <c:pt idx="1">
                  <c:v>0.54900000000000004</c:v>
                </c:pt>
                <c:pt idx="2">
                  <c:v>0.55400000000000005</c:v>
                </c:pt>
                <c:pt idx="3">
                  <c:v>0.55720688733414958</c:v>
                </c:pt>
                <c:pt idx="4">
                  <c:v>0.56057512784592345</c:v>
                </c:pt>
                <c:pt idx="5">
                  <c:v>0.56394336835769743</c:v>
                </c:pt>
                <c:pt idx="6">
                  <c:v>0.5673116088694713</c:v>
                </c:pt>
                <c:pt idx="7">
                  <c:v>0.57067984938124516</c:v>
                </c:pt>
                <c:pt idx="8">
                  <c:v>0.57404808989301903</c:v>
                </c:pt>
                <c:pt idx="9">
                  <c:v>0.57741633040479301</c:v>
                </c:pt>
                <c:pt idx="10">
                  <c:v>0.58078457091656688</c:v>
                </c:pt>
              </c:numCache>
            </c:numRef>
          </c:xVal>
          <c:yVal>
            <c:numRef>
              <c:f>'11. Regression'!$E$7:$E$17</c:f>
              <c:numCache>
                <c:formatCode>General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 formatCode="0">
                  <c:v>171408.77110277337</c:v>
                </c:pt>
                <c:pt idx="9" formatCode="0">
                  <c:v>178811.12057726551</c:v>
                </c:pt>
                <c:pt idx="10" formatCode="0">
                  <c:v>186213.47005175764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1-EC4E-ABE9-B2B7B9A645B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'11. Regression'!$H$11:$H$21</c:f>
              <c:numCache>
                <c:formatCode>0.00%</c:formatCode>
                <c:ptCount val="11"/>
                <c:pt idx="0">
                  <c:v>0.54600000000000004</c:v>
                </c:pt>
                <c:pt idx="1">
                  <c:v>0.54900000000000004</c:v>
                </c:pt>
                <c:pt idx="2">
                  <c:v>0.55400000000000005</c:v>
                </c:pt>
                <c:pt idx="3">
                  <c:v>0.55720688733414958</c:v>
                </c:pt>
                <c:pt idx="4">
                  <c:v>0.56057512784592345</c:v>
                </c:pt>
                <c:pt idx="5">
                  <c:v>0.56394336835769743</c:v>
                </c:pt>
                <c:pt idx="6">
                  <c:v>0.5673116088694713</c:v>
                </c:pt>
                <c:pt idx="7">
                  <c:v>0.57067984938124516</c:v>
                </c:pt>
                <c:pt idx="8">
                  <c:v>0.57404808989301903</c:v>
                </c:pt>
                <c:pt idx="9">
                  <c:v>0.57741633040479301</c:v>
                </c:pt>
                <c:pt idx="10">
                  <c:v>0.58078457091656688</c:v>
                </c:pt>
              </c:numCache>
            </c:numRef>
          </c:xVal>
          <c:yVal>
            <c:numRef>
              <c:f>'11. Regression'!$C$49:$C$59</c:f>
              <c:numCache>
                <c:formatCode>General</c:formatCode>
                <c:ptCount val="11"/>
                <c:pt idx="0">
                  <c:v>84227.687850871123</c:v>
                </c:pt>
                <c:pt idx="1">
                  <c:v>93652.243722102372</c:v>
                </c:pt>
                <c:pt idx="2">
                  <c:v>109359.8368408212</c:v>
                </c:pt>
                <c:pt idx="3">
                  <c:v>119434.33312529977</c:v>
                </c:pt>
                <c:pt idx="4">
                  <c:v>130015.72342228564</c:v>
                </c:pt>
                <c:pt idx="5">
                  <c:v>140597.11371927173</c:v>
                </c:pt>
                <c:pt idx="6">
                  <c:v>151178.50401625759</c:v>
                </c:pt>
                <c:pt idx="7">
                  <c:v>161759.89431324345</c:v>
                </c:pt>
                <c:pt idx="8">
                  <c:v>172341.28461022908</c:v>
                </c:pt>
                <c:pt idx="9">
                  <c:v>182922.67490721517</c:v>
                </c:pt>
                <c:pt idx="10">
                  <c:v>193504.06520420103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21-EC4E-ABE9-B2B7B9A6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659328"/>
        <c:axId val="1589029632"/>
      </c:scatterChart>
      <c:valAx>
        <c:axId val="158865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589029632"/>
        <c:crosses val="autoZero"/>
        <c:crossBetween val="midCat"/>
      </c:valAx>
      <c:valAx>
        <c:axId val="1589029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86593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Regression'!$T$14:$T$24</c:f>
              <c:numCache>
                <c:formatCode>0.00%</c:formatCode>
                <c:ptCount val="11"/>
                <c:pt idx="0">
                  <c:v>0.89100000000000001</c:v>
                </c:pt>
                <c:pt idx="1">
                  <c:v>0.89400000000000002</c:v>
                </c:pt>
                <c:pt idx="2">
                  <c:v>0.89734001900009841</c:v>
                </c:pt>
                <c:pt idx="3">
                  <c:v>0.90067484265685616</c:v>
                </c:pt>
                <c:pt idx="4">
                  <c:v>0.9040096663136139</c:v>
                </c:pt>
                <c:pt idx="5">
                  <c:v>0.90734448997037154</c:v>
                </c:pt>
                <c:pt idx="6">
                  <c:v>0.91067931362712928</c:v>
                </c:pt>
                <c:pt idx="7">
                  <c:v>0.91401413728388703</c:v>
                </c:pt>
                <c:pt idx="8">
                  <c:v>0.91734896094064478</c:v>
                </c:pt>
                <c:pt idx="9">
                  <c:v>0.92068378459740252</c:v>
                </c:pt>
                <c:pt idx="10">
                  <c:v>0.92401860825416027</c:v>
                </c:pt>
              </c:numCache>
            </c:numRef>
          </c:xVal>
          <c:yVal>
            <c:numRef>
              <c:f>'11. Regression'!$P$50:$P$60</c:f>
              <c:numCache>
                <c:formatCode>General</c:formatCode>
                <c:ptCount val="11"/>
                <c:pt idx="0">
                  <c:v>-10283.858289525728</c:v>
                </c:pt>
                <c:pt idx="1">
                  <c:v>-4325.9907124701422</c:v>
                </c:pt>
                <c:pt idx="2">
                  <c:v>7.0816925458493643</c:v>
                </c:pt>
                <c:pt idx="3">
                  <c:v>4330.4119242006564</c:v>
                </c:pt>
                <c:pt idx="4">
                  <c:v>8276.2979701810982</c:v>
                </c:pt>
                <c:pt idx="5">
                  <c:v>7441.3164158152649</c:v>
                </c:pt>
                <c:pt idx="6">
                  <c:v>5609.6466474700719</c:v>
                </c:pt>
                <c:pt idx="7">
                  <c:v>3179.5326934500481</c:v>
                </c:pt>
                <c:pt idx="8">
                  <c:v>-1624.6777581423521</c:v>
                </c:pt>
                <c:pt idx="9">
                  <c:v>-5198.9980519954115</c:v>
                </c:pt>
                <c:pt idx="10">
                  <c:v>-7410.7625315233599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6-C64C-8D84-A7CA737D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08944"/>
        <c:axId val="1483610576"/>
      </c:scatterChart>
      <c:valAx>
        <c:axId val="148360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83610576"/>
        <c:crosses val="autoZero"/>
        <c:crossBetween val="midCat"/>
      </c:valAx>
      <c:valAx>
        <c:axId val="148361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608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Regression'!$U$14:$U$24</c:f>
              <c:numCache>
                <c:formatCode>0.00%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Regression'!$P$50:$P$60</c:f>
              <c:numCache>
                <c:formatCode>General</c:formatCode>
                <c:ptCount val="11"/>
                <c:pt idx="0">
                  <c:v>-10283.858289525728</c:v>
                </c:pt>
                <c:pt idx="1">
                  <c:v>-4325.9907124701422</c:v>
                </c:pt>
                <c:pt idx="2">
                  <c:v>7.0816925458493643</c:v>
                </c:pt>
                <c:pt idx="3">
                  <c:v>4330.4119242006564</c:v>
                </c:pt>
                <c:pt idx="4">
                  <c:v>8276.2979701810982</c:v>
                </c:pt>
                <c:pt idx="5">
                  <c:v>7441.3164158152649</c:v>
                </c:pt>
                <c:pt idx="6">
                  <c:v>5609.6466474700719</c:v>
                </c:pt>
                <c:pt idx="7">
                  <c:v>3179.5326934500481</c:v>
                </c:pt>
                <c:pt idx="8">
                  <c:v>-1624.6777581423521</c:v>
                </c:pt>
                <c:pt idx="9">
                  <c:v>-5198.9980519954115</c:v>
                </c:pt>
                <c:pt idx="10">
                  <c:v>-7410.7625315233599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DB4F-91BC-C6C718BA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56688"/>
        <c:axId val="1479477008"/>
      </c:scatterChart>
      <c:valAx>
        <c:axId val="147945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79477008"/>
        <c:crosses val="autoZero"/>
        <c:crossBetween val="midCat"/>
      </c:valAx>
      <c:valAx>
        <c:axId val="147947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45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'11. Regression'!$T$14:$T$24</c:f>
              <c:numCache>
                <c:formatCode>0.00%</c:formatCode>
                <c:ptCount val="11"/>
                <c:pt idx="0">
                  <c:v>0.89100000000000001</c:v>
                </c:pt>
                <c:pt idx="1">
                  <c:v>0.89400000000000002</c:v>
                </c:pt>
                <c:pt idx="2">
                  <c:v>0.89734001900009841</c:v>
                </c:pt>
                <c:pt idx="3">
                  <c:v>0.90067484265685616</c:v>
                </c:pt>
                <c:pt idx="4">
                  <c:v>0.9040096663136139</c:v>
                </c:pt>
                <c:pt idx="5">
                  <c:v>0.90734448997037154</c:v>
                </c:pt>
                <c:pt idx="6">
                  <c:v>0.91067931362712928</c:v>
                </c:pt>
                <c:pt idx="7">
                  <c:v>0.91401413728388703</c:v>
                </c:pt>
                <c:pt idx="8">
                  <c:v>0.91734896094064478</c:v>
                </c:pt>
                <c:pt idx="9">
                  <c:v>0.92068378459740252</c:v>
                </c:pt>
                <c:pt idx="10">
                  <c:v>0.92401860825416027</c:v>
                </c:pt>
              </c:numCache>
            </c:numRef>
          </c:xVal>
          <c:yVal>
            <c:numRef>
              <c:f>'11. Regression'!$Q$7:$Q$17</c:f>
              <c:numCache>
                <c:formatCode>General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 formatCode="0">
                  <c:v>171408.77110277337</c:v>
                </c:pt>
                <c:pt idx="9" formatCode="0">
                  <c:v>178811.12057726551</c:v>
                </c:pt>
                <c:pt idx="10" formatCode="0">
                  <c:v>186213.47005175764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B-A14F-A0E6-2BA924E611F3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'11. Regression'!$T$14:$T$24</c:f>
              <c:numCache>
                <c:formatCode>0.00%</c:formatCode>
                <c:ptCount val="11"/>
                <c:pt idx="0">
                  <c:v>0.89100000000000001</c:v>
                </c:pt>
                <c:pt idx="1">
                  <c:v>0.89400000000000002</c:v>
                </c:pt>
                <c:pt idx="2">
                  <c:v>0.89734001900009841</c:v>
                </c:pt>
                <c:pt idx="3">
                  <c:v>0.90067484265685616</c:v>
                </c:pt>
                <c:pt idx="4">
                  <c:v>0.9040096663136139</c:v>
                </c:pt>
                <c:pt idx="5">
                  <c:v>0.90734448997037154</c:v>
                </c:pt>
                <c:pt idx="6">
                  <c:v>0.91067931362712928</c:v>
                </c:pt>
                <c:pt idx="7">
                  <c:v>0.91401413728388703</c:v>
                </c:pt>
                <c:pt idx="8">
                  <c:v>0.91734896094064478</c:v>
                </c:pt>
                <c:pt idx="9">
                  <c:v>0.92068378459740252</c:v>
                </c:pt>
                <c:pt idx="10">
                  <c:v>0.92401860825416027</c:v>
                </c:pt>
              </c:numCache>
            </c:numRef>
          </c:xVal>
          <c:yVal>
            <c:numRef>
              <c:f>'11. Regression'!$O$50:$O$60</c:f>
              <c:numCache>
                <c:formatCode>General</c:formatCode>
                <c:ptCount val="11"/>
                <c:pt idx="0">
                  <c:v>86474.858289525728</c:v>
                </c:pt>
                <c:pt idx="1">
                  <c:v>95730.990712470142</c:v>
                </c:pt>
                <c:pt idx="2">
                  <c:v>107429.91830745415</c:v>
                </c:pt>
                <c:pt idx="3">
                  <c:v>118406.58807579934</c:v>
                </c:pt>
                <c:pt idx="4">
                  <c:v>128020.7020298189</c:v>
                </c:pt>
                <c:pt idx="5">
                  <c:v>140231.68358418474</c:v>
                </c:pt>
                <c:pt idx="6">
                  <c:v>151208.35335252993</c:v>
                </c:pt>
                <c:pt idx="7">
                  <c:v>160822.46730654995</c:v>
                </c:pt>
                <c:pt idx="8">
                  <c:v>173033.44886091573</c:v>
                </c:pt>
                <c:pt idx="9">
                  <c:v>184010.11862926092</c:v>
                </c:pt>
                <c:pt idx="10">
                  <c:v>193624.232583281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B-A14F-A0E6-2BA924E6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82304"/>
        <c:axId val="1483700832"/>
      </c:scatterChart>
      <c:valAx>
        <c:axId val="148368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83700832"/>
        <c:crosses val="autoZero"/>
        <c:crossBetween val="midCat"/>
      </c:valAx>
      <c:valAx>
        <c:axId val="148370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682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'11. Regression'!$U$14:$U$24</c:f>
              <c:numCache>
                <c:formatCode>0.00%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Regression'!$Q$7:$Q$17</c:f>
              <c:numCache>
                <c:formatCode>General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 formatCode="0">
                  <c:v>171408.77110277337</c:v>
                </c:pt>
                <c:pt idx="9" formatCode="0">
                  <c:v>178811.12057726551</c:v>
                </c:pt>
                <c:pt idx="10" formatCode="0">
                  <c:v>186213.47005175764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0-D54F-B0FE-096629BE52C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'11. Regression'!$U$14:$U$24</c:f>
              <c:numCache>
                <c:formatCode>0.00%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Regression'!$O$50:$O$60</c:f>
              <c:numCache>
                <c:formatCode>General</c:formatCode>
                <c:ptCount val="11"/>
                <c:pt idx="0">
                  <c:v>86474.858289525728</c:v>
                </c:pt>
                <c:pt idx="1">
                  <c:v>95730.990712470142</c:v>
                </c:pt>
                <c:pt idx="2">
                  <c:v>107429.91830745415</c:v>
                </c:pt>
                <c:pt idx="3">
                  <c:v>118406.58807579934</c:v>
                </c:pt>
                <c:pt idx="4">
                  <c:v>128020.7020298189</c:v>
                </c:pt>
                <c:pt idx="5">
                  <c:v>140231.68358418474</c:v>
                </c:pt>
                <c:pt idx="6">
                  <c:v>151208.35335252993</c:v>
                </c:pt>
                <c:pt idx="7">
                  <c:v>160822.46730654995</c:v>
                </c:pt>
                <c:pt idx="8">
                  <c:v>173033.44886091573</c:v>
                </c:pt>
                <c:pt idx="9">
                  <c:v>184010.11862926092</c:v>
                </c:pt>
                <c:pt idx="10">
                  <c:v>193624.232583281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0-D54F-B0FE-096629BE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65664"/>
        <c:axId val="1479467296"/>
      </c:scatterChart>
      <c:valAx>
        <c:axId val="147946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79467296"/>
        <c:crosses val="autoZero"/>
        <c:crossBetween val="midCat"/>
      </c:valAx>
      <c:valAx>
        <c:axId val="1479467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9465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Regression'!$K$11:$K$21</c:f>
              <c:numCache>
                <c:formatCode>0.00%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Regression'!$D$92:$D$102</c:f>
              <c:numCache>
                <c:formatCode>General</c:formatCode>
                <c:ptCount val="11"/>
                <c:pt idx="0">
                  <c:v>-9347.2280133210588</c:v>
                </c:pt>
                <c:pt idx="1">
                  <c:v>-3825.9095548817422</c:v>
                </c:pt>
                <c:pt idx="2">
                  <c:v>-717.48494362970814</c:v>
                </c:pt>
                <c:pt idx="3">
                  <c:v>4283.2535245423205</c:v>
                </c:pt>
                <c:pt idx="4">
                  <c:v>7041.8332596744876</c:v>
                </c:pt>
                <c:pt idx="5">
                  <c:v>7616.4129948066548</c:v>
                </c:pt>
                <c:pt idx="6">
                  <c:v>5959.992729938589</c:v>
                </c:pt>
                <c:pt idx="7">
                  <c:v>2342.5724650705233</c:v>
                </c:pt>
                <c:pt idx="8">
                  <c:v>-1052.0766970239347</c:v>
                </c:pt>
                <c:pt idx="9">
                  <c:v>-4451.147487399634</c:v>
                </c:pt>
                <c:pt idx="10">
                  <c:v>-7850.2182777753333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8-C945-8027-D6E51C90B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819328"/>
        <c:axId val="1476820960"/>
      </c:scatterChart>
      <c:valAx>
        <c:axId val="14768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76820960"/>
        <c:crosses val="autoZero"/>
        <c:crossBetween val="midCat"/>
      </c:valAx>
      <c:valAx>
        <c:axId val="147682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819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'11. Regression'!$K$11:$K$21</c:f>
              <c:numCache>
                <c:formatCode>0.00%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Regression'!$E$7:$E$17</c:f>
              <c:numCache>
                <c:formatCode>General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 formatCode="0">
                  <c:v>171408.77110277337</c:v>
                </c:pt>
                <c:pt idx="9" formatCode="0">
                  <c:v>178811.12057726551</c:v>
                </c:pt>
                <c:pt idx="10" formatCode="0">
                  <c:v>186213.47005175764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0-E246-9FBB-C11B7A4FB54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'11. Regression'!$K$11:$K$21</c:f>
              <c:numCache>
                <c:formatCode>0.00%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Regression'!$C$92:$C$102</c:f>
              <c:numCache>
                <c:formatCode>General</c:formatCode>
                <c:ptCount val="11"/>
                <c:pt idx="0">
                  <c:v>85538.228013321059</c:v>
                </c:pt>
                <c:pt idx="1">
                  <c:v>95230.909554881742</c:v>
                </c:pt>
                <c:pt idx="2">
                  <c:v>108154.48494362971</c:v>
                </c:pt>
                <c:pt idx="3">
                  <c:v>118453.74647545768</c:v>
                </c:pt>
                <c:pt idx="4">
                  <c:v>129255.16674032551</c:v>
                </c:pt>
                <c:pt idx="5">
                  <c:v>140056.58700519335</c:v>
                </c:pt>
                <c:pt idx="6">
                  <c:v>150858.00727006141</c:v>
                </c:pt>
                <c:pt idx="7">
                  <c:v>161659.42753492948</c:v>
                </c:pt>
                <c:pt idx="8">
                  <c:v>172460.84779979731</c:v>
                </c:pt>
                <c:pt idx="9">
                  <c:v>183262.26806466514</c:v>
                </c:pt>
                <c:pt idx="10">
                  <c:v>194063.68832953298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0-E246-9FBB-C11B7A4FB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05504"/>
        <c:axId val="1477007136"/>
      </c:scatterChart>
      <c:valAx>
        <c:axId val="1477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77007136"/>
        <c:crosses val="autoZero"/>
        <c:crossBetween val="midCat"/>
      </c:valAx>
      <c:valAx>
        <c:axId val="147700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005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Increment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Online Food Delivery - World'!$M$24</c:f>
              <c:strCache>
                <c:ptCount val="1"/>
                <c:pt idx="0">
                  <c:v>Inc Rate P2C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Online Food Delivery - World'!$I$25:$I$32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'2. Online Food Delivery - World'!$M$25:$M$32</c:f>
              <c:numCache>
                <c:formatCode>0.00%</c:formatCode>
                <c:ptCount val="8"/>
                <c:pt idx="1">
                  <c:v>0.22971491228070179</c:v>
                </c:pt>
                <c:pt idx="2">
                  <c:v>0.20151582701738738</c:v>
                </c:pt>
                <c:pt idx="3">
                  <c:v>0.16122448979591833</c:v>
                </c:pt>
                <c:pt idx="4">
                  <c:v>0.12286307716887679</c:v>
                </c:pt>
                <c:pt idx="5">
                  <c:v>9.1206602162777498E-2</c:v>
                </c:pt>
                <c:pt idx="6">
                  <c:v>6.637110444647279E-2</c:v>
                </c:pt>
                <c:pt idx="7">
                  <c:v>4.9156272927366164E-2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D-144B-81AC-D1FC0870E3FC}"/>
            </c:ext>
          </c:extLst>
        </c:ser>
        <c:ser>
          <c:idx val="1"/>
          <c:order val="1"/>
          <c:tx>
            <c:strRef>
              <c:f>'2. Online Food Delivery - World'!$N$24</c:f>
              <c:strCache>
                <c:ptCount val="1"/>
                <c:pt idx="0">
                  <c:v>Inc Rate R2C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Online Food Delivery - World'!$I$25:$I$32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'2. Online Food Delivery - World'!$N$25:$N$32</c:f>
              <c:numCache>
                <c:formatCode>0.00%</c:formatCode>
                <c:ptCount val="8"/>
                <c:pt idx="1">
                  <c:v>0.13573295797305437</c:v>
                </c:pt>
                <c:pt idx="2">
                  <c:v>0.11791784702549581</c:v>
                </c:pt>
                <c:pt idx="3">
                  <c:v>9.8669623059867068E-2</c:v>
                </c:pt>
                <c:pt idx="4">
                  <c:v>8.079861611647679E-2</c:v>
                </c:pt>
                <c:pt idx="5">
                  <c:v>6.5141713904634926E-2</c:v>
                </c:pt>
                <c:pt idx="6">
                  <c:v>5.1853892485505662E-2</c:v>
                </c:pt>
                <c:pt idx="7">
                  <c:v>4.1547619047619021E-2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D-144B-81AC-D1FC0870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92224"/>
        <c:axId val="117316368"/>
      </c:lineChart>
      <c:catAx>
        <c:axId val="2468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368"/>
        <c:crosses val="autoZero"/>
        <c:auto val="1"/>
        <c:lblAlgn val="ctr"/>
        <c:lblOffset val="100"/>
        <c:noMultiLvlLbl val="0"/>
      </c:catAx>
      <c:valAx>
        <c:axId val="1173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Rate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Regression'!$AG$6:$AG$16</c:f>
              <c:numCache>
                <c:formatCode>0.00%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Regression'!$AG$45:$AG$55</c:f>
              <c:numCache>
                <c:formatCode>General</c:formatCode>
                <c:ptCount val="11"/>
                <c:pt idx="0">
                  <c:v>-9304.5565644779417</c:v>
                </c:pt>
                <c:pt idx="1">
                  <c:v>-3890.9269090360467</c:v>
                </c:pt>
                <c:pt idx="2">
                  <c:v>-688.21439081497374</c:v>
                </c:pt>
                <c:pt idx="3">
                  <c:v>4348.1658620173257</c:v>
                </c:pt>
                <c:pt idx="4">
                  <c:v>6848.8008858077956</c:v>
                </c:pt>
                <c:pt idx="5">
                  <c:v>7693.8278272515745</c:v>
                </c:pt>
                <c:pt idx="6">
                  <c:v>6056.7058955251996</c:v>
                </c:pt>
                <c:pt idx="7">
                  <c:v>2181.3409193156695</c:v>
                </c:pt>
                <c:pt idx="8">
                  <c:v>-942.8610364671913</c:v>
                </c:pt>
                <c:pt idx="9">
                  <c:v>-4322.6334937011707</c:v>
                </c:pt>
                <c:pt idx="10">
                  <c:v>-7979.6489954185672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B-C144-A44F-8F654521B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617472"/>
        <c:axId val="1807197792"/>
      </c:scatterChart>
      <c:valAx>
        <c:axId val="158961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Rate 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807197792"/>
        <c:crosses val="autoZero"/>
        <c:crossBetween val="midCat"/>
      </c:valAx>
      <c:valAx>
        <c:axId val="180719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61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Regression'!$AH$6:$AH$16</c:f>
              <c:numCache>
                <c:formatCode>0.00%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Regression'!$AG$45:$AG$55</c:f>
              <c:numCache>
                <c:formatCode>General</c:formatCode>
                <c:ptCount val="11"/>
                <c:pt idx="0">
                  <c:v>-9304.5565644779417</c:v>
                </c:pt>
                <c:pt idx="1">
                  <c:v>-3890.9269090360467</c:v>
                </c:pt>
                <c:pt idx="2">
                  <c:v>-688.21439081497374</c:v>
                </c:pt>
                <c:pt idx="3">
                  <c:v>4348.1658620173257</c:v>
                </c:pt>
                <c:pt idx="4">
                  <c:v>6848.8008858077956</c:v>
                </c:pt>
                <c:pt idx="5">
                  <c:v>7693.8278272515745</c:v>
                </c:pt>
                <c:pt idx="6">
                  <c:v>6056.7058955251996</c:v>
                </c:pt>
                <c:pt idx="7">
                  <c:v>2181.3409193156695</c:v>
                </c:pt>
                <c:pt idx="8">
                  <c:v>-942.8610364671913</c:v>
                </c:pt>
                <c:pt idx="9">
                  <c:v>-4322.6334937011707</c:v>
                </c:pt>
                <c:pt idx="10">
                  <c:v>-7979.6489954185672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0-584B-B137-B9595F74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42832"/>
        <c:axId val="1197143536"/>
      </c:scatterChart>
      <c:valAx>
        <c:axId val="148214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197143536"/>
        <c:crosses val="autoZero"/>
        <c:crossBetween val="midCat"/>
      </c:valAx>
      <c:valAx>
        <c:axId val="119714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1428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Rate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Online Orders Revenue </c:v>
          </c:tx>
          <c:spPr>
            <a:ln w="19050">
              <a:noFill/>
            </a:ln>
          </c:spPr>
          <c:xVal>
            <c:numRef>
              <c:f>'11. Regression'!$AG$6:$AG$16</c:f>
              <c:numCache>
                <c:formatCode>0.00%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Regression'!$AF$6:$AF$16</c:f>
              <c:numCache>
                <c:formatCode>General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 formatCode="0">
                  <c:v>171408.77110277337</c:v>
                </c:pt>
                <c:pt idx="9" formatCode="0">
                  <c:v>178811.12057726551</c:v>
                </c:pt>
                <c:pt idx="10" formatCode="0">
                  <c:v>186213.47005175764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D-BF48-9E30-A1DEE49C432C}"/>
            </c:ext>
          </c:extLst>
        </c:ser>
        <c:ser>
          <c:idx val="1"/>
          <c:order val="1"/>
          <c:tx>
            <c:v>Predicted Online Orders Revenue </c:v>
          </c:tx>
          <c:spPr>
            <a:ln w="19050">
              <a:noFill/>
            </a:ln>
          </c:spPr>
          <c:xVal>
            <c:numRef>
              <c:f>'11. Regression'!$AG$6:$AG$16</c:f>
              <c:numCache>
                <c:formatCode>0.00%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Regression'!$AF$45:$AF$55</c:f>
              <c:numCache>
                <c:formatCode>General</c:formatCode>
                <c:ptCount val="11"/>
                <c:pt idx="0">
                  <c:v>85495.556564477942</c:v>
                </c:pt>
                <c:pt idx="1">
                  <c:v>95295.926909036047</c:v>
                </c:pt>
                <c:pt idx="2">
                  <c:v>108125.21439081497</c:v>
                </c:pt>
                <c:pt idx="3">
                  <c:v>118388.83413798267</c:v>
                </c:pt>
                <c:pt idx="4">
                  <c:v>129448.1991141922</c:v>
                </c:pt>
                <c:pt idx="5">
                  <c:v>139979.17217274843</c:v>
                </c:pt>
                <c:pt idx="6">
                  <c:v>150761.2941044748</c:v>
                </c:pt>
                <c:pt idx="7">
                  <c:v>161820.65908068433</c:v>
                </c:pt>
                <c:pt idx="8">
                  <c:v>172351.63213924057</c:v>
                </c:pt>
                <c:pt idx="9">
                  <c:v>183133.75407096668</c:v>
                </c:pt>
                <c:pt idx="10">
                  <c:v>194193.11904717621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D-BF48-9E30-A1DEE49C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25184"/>
        <c:axId val="1476744432"/>
      </c:scatterChart>
      <c:valAx>
        <c:axId val="147732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Rate 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476744432"/>
        <c:crosses val="autoZero"/>
        <c:crossBetween val="midCat"/>
      </c:valAx>
      <c:valAx>
        <c:axId val="147674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Online Orders Revenue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7325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Online Orders Revenue </c:v>
          </c:tx>
          <c:spPr>
            <a:ln w="19050">
              <a:noFill/>
            </a:ln>
          </c:spPr>
          <c:xVal>
            <c:numRef>
              <c:f>'11. Regression'!$AH$6:$AH$16</c:f>
              <c:numCache>
                <c:formatCode>0.00%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Regression'!$AF$6:$AF$16</c:f>
              <c:numCache>
                <c:formatCode>General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 formatCode="0">
                  <c:v>171408.77110277337</c:v>
                </c:pt>
                <c:pt idx="9" formatCode="0">
                  <c:v>178811.12057726551</c:v>
                </c:pt>
                <c:pt idx="10" formatCode="0">
                  <c:v>186213.47005175764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E-824C-B813-0CAEC910E3DF}"/>
            </c:ext>
          </c:extLst>
        </c:ser>
        <c:ser>
          <c:idx val="1"/>
          <c:order val="1"/>
          <c:tx>
            <c:v>Predicted Online Orders Revenue </c:v>
          </c:tx>
          <c:spPr>
            <a:ln w="19050">
              <a:noFill/>
            </a:ln>
          </c:spPr>
          <c:xVal>
            <c:numRef>
              <c:f>'11. Regression'!$AH$6:$AH$16</c:f>
              <c:numCache>
                <c:formatCode>0.00%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Regression'!$AF$45:$AF$55</c:f>
              <c:numCache>
                <c:formatCode>General</c:formatCode>
                <c:ptCount val="11"/>
                <c:pt idx="0">
                  <c:v>85495.556564477942</c:v>
                </c:pt>
                <c:pt idx="1">
                  <c:v>95295.926909036047</c:v>
                </c:pt>
                <c:pt idx="2">
                  <c:v>108125.21439081497</c:v>
                </c:pt>
                <c:pt idx="3">
                  <c:v>118388.83413798267</c:v>
                </c:pt>
                <c:pt idx="4">
                  <c:v>129448.1991141922</c:v>
                </c:pt>
                <c:pt idx="5">
                  <c:v>139979.17217274843</c:v>
                </c:pt>
                <c:pt idx="6">
                  <c:v>150761.2941044748</c:v>
                </c:pt>
                <c:pt idx="7">
                  <c:v>161820.65908068433</c:v>
                </c:pt>
                <c:pt idx="8">
                  <c:v>172351.63213924057</c:v>
                </c:pt>
                <c:pt idx="9">
                  <c:v>183133.75407096668</c:v>
                </c:pt>
                <c:pt idx="10">
                  <c:v>194193.11904717621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E-824C-B813-0CAEC910E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324016"/>
        <c:axId val="1880817392"/>
      </c:scatterChart>
      <c:valAx>
        <c:axId val="144332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880817392"/>
        <c:crosses val="autoZero"/>
        <c:crossBetween val="midCat"/>
      </c:valAx>
      <c:valAx>
        <c:axId val="188081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Online Orders Revenue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324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Regression'!$BB$7:$BB$17</c:f>
              <c:numCache>
                <c:formatCode>_(* #,##0.00_);_(* \(#,##0.00\);_(* "-"??_);_(@_)</c:formatCode>
                <c:ptCount val="11"/>
                <c:pt idx="0">
                  <c:v>2.7</c:v>
                </c:pt>
                <c:pt idx="1">
                  <c:v>2.9</c:v>
                </c:pt>
                <c:pt idx="2">
                  <c:v>3.2</c:v>
                </c:pt>
                <c:pt idx="3">
                  <c:v>3.5</c:v>
                </c:pt>
                <c:pt idx="4">
                  <c:v>3.8</c:v>
                </c:pt>
                <c:pt idx="5">
                  <c:v>4.065480534521889</c:v>
                </c:pt>
                <c:pt idx="6">
                  <c:v>4.3344068806969789</c:v>
                </c:pt>
                <c:pt idx="7">
                  <c:v>4.6033332268720697</c:v>
                </c:pt>
                <c:pt idx="8">
                  <c:v>4.8722595730471596</c:v>
                </c:pt>
                <c:pt idx="9">
                  <c:v>5.1411859192222504</c:v>
                </c:pt>
                <c:pt idx="10">
                  <c:v>5.4101122653973404</c:v>
                </c:pt>
              </c:numCache>
            </c:numRef>
          </c:xVal>
          <c:yVal>
            <c:numRef>
              <c:f>'11. Regression'!$AX$44:$AX$54</c:f>
              <c:numCache>
                <c:formatCode>General</c:formatCode>
                <c:ptCount val="11"/>
                <c:pt idx="0">
                  <c:v>-10468.117065802187</c:v>
                </c:pt>
                <c:pt idx="1">
                  <c:v>-3155.2680537678971</c:v>
                </c:pt>
                <c:pt idx="2">
                  <c:v>1025.0054642834875</c:v>
                </c:pt>
                <c:pt idx="3">
                  <c:v>4473.2789823348867</c:v>
                </c:pt>
                <c:pt idx="4">
                  <c:v>6181.5525003863149</c:v>
                </c:pt>
                <c:pt idx="5">
                  <c:v>7069.5435622698278</c:v>
                </c:pt>
                <c:pt idx="6">
                  <c:v>5590.4052334131848</c:v>
                </c:pt>
                <c:pt idx="7">
                  <c:v>2150.2669045565126</c:v>
                </c:pt>
                <c:pt idx="8">
                  <c:v>-1067.1003215267265</c:v>
                </c:pt>
                <c:pt idx="9">
                  <c:v>-4288.889175891265</c:v>
                </c:pt>
                <c:pt idx="10">
                  <c:v>-7510.6780302557745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F-C746-A730-17A9F5C3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22304"/>
        <c:axId val="1268949216"/>
      </c:scatterChart>
      <c:valAx>
        <c:axId val="113952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68949216"/>
        <c:crosses val="autoZero"/>
        <c:crossBetween val="midCat"/>
      </c:valAx>
      <c:valAx>
        <c:axId val="126894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522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'11. Regression'!$BB$7:$BB$17</c:f>
              <c:numCache>
                <c:formatCode>_(* #,##0.00_);_(* \(#,##0.00\);_(* "-"??_);_(@_)</c:formatCode>
                <c:ptCount val="11"/>
                <c:pt idx="0">
                  <c:v>2.7</c:v>
                </c:pt>
                <c:pt idx="1">
                  <c:v>2.9</c:v>
                </c:pt>
                <c:pt idx="2">
                  <c:v>3.2</c:v>
                </c:pt>
                <c:pt idx="3">
                  <c:v>3.5</c:v>
                </c:pt>
                <c:pt idx="4">
                  <c:v>3.8</c:v>
                </c:pt>
                <c:pt idx="5">
                  <c:v>4.065480534521889</c:v>
                </c:pt>
                <c:pt idx="6">
                  <c:v>4.3344068806969789</c:v>
                </c:pt>
                <c:pt idx="7">
                  <c:v>4.6033332268720697</c:v>
                </c:pt>
                <c:pt idx="8">
                  <c:v>4.8722595730471596</c:v>
                </c:pt>
                <c:pt idx="9">
                  <c:v>5.1411859192222504</c:v>
                </c:pt>
                <c:pt idx="10">
                  <c:v>5.4101122653973404</c:v>
                </c:pt>
              </c:numCache>
            </c:numRef>
          </c:xVal>
          <c:yVal>
            <c:numRef>
              <c:f>'11. Regression'!$AY$7:$AY$17</c:f>
              <c:numCache>
                <c:formatCode>General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 formatCode="0">
                  <c:v>171408.77110277337</c:v>
                </c:pt>
                <c:pt idx="9" formatCode="0">
                  <c:v>178811.12057726551</c:v>
                </c:pt>
                <c:pt idx="10" formatCode="0">
                  <c:v>186213.47005175764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C6-A24E-B536-244E2B452F2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'11. Regression'!$BB$7:$BB$17</c:f>
              <c:numCache>
                <c:formatCode>_(* #,##0.00_);_(* \(#,##0.00\);_(* "-"??_);_(@_)</c:formatCode>
                <c:ptCount val="11"/>
                <c:pt idx="0">
                  <c:v>2.7</c:v>
                </c:pt>
                <c:pt idx="1">
                  <c:v>2.9</c:v>
                </c:pt>
                <c:pt idx="2">
                  <c:v>3.2</c:v>
                </c:pt>
                <c:pt idx="3">
                  <c:v>3.5</c:v>
                </c:pt>
                <c:pt idx="4">
                  <c:v>3.8</c:v>
                </c:pt>
                <c:pt idx="5">
                  <c:v>4.065480534521889</c:v>
                </c:pt>
                <c:pt idx="6">
                  <c:v>4.3344068806969789</c:v>
                </c:pt>
                <c:pt idx="7">
                  <c:v>4.6033332268720697</c:v>
                </c:pt>
                <c:pt idx="8">
                  <c:v>4.8722595730471596</c:v>
                </c:pt>
                <c:pt idx="9">
                  <c:v>5.1411859192222504</c:v>
                </c:pt>
                <c:pt idx="10">
                  <c:v>5.4101122653973404</c:v>
                </c:pt>
              </c:numCache>
            </c:numRef>
          </c:xVal>
          <c:yVal>
            <c:numRef>
              <c:f>'11. Regression'!$AW$44:$AW$54</c:f>
              <c:numCache>
                <c:formatCode>General</c:formatCode>
                <c:ptCount val="11"/>
                <c:pt idx="0">
                  <c:v>86659.117065802187</c:v>
                </c:pt>
                <c:pt idx="1">
                  <c:v>94560.268053767897</c:v>
                </c:pt>
                <c:pt idx="2">
                  <c:v>106411.99453571651</c:v>
                </c:pt>
                <c:pt idx="3">
                  <c:v>118263.72101766511</c:v>
                </c:pt>
                <c:pt idx="4">
                  <c:v>130115.44749961369</c:v>
                </c:pt>
                <c:pt idx="5">
                  <c:v>140603.45643773017</c:v>
                </c:pt>
                <c:pt idx="6">
                  <c:v>151227.59476658682</c:v>
                </c:pt>
                <c:pt idx="7">
                  <c:v>161851.73309544349</c:v>
                </c:pt>
                <c:pt idx="8">
                  <c:v>172475.8714243001</c:v>
                </c:pt>
                <c:pt idx="9">
                  <c:v>183100.00975315677</c:v>
                </c:pt>
                <c:pt idx="10">
                  <c:v>193724.14808201342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C6-A24E-B536-244E2B45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67008"/>
        <c:axId val="655489664"/>
      </c:scatterChart>
      <c:valAx>
        <c:axId val="12260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55489664"/>
        <c:crosses val="autoZero"/>
        <c:crossBetween val="midCat"/>
      </c:valAx>
      <c:valAx>
        <c:axId val="65548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6067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Rate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Regression'!$BJ$6:$BJ$16</c:f>
              <c:numCache>
                <c:formatCode>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Regression'!$BJ$46:$BJ$56</c:f>
              <c:numCache>
                <c:formatCode>General</c:formatCode>
                <c:ptCount val="11"/>
                <c:pt idx="0">
                  <c:v>-10950.081241576816</c:v>
                </c:pt>
                <c:pt idx="1">
                  <c:v>-2901.1337743626209</c:v>
                </c:pt>
                <c:pt idx="2">
                  <c:v>1769.2324471946631</c:v>
                </c:pt>
                <c:pt idx="3">
                  <c:v>4567.7460874701501</c:v>
                </c:pt>
                <c:pt idx="4">
                  <c:v>5752.8985546159674</c:v>
                </c:pt>
                <c:pt idx="5">
                  <c:v>6859.1150047981937</c:v>
                </c:pt>
                <c:pt idx="6">
                  <c:v>5464.6599746225984</c:v>
                </c:pt>
                <c:pt idx="7">
                  <c:v>2026.0067062612507</c:v>
                </c:pt>
                <c:pt idx="8">
                  <c:v>-1031.3096179288113</c:v>
                </c:pt>
                <c:pt idx="9">
                  <c:v>-4168.4151736124186</c:v>
                </c:pt>
                <c:pt idx="10">
                  <c:v>-7388.7189674812253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9-8B49-899C-DD6926F8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98224"/>
        <c:axId val="1226223504"/>
      </c:scatterChart>
      <c:valAx>
        <c:axId val="122599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Rate 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226223504"/>
        <c:crosses val="autoZero"/>
        <c:crossBetween val="midCat"/>
      </c:valAx>
      <c:valAx>
        <c:axId val="122622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99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Regression'!$BK$6:$BK$16</c:f>
              <c:numCache>
                <c:formatCode>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Regression'!$BJ$46:$BJ$56</c:f>
              <c:numCache>
                <c:formatCode>General</c:formatCode>
                <c:ptCount val="11"/>
                <c:pt idx="0">
                  <c:v>-10950.081241576816</c:v>
                </c:pt>
                <c:pt idx="1">
                  <c:v>-2901.1337743626209</c:v>
                </c:pt>
                <c:pt idx="2">
                  <c:v>1769.2324471946631</c:v>
                </c:pt>
                <c:pt idx="3">
                  <c:v>4567.7460874701501</c:v>
                </c:pt>
                <c:pt idx="4">
                  <c:v>5752.8985546159674</c:v>
                </c:pt>
                <c:pt idx="5">
                  <c:v>6859.1150047981937</c:v>
                </c:pt>
                <c:pt idx="6">
                  <c:v>5464.6599746225984</c:v>
                </c:pt>
                <c:pt idx="7">
                  <c:v>2026.0067062612507</c:v>
                </c:pt>
                <c:pt idx="8">
                  <c:v>-1031.3096179288113</c:v>
                </c:pt>
                <c:pt idx="9">
                  <c:v>-4168.4151736124186</c:v>
                </c:pt>
                <c:pt idx="10">
                  <c:v>-7388.7189674812253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1-E943-8169-7C54DFF1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69552"/>
        <c:axId val="784203808"/>
      </c:scatterChart>
      <c:valAx>
        <c:axId val="7838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784203808"/>
        <c:crosses val="autoZero"/>
        <c:crossBetween val="midCat"/>
      </c:valAx>
      <c:valAx>
        <c:axId val="78420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869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Smartphone Users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'11. Regression'!$BL$6:$BL$16</c:f>
              <c:numCache>
                <c:formatCode>_(* #,##0.00_);_(* \(#,##0.00\);_(* "-"??_);_(@_)</c:formatCode>
                <c:ptCount val="11"/>
                <c:pt idx="0">
                  <c:v>2.7</c:v>
                </c:pt>
                <c:pt idx="1">
                  <c:v>2.9</c:v>
                </c:pt>
                <c:pt idx="2">
                  <c:v>3.2</c:v>
                </c:pt>
                <c:pt idx="3">
                  <c:v>3.5</c:v>
                </c:pt>
                <c:pt idx="4">
                  <c:v>3.8</c:v>
                </c:pt>
                <c:pt idx="5">
                  <c:v>4.065480534521889</c:v>
                </c:pt>
                <c:pt idx="6">
                  <c:v>4.3344068806969789</c:v>
                </c:pt>
                <c:pt idx="7">
                  <c:v>4.6033332268720697</c:v>
                </c:pt>
                <c:pt idx="8">
                  <c:v>4.8722595730471596</c:v>
                </c:pt>
                <c:pt idx="9">
                  <c:v>5.1411859192222504</c:v>
                </c:pt>
                <c:pt idx="10">
                  <c:v>5.4101122653973404</c:v>
                </c:pt>
              </c:numCache>
            </c:numRef>
          </c:xVal>
          <c:yVal>
            <c:numRef>
              <c:f>'11. Regression'!$BJ$46:$BJ$56</c:f>
              <c:numCache>
                <c:formatCode>General</c:formatCode>
                <c:ptCount val="11"/>
                <c:pt idx="0">
                  <c:v>-10950.081241576816</c:v>
                </c:pt>
                <c:pt idx="1">
                  <c:v>-2901.1337743626209</c:v>
                </c:pt>
                <c:pt idx="2">
                  <c:v>1769.2324471946631</c:v>
                </c:pt>
                <c:pt idx="3">
                  <c:v>4567.7460874701501</c:v>
                </c:pt>
                <c:pt idx="4">
                  <c:v>5752.8985546159674</c:v>
                </c:pt>
                <c:pt idx="5">
                  <c:v>6859.1150047981937</c:v>
                </c:pt>
                <c:pt idx="6">
                  <c:v>5464.6599746225984</c:v>
                </c:pt>
                <c:pt idx="7">
                  <c:v>2026.0067062612507</c:v>
                </c:pt>
                <c:pt idx="8">
                  <c:v>-1031.3096179288113</c:v>
                </c:pt>
                <c:pt idx="9">
                  <c:v>-4168.4151736124186</c:v>
                </c:pt>
                <c:pt idx="10">
                  <c:v>-7388.7189674812253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AF-6649-9CAF-6483EE0E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50464"/>
        <c:axId val="1226505648"/>
      </c:scatterChart>
      <c:valAx>
        <c:axId val="144355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Smartphone Users 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226505648"/>
        <c:crosses val="autoZero"/>
        <c:crossBetween val="midCat"/>
      </c:valAx>
      <c:valAx>
        <c:axId val="122650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5504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Employment Rate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Online Orders Revenue </c:v>
          </c:tx>
          <c:spPr>
            <a:ln w="19050">
              <a:noFill/>
            </a:ln>
          </c:spPr>
          <c:xVal>
            <c:numRef>
              <c:f>'11. Regression'!$BJ$6:$BJ$16</c:f>
              <c:numCache>
                <c:formatCode>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Regression'!$BI$6:$BI$16</c:f>
              <c:numCache>
                <c:formatCode>_(* #,##0_);_(* \(#,##0\);_(* "-"??_);_(@_)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>
                  <c:v>171408.77110277337</c:v>
                </c:pt>
                <c:pt idx="9">
                  <c:v>178811.12057726551</c:v>
                </c:pt>
                <c:pt idx="10">
                  <c:v>186213.47005175799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3-C14F-B731-674705D870DF}"/>
            </c:ext>
          </c:extLst>
        </c:ser>
        <c:ser>
          <c:idx val="1"/>
          <c:order val="1"/>
          <c:tx>
            <c:v>Predicted Online Orders Revenue </c:v>
          </c:tx>
          <c:spPr>
            <a:ln w="19050">
              <a:noFill/>
            </a:ln>
          </c:spPr>
          <c:xVal>
            <c:numRef>
              <c:f>'11. Regression'!$BJ$6:$BJ$16</c:f>
              <c:numCache>
                <c:formatCode>0%</c:formatCode>
                <c:ptCount val="11"/>
                <c:pt idx="0">
                  <c:v>0.60099999999999998</c:v>
                </c:pt>
                <c:pt idx="1">
                  <c:v>0.60399999999999998</c:v>
                </c:pt>
                <c:pt idx="2">
                  <c:v>0.60799999999999998</c:v>
                </c:pt>
                <c:pt idx="3">
                  <c:v>0.6111877437077653</c:v>
                </c:pt>
                <c:pt idx="4">
                  <c:v>0.61453091150458794</c:v>
                </c:pt>
                <c:pt idx="5">
                  <c:v>0.61787407930141058</c:v>
                </c:pt>
                <c:pt idx="6">
                  <c:v>0.62121724709823334</c:v>
                </c:pt>
                <c:pt idx="7">
                  <c:v>0.62456041489505598</c:v>
                </c:pt>
                <c:pt idx="8">
                  <c:v>0.62790358269187863</c:v>
                </c:pt>
                <c:pt idx="9">
                  <c:v>0.63124675048870127</c:v>
                </c:pt>
                <c:pt idx="10">
                  <c:v>0.63458991828552391</c:v>
                </c:pt>
              </c:numCache>
            </c:numRef>
          </c:xVal>
          <c:yVal>
            <c:numRef>
              <c:f>'11. Regression'!$BI$46:$BI$56</c:f>
              <c:numCache>
                <c:formatCode>General</c:formatCode>
                <c:ptCount val="11"/>
                <c:pt idx="0">
                  <c:v>87141.081241576816</c:v>
                </c:pt>
                <c:pt idx="1">
                  <c:v>94306.133774362621</c:v>
                </c:pt>
                <c:pt idx="2">
                  <c:v>105667.76755280534</c:v>
                </c:pt>
                <c:pt idx="3">
                  <c:v>118169.25391252985</c:v>
                </c:pt>
                <c:pt idx="4">
                  <c:v>130544.10144538403</c:v>
                </c:pt>
                <c:pt idx="5">
                  <c:v>140813.88499520181</c:v>
                </c:pt>
                <c:pt idx="6">
                  <c:v>151353.3400253774</c:v>
                </c:pt>
                <c:pt idx="7">
                  <c:v>161975.99329373875</c:v>
                </c:pt>
                <c:pt idx="8">
                  <c:v>172440.08072070219</c:v>
                </c:pt>
                <c:pt idx="9">
                  <c:v>182979.53575087793</c:v>
                </c:pt>
                <c:pt idx="10">
                  <c:v>193602.18901923922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3-C14F-B731-674705D8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82928"/>
        <c:axId val="1269099888"/>
      </c:scatterChart>
      <c:valAx>
        <c:axId val="126958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Employment Rate 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269099888"/>
        <c:crosses val="autoZero"/>
        <c:crossBetween val="midCat"/>
      </c:valAx>
      <c:valAx>
        <c:axId val="126909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Online Orders Revenue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269582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by 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8-B940-B924-5893153981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8-B940-B924-5893153981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68-B940-B924-5893153981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68-B940-B924-5893153981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68-B940-B924-5893153981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Online Food Delivery - World'!$J$43:$J$47</c:f>
              <c:strCache>
                <c:ptCount val="5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</c:strCache>
            </c:strRef>
          </c:cat>
          <c:val>
            <c:numRef>
              <c:f>'2. Online Food Delivery - World'!$K$43:$K$47</c:f>
              <c:numCache>
                <c:formatCode>0%</c:formatCode>
                <c:ptCount val="5"/>
                <c:pt idx="0">
                  <c:v>0.22</c:v>
                </c:pt>
                <c:pt idx="1">
                  <c:v>0.36</c:v>
                </c:pt>
                <c:pt idx="2">
                  <c:v>0.25</c:v>
                </c:pt>
                <c:pt idx="3">
                  <c:v>0.23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C-CB44-8B7B-CE560BE0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Education 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Online Orders Revenue </c:v>
          </c:tx>
          <c:spPr>
            <a:ln w="19050">
              <a:noFill/>
            </a:ln>
          </c:spPr>
          <c:xVal>
            <c:numRef>
              <c:f>'11. Regression'!$BK$6:$BK$16</c:f>
              <c:numCache>
                <c:formatCode>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Regression'!$BI$6:$BI$16</c:f>
              <c:numCache>
                <c:formatCode>_(* #,##0_);_(* \(#,##0\);_(* "-"??_);_(@_)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>
                  <c:v>171408.77110277337</c:v>
                </c:pt>
                <c:pt idx="9">
                  <c:v>178811.12057726551</c:v>
                </c:pt>
                <c:pt idx="10">
                  <c:v>186213.47005175799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4-354F-B560-AE51164BBC0D}"/>
            </c:ext>
          </c:extLst>
        </c:ser>
        <c:ser>
          <c:idx val="1"/>
          <c:order val="1"/>
          <c:tx>
            <c:v>Predicted Online Orders Revenue </c:v>
          </c:tx>
          <c:spPr>
            <a:ln w="19050">
              <a:noFill/>
            </a:ln>
          </c:spPr>
          <c:xVal>
            <c:numRef>
              <c:f>'11. Regression'!$BK$6:$BK$16</c:f>
              <c:numCache>
                <c:formatCode>0%</c:formatCode>
                <c:ptCount val="11"/>
                <c:pt idx="0">
                  <c:v>0.9</c:v>
                </c:pt>
                <c:pt idx="1">
                  <c:v>0.90200000000000002</c:v>
                </c:pt>
                <c:pt idx="2">
                  <c:v>0.90695640635871655</c:v>
                </c:pt>
                <c:pt idx="3">
                  <c:v>0.91052612540893529</c:v>
                </c:pt>
                <c:pt idx="4">
                  <c:v>0.91142713273906384</c:v>
                </c:pt>
                <c:pt idx="5">
                  <c:v>0.91741438382354368</c:v>
                </c:pt>
                <c:pt idx="6">
                  <c:v>0.92098410287376231</c:v>
                </c:pt>
                <c:pt idx="7">
                  <c:v>0.92188511020389086</c:v>
                </c:pt>
                <c:pt idx="8">
                  <c:v>0.9278723612883707</c:v>
                </c:pt>
                <c:pt idx="9">
                  <c:v>0.93144208033858933</c:v>
                </c:pt>
                <c:pt idx="10">
                  <c:v>0.93234308766871798</c:v>
                </c:pt>
              </c:numCache>
            </c:numRef>
          </c:xVal>
          <c:yVal>
            <c:numRef>
              <c:f>'11. Regression'!$BI$46:$BI$56</c:f>
              <c:numCache>
                <c:formatCode>General</c:formatCode>
                <c:ptCount val="11"/>
                <c:pt idx="0">
                  <c:v>87141.081241576816</c:v>
                </c:pt>
                <c:pt idx="1">
                  <c:v>94306.133774362621</c:v>
                </c:pt>
                <c:pt idx="2">
                  <c:v>105667.76755280534</c:v>
                </c:pt>
                <c:pt idx="3">
                  <c:v>118169.25391252985</c:v>
                </c:pt>
                <c:pt idx="4">
                  <c:v>130544.10144538403</c:v>
                </c:pt>
                <c:pt idx="5">
                  <c:v>140813.88499520181</c:v>
                </c:pt>
                <c:pt idx="6">
                  <c:v>151353.3400253774</c:v>
                </c:pt>
                <c:pt idx="7">
                  <c:v>161975.99329373875</c:v>
                </c:pt>
                <c:pt idx="8">
                  <c:v>172440.08072070219</c:v>
                </c:pt>
                <c:pt idx="9">
                  <c:v>182979.53575087793</c:v>
                </c:pt>
                <c:pt idx="10">
                  <c:v>193602.18901923922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44-354F-B560-AE51164B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794304"/>
        <c:axId val="1269153824"/>
      </c:scatterChart>
      <c:valAx>
        <c:axId val="12697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Education Rate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269153824"/>
        <c:crosses val="autoZero"/>
        <c:crossBetween val="midCat"/>
      </c:valAx>
      <c:valAx>
        <c:axId val="126915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Online Orders Revenue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269794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Smartphone Users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Online Orders Revenue </c:v>
          </c:tx>
          <c:spPr>
            <a:ln w="19050">
              <a:noFill/>
            </a:ln>
          </c:spPr>
          <c:xVal>
            <c:numRef>
              <c:f>'11. Regression'!$BL$6:$BL$16</c:f>
              <c:numCache>
                <c:formatCode>_(* #,##0.00_);_(* \(#,##0.00\);_(* "-"??_);_(@_)</c:formatCode>
                <c:ptCount val="11"/>
                <c:pt idx="0">
                  <c:v>2.7</c:v>
                </c:pt>
                <c:pt idx="1">
                  <c:v>2.9</c:v>
                </c:pt>
                <c:pt idx="2">
                  <c:v>3.2</c:v>
                </c:pt>
                <c:pt idx="3">
                  <c:v>3.5</c:v>
                </c:pt>
                <c:pt idx="4">
                  <c:v>3.8</c:v>
                </c:pt>
                <c:pt idx="5">
                  <c:v>4.065480534521889</c:v>
                </c:pt>
                <c:pt idx="6">
                  <c:v>4.3344068806969789</c:v>
                </c:pt>
                <c:pt idx="7">
                  <c:v>4.6033332268720697</c:v>
                </c:pt>
                <c:pt idx="8">
                  <c:v>4.8722595730471596</c:v>
                </c:pt>
                <c:pt idx="9">
                  <c:v>5.1411859192222504</c:v>
                </c:pt>
                <c:pt idx="10">
                  <c:v>5.4101122653973404</c:v>
                </c:pt>
              </c:numCache>
            </c:numRef>
          </c:xVal>
          <c:yVal>
            <c:numRef>
              <c:f>'11. Regression'!$BI$6:$BI$16</c:f>
              <c:numCache>
                <c:formatCode>_(* #,##0_);_(* \(#,##0\);_(* "-"??_);_(@_)</c:formatCode>
                <c:ptCount val="11"/>
                <c:pt idx="0">
                  <c:v>76191</c:v>
                </c:pt>
                <c:pt idx="1">
                  <c:v>91405</c:v>
                </c:pt>
                <c:pt idx="2">
                  <c:v>107437</c:v>
                </c:pt>
                <c:pt idx="3">
                  <c:v>122737</c:v>
                </c:pt>
                <c:pt idx="4">
                  <c:v>136297</c:v>
                </c:pt>
                <c:pt idx="5">
                  <c:v>147673</c:v>
                </c:pt>
                <c:pt idx="6">
                  <c:v>156818</c:v>
                </c:pt>
                <c:pt idx="7">
                  <c:v>164002</c:v>
                </c:pt>
                <c:pt idx="8">
                  <c:v>171408.77110277337</c:v>
                </c:pt>
                <c:pt idx="9">
                  <c:v>178811.12057726551</c:v>
                </c:pt>
                <c:pt idx="10">
                  <c:v>186213.47005175799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5-3648-AB01-C3A71FB54FDD}"/>
            </c:ext>
          </c:extLst>
        </c:ser>
        <c:ser>
          <c:idx val="1"/>
          <c:order val="1"/>
          <c:tx>
            <c:v>Predicted Online Orders Revenue </c:v>
          </c:tx>
          <c:spPr>
            <a:ln w="19050">
              <a:noFill/>
            </a:ln>
          </c:spPr>
          <c:xVal>
            <c:numRef>
              <c:f>'11. Regression'!$BL$6:$BL$16</c:f>
              <c:numCache>
                <c:formatCode>_(* #,##0.00_);_(* \(#,##0.00\);_(* "-"??_);_(@_)</c:formatCode>
                <c:ptCount val="11"/>
                <c:pt idx="0">
                  <c:v>2.7</c:v>
                </c:pt>
                <c:pt idx="1">
                  <c:v>2.9</c:v>
                </c:pt>
                <c:pt idx="2">
                  <c:v>3.2</c:v>
                </c:pt>
                <c:pt idx="3">
                  <c:v>3.5</c:v>
                </c:pt>
                <c:pt idx="4">
                  <c:v>3.8</c:v>
                </c:pt>
                <c:pt idx="5">
                  <c:v>4.065480534521889</c:v>
                </c:pt>
                <c:pt idx="6">
                  <c:v>4.3344068806969789</c:v>
                </c:pt>
                <c:pt idx="7">
                  <c:v>4.6033332268720697</c:v>
                </c:pt>
                <c:pt idx="8">
                  <c:v>4.8722595730471596</c:v>
                </c:pt>
                <c:pt idx="9">
                  <c:v>5.1411859192222504</c:v>
                </c:pt>
                <c:pt idx="10">
                  <c:v>5.4101122653973404</c:v>
                </c:pt>
              </c:numCache>
            </c:numRef>
          </c:xVal>
          <c:yVal>
            <c:numRef>
              <c:f>'11. Regression'!$BI$46:$BI$56</c:f>
              <c:numCache>
                <c:formatCode>General</c:formatCode>
                <c:ptCount val="11"/>
                <c:pt idx="0">
                  <c:v>87141.081241576816</c:v>
                </c:pt>
                <c:pt idx="1">
                  <c:v>94306.133774362621</c:v>
                </c:pt>
                <c:pt idx="2">
                  <c:v>105667.76755280534</c:v>
                </c:pt>
                <c:pt idx="3">
                  <c:v>118169.25391252985</c:v>
                </c:pt>
                <c:pt idx="4">
                  <c:v>130544.10144538403</c:v>
                </c:pt>
                <c:pt idx="5">
                  <c:v>140813.88499520181</c:v>
                </c:pt>
                <c:pt idx="6">
                  <c:v>151353.3400253774</c:v>
                </c:pt>
                <c:pt idx="7">
                  <c:v>161975.99329373875</c:v>
                </c:pt>
                <c:pt idx="8">
                  <c:v>172440.08072070219</c:v>
                </c:pt>
                <c:pt idx="9">
                  <c:v>182979.53575087793</c:v>
                </c:pt>
                <c:pt idx="10">
                  <c:v>193602.18901923922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5-3648-AB01-C3A71FB54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187728"/>
        <c:axId val="1356284000"/>
      </c:scatterChart>
      <c:valAx>
        <c:axId val="135618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Smartphone Users 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356284000"/>
        <c:crosses val="autoZero"/>
        <c:crossBetween val="midCat"/>
      </c:valAx>
      <c:valAx>
        <c:axId val="1356284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Online Orders Revenue </a:t>
                </a:r>
              </a:p>
            </c:rich>
          </c:tx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13561877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35-094D-9E5B-1989413DCD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35-094D-9E5B-1989413DCD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35-094D-9E5B-1989413DCD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Online Food Delivery - World'!$J$61:$J$63</c:f>
              <c:strCache>
                <c:ptCount val="3"/>
                <c:pt idx="0">
                  <c:v>Low Income</c:v>
                </c:pt>
                <c:pt idx="1">
                  <c:v>Med Income </c:v>
                </c:pt>
                <c:pt idx="2">
                  <c:v>High Income </c:v>
                </c:pt>
              </c:strCache>
            </c:strRef>
          </c:cat>
          <c:val>
            <c:numRef>
              <c:f>'2. Online Food Delivery - World'!$K$61:$K$63</c:f>
              <c:numCache>
                <c:formatCode>0%</c:formatCode>
                <c:ptCount val="3"/>
                <c:pt idx="0">
                  <c:v>0.41</c:v>
                </c:pt>
                <c:pt idx="1">
                  <c:v>0.34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C-1749-B5E5-C4E41696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User Penetration Countries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 Online Food Delivery - World'!$J$76:$J$80</c:f>
              <c:strCache>
                <c:ptCount val="5"/>
                <c:pt idx="0">
                  <c:v>Singapore</c:v>
                </c:pt>
                <c:pt idx="1">
                  <c:v>Netherlands </c:v>
                </c:pt>
                <c:pt idx="2">
                  <c:v>UK</c:v>
                </c:pt>
                <c:pt idx="3">
                  <c:v>Hong Kong</c:v>
                </c:pt>
                <c:pt idx="4">
                  <c:v>Canada </c:v>
                </c:pt>
              </c:strCache>
            </c:strRef>
          </c:cat>
          <c:val>
            <c:numRef>
              <c:f>'2. Online Food Delivery - World'!$K$76:$K$80</c:f>
              <c:numCache>
                <c:formatCode>0.00%</c:formatCode>
                <c:ptCount val="5"/>
                <c:pt idx="0">
                  <c:v>0.36399999999999999</c:v>
                </c:pt>
                <c:pt idx="1">
                  <c:v>0.34799999999999998</c:v>
                </c:pt>
                <c:pt idx="2">
                  <c:v>0.33100000000000002</c:v>
                </c:pt>
                <c:pt idx="3">
                  <c:v>0.32800000000000001</c:v>
                </c:pt>
                <c:pt idx="4">
                  <c:v>0.317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A-2048-906C-1E9950AF5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48335"/>
        <c:axId val="444789935"/>
      </c:barChart>
      <c:catAx>
        <c:axId val="4448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9935"/>
        <c:crosses val="autoZero"/>
        <c:auto val="1"/>
        <c:lblAlgn val="ctr"/>
        <c:lblOffset val="100"/>
        <c:noMultiLvlLbl val="0"/>
      </c:catAx>
      <c:valAx>
        <c:axId val="4447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22-E546-A7E1-B6AFCA3BFB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22-E546-A7E1-B6AFCA3BFB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22-E546-A7E1-B6AFCA3BFB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22-E546-A7E1-B6AFCA3BFB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22-E546-A7E1-B6AFCA3BFB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'4. Main Reason to Order Online '!$K$6:$K$10</c:f>
              <c:strCache>
                <c:ptCount val="5"/>
                <c:pt idx="0">
                  <c:v>Didn’t feel like Cooking</c:v>
                </c:pt>
                <c:pt idx="1">
                  <c:v>Satisfy a crawing</c:v>
                </c:pt>
                <c:pt idx="2">
                  <c:v>Saving time for cooking/ cleaning</c:v>
                </c:pt>
                <c:pt idx="3">
                  <c:v>At home game night / movie night </c:v>
                </c:pt>
                <c:pt idx="4">
                  <c:v>Family night dinner </c:v>
                </c:pt>
              </c:strCache>
            </c:strRef>
          </c:cat>
          <c:val>
            <c:numRef>
              <c:f>'4. Main Reason to Order Online '!$L$6:$L$10</c:f>
              <c:numCache>
                <c:formatCode>0%</c:formatCode>
                <c:ptCount val="5"/>
                <c:pt idx="0">
                  <c:v>0.43</c:v>
                </c:pt>
                <c:pt idx="1">
                  <c:v>0.3</c:v>
                </c:pt>
                <c:pt idx="2">
                  <c:v>0.28000000000000003</c:v>
                </c:pt>
                <c:pt idx="3">
                  <c:v>0.25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4-0B4B-8397-5EBFB82BA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Rate of Women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400831146106737"/>
                  <c:y val="-2.50025517643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'6. Employment Rate '!$J$4:$J$12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'6. Employment Rate '!$K$4:$K$12</c:f>
              <c:numCache>
                <c:formatCode>0.00%</c:formatCode>
                <c:ptCount val="9"/>
                <c:pt idx="0">
                  <c:v>0.53100000000000003</c:v>
                </c:pt>
                <c:pt idx="1">
                  <c:v>0.53200000000000003</c:v>
                </c:pt>
                <c:pt idx="2">
                  <c:v>0.53500000000000003</c:v>
                </c:pt>
                <c:pt idx="3">
                  <c:v>0.53700000000000003</c:v>
                </c:pt>
                <c:pt idx="4">
                  <c:v>0.54100000000000004</c:v>
                </c:pt>
                <c:pt idx="5">
                  <c:v>0.54600000000000004</c:v>
                </c:pt>
                <c:pt idx="6">
                  <c:v>0.54900000000000004</c:v>
                </c:pt>
                <c:pt idx="7">
                  <c:v>0.55400000000000005</c:v>
                </c:pt>
                <c:pt idx="8">
                  <c:v>0.55578571428571399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6-9048-99E8-818602B9F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249967"/>
        <c:axId val="2024251599"/>
      </c:lineChart>
      <c:catAx>
        <c:axId val="20242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51599"/>
        <c:crosses val="autoZero"/>
        <c:auto val="1"/>
        <c:lblAlgn val="ctr"/>
        <c:lblOffset val="100"/>
        <c:noMultiLvlLbl val="0"/>
      </c:catAx>
      <c:valAx>
        <c:axId val="20242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2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0118766404199468E-2"/>
                  <c:y val="1.3495188101487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'6. Employment Rate '!$J$26:$J$34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'6. Employment Rate '!$K$26:$K$34</c:f>
              <c:numCache>
                <c:formatCode>0.00%</c:formatCode>
                <c:ptCount val="9"/>
                <c:pt idx="0">
                  <c:v>0.58399999999999996</c:v>
                </c:pt>
                <c:pt idx="1">
                  <c:v>0.58599999999999997</c:v>
                </c:pt>
                <c:pt idx="2">
                  <c:v>0.58599999999999997</c:v>
                </c:pt>
                <c:pt idx="3">
                  <c:v>0.59</c:v>
                </c:pt>
                <c:pt idx="4">
                  <c:v>0.59299999999999997</c:v>
                </c:pt>
                <c:pt idx="5">
                  <c:v>0.59699999999999998</c:v>
                </c:pt>
                <c:pt idx="6">
                  <c:v>0.60099999999999998</c:v>
                </c:pt>
                <c:pt idx="7">
                  <c:v>0.60399999999999998</c:v>
                </c:pt>
                <c:pt idx="8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F-BA4D-8CEA-A2BA934A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824624"/>
        <c:axId val="1197429680"/>
      </c:lineChart>
      <c:catAx>
        <c:axId val="1196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429680"/>
        <c:crosses val="autoZero"/>
        <c:auto val="1"/>
        <c:lblAlgn val="ctr"/>
        <c:lblOffset val="100"/>
        <c:noMultiLvlLbl val="0"/>
      </c:catAx>
      <c:valAx>
        <c:axId val="11974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2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Rate 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 Education Rate '!$D$8</c:f>
              <c:strCache>
                <c:ptCount val="1"/>
                <c:pt idx="0">
                  <c:v>Male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 Education Rate '!$C$9:$C$19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'7. Education Rate '!$D$9:$D$19</c:f>
              <c:numCache>
                <c:formatCode>0.00%</c:formatCode>
                <c:ptCount val="11"/>
                <c:pt idx="0">
                  <c:v>0.86599999999999999</c:v>
                </c:pt>
                <c:pt idx="1">
                  <c:v>0.871</c:v>
                </c:pt>
                <c:pt idx="2">
                  <c:v>0.873</c:v>
                </c:pt>
                <c:pt idx="3">
                  <c:v>0.876</c:v>
                </c:pt>
                <c:pt idx="4">
                  <c:v>0.877</c:v>
                </c:pt>
                <c:pt idx="5">
                  <c:v>0.88</c:v>
                </c:pt>
                <c:pt idx="6">
                  <c:v>0.88500000000000001</c:v>
                </c:pt>
                <c:pt idx="7">
                  <c:v>0.89100000000000001</c:v>
                </c:pt>
                <c:pt idx="8">
                  <c:v>0.89400000000000002</c:v>
                </c:pt>
                <c:pt idx="9">
                  <c:v>0.89588888888888896</c:v>
                </c:pt>
                <c:pt idx="10">
                  <c:v>0.89922222222222203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E-4D41-B92B-332718408055}"/>
            </c:ext>
          </c:extLst>
        </c:ser>
        <c:ser>
          <c:idx val="1"/>
          <c:order val="1"/>
          <c:tx>
            <c:strRef>
              <c:f>'7. Education Rate '!$E$8</c:f>
              <c:strCache>
                <c:ptCount val="1"/>
                <c:pt idx="0">
                  <c:v>Female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 Education Rate '!$C$9:$C$19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'7. Education Rate '!$E$9:$E$19</c:f>
              <c:numCache>
                <c:formatCode>0.00%</c:formatCode>
                <c:ptCount val="11"/>
                <c:pt idx="0">
                  <c:v>0.876</c:v>
                </c:pt>
                <c:pt idx="1">
                  <c:v>0.88</c:v>
                </c:pt>
                <c:pt idx="2">
                  <c:v>0.88</c:v>
                </c:pt>
                <c:pt idx="3">
                  <c:v>0.88600000000000001</c:v>
                </c:pt>
                <c:pt idx="4">
                  <c:v>0.88900000000000001</c:v>
                </c:pt>
                <c:pt idx="5">
                  <c:v>0.88800000000000001</c:v>
                </c:pt>
                <c:pt idx="6">
                  <c:v>0.89600000000000002</c:v>
                </c:pt>
                <c:pt idx="7">
                  <c:v>0.9</c:v>
                </c:pt>
                <c:pt idx="8">
                  <c:v>0.90200000000000002</c:v>
                </c:pt>
                <c:pt idx="9">
                  <c:v>0.90505555555555595</c:v>
                </c:pt>
                <c:pt idx="10">
                  <c:v>0.90835555555555603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E-4D41-B92B-33271840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680095"/>
        <c:axId val="1830428751"/>
      </c:lineChart>
      <c:catAx>
        <c:axId val="200068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28751"/>
        <c:crosses val="autoZero"/>
        <c:auto val="1"/>
        <c:lblAlgn val="ctr"/>
        <c:lblOffset val="100"/>
        <c:noMultiLvlLbl val="0"/>
      </c:catAx>
      <c:valAx>
        <c:axId val="18304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68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chart" Target="../charts/chart7.xml"/><Relationship Id="rId1" Type="http://schemas.openxmlformats.org/officeDocument/2006/relationships/image" Target="../media/image9.png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18</xdr:row>
      <xdr:rowOff>25400</xdr:rowOff>
    </xdr:from>
    <xdr:to>
      <xdr:col>6</xdr:col>
      <xdr:colOff>812800</xdr:colOff>
      <xdr:row>29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C83185-F1AC-3D4B-8757-C017A1EEEC81}"/>
            </a:ext>
          </a:extLst>
        </xdr:cNvPr>
        <xdr:cNvSpPr txBox="1"/>
      </xdr:nvSpPr>
      <xdr:spPr>
        <a:xfrm>
          <a:off x="850900" y="3683000"/>
          <a:ext cx="44958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Foodora is delivering food from highend-restaurants right to your door, in other words it’s an on-demand food boutique for the most beloved restaurants in your town that traditionally don’t deliver. Whether it’s an indulgent family-sized pizza, the best sushi in town or the ultimate burger experience – our foodora bikers pick it up and deliver on time.</a:t>
          </a:r>
          <a:endParaRPr lang="en-US" sz="1400"/>
        </a:p>
      </xdr:txBody>
    </xdr:sp>
    <xdr:clientData/>
  </xdr:twoCellAnchor>
  <xdr:twoCellAnchor>
    <xdr:from>
      <xdr:col>8</xdr:col>
      <xdr:colOff>25400</xdr:colOff>
      <xdr:row>18</xdr:row>
      <xdr:rowOff>25400</xdr:rowOff>
    </xdr:from>
    <xdr:to>
      <xdr:col>15</xdr:col>
      <xdr:colOff>317500</xdr:colOff>
      <xdr:row>30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FBF468-0D7F-324C-BF8D-484628F5AE8F}"/>
            </a:ext>
          </a:extLst>
        </xdr:cNvPr>
        <xdr:cNvSpPr txBox="1"/>
      </xdr:nvSpPr>
      <xdr:spPr>
        <a:xfrm>
          <a:off x="6210300" y="3683000"/>
          <a:ext cx="6070600" cy="2463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FOODORA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PAY 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couriers: $4.50 per delivery, plus $1 per kilometre travelled, plus tips. Couriers say by working at busier times and hustling they can make about $20 an hour.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TIPS 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Encouraged by the company. Prompts for tipping between 10 and 25 per cent, as well as an "other" option, are offered at checkout.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PROS 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Couriers praise the simplicity of the job - "You pick up food and drop it off, no bullshit" - as well as the flexibility of the hours and ability to self-schedule. Foodora is rare in that it appears to have an actual corporate culture, with a mentorship program in place for junior employees.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"Our dispatch team is based in Toronto, and that's made a huge difference for me," one courier says. "They've always been very understanding if any issues have popped up."</a:t>
          </a:r>
        </a:p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 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the couriers we canvassed: surprisingly few! "It's about as good as a courier position can be. If we could do away with the winter, I'd not be opposed."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25400</xdr:rowOff>
    </xdr:from>
    <xdr:to>
      <xdr:col>5</xdr:col>
      <xdr:colOff>673100</xdr:colOff>
      <xdr:row>35</xdr:row>
      <xdr:rowOff>51275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E7C96-EA3F-0749-B855-059DD436D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28600"/>
          <a:ext cx="4152900" cy="6964210"/>
        </a:xfrm>
        <a:prstGeom prst="rect">
          <a:avLst/>
        </a:prstGeom>
      </xdr:spPr>
    </xdr:pic>
    <xdr:clientData/>
  </xdr:twoCellAnchor>
  <xdr:twoCellAnchor editAs="oneCell">
    <xdr:from>
      <xdr:col>0</xdr:col>
      <xdr:colOff>711200</xdr:colOff>
      <xdr:row>36</xdr:row>
      <xdr:rowOff>127000</xdr:rowOff>
    </xdr:from>
    <xdr:to>
      <xdr:col>7</xdr:col>
      <xdr:colOff>504867</xdr:colOff>
      <xdr:row>57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6943A0-DFB4-9A44-828E-DCACB885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" y="7442200"/>
          <a:ext cx="5572167" cy="425450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58</xdr:row>
      <xdr:rowOff>63500</xdr:rowOff>
    </xdr:from>
    <xdr:to>
      <xdr:col>7</xdr:col>
      <xdr:colOff>745014</xdr:colOff>
      <xdr:row>85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7A0172-E40F-1747-8179-A58AA2520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500" y="11849100"/>
          <a:ext cx="5825014" cy="5473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463607</xdr:colOff>
      <xdr:row>54</xdr:row>
      <xdr:rowOff>101600</xdr:rowOff>
    </xdr:from>
    <xdr:to>
      <xdr:col>11</xdr:col>
      <xdr:colOff>373694</xdr:colOff>
      <xdr:row>64</xdr:row>
      <xdr:rowOff>138238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698DD9-0231-5140-B465-FA0298701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463607</xdr:colOff>
      <xdr:row>44</xdr:row>
      <xdr:rowOff>67883</xdr:rowOff>
    </xdr:from>
    <xdr:to>
      <xdr:col>11</xdr:col>
      <xdr:colOff>396172</xdr:colOff>
      <xdr:row>54</xdr:row>
      <xdr:rowOff>103061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5A95BB-18ED-7A42-ACC8-51C54A155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588695</xdr:colOff>
      <xdr:row>44</xdr:row>
      <xdr:rowOff>11689</xdr:rowOff>
    </xdr:from>
    <xdr:to>
      <xdr:col>21</xdr:col>
      <xdr:colOff>797965</xdr:colOff>
      <xdr:row>52</xdr:row>
      <xdr:rowOff>67433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58679-69A0-0C47-BC62-14CCCD8F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813926</xdr:colOff>
      <xdr:row>43</xdr:row>
      <xdr:rowOff>201290</xdr:rowOff>
    </xdr:from>
    <xdr:to>
      <xdr:col>27</xdr:col>
      <xdr:colOff>44956</xdr:colOff>
      <xdr:row>52</xdr:row>
      <xdr:rowOff>89912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389E0D-E961-7E43-93AC-33E9005AE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586672</xdr:colOff>
      <xdr:row>52</xdr:row>
      <xdr:rowOff>77661</xdr:rowOff>
    </xdr:from>
    <xdr:to>
      <xdr:col>21</xdr:col>
      <xdr:colOff>797965</xdr:colOff>
      <xdr:row>60</xdr:row>
      <xdr:rowOff>134867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D8540DD-B4D0-9649-AD36-C600B4BA4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802237</xdr:colOff>
      <xdr:row>52</xdr:row>
      <xdr:rowOff>67883</xdr:rowOff>
    </xdr:from>
    <xdr:to>
      <xdr:col>27</xdr:col>
      <xdr:colOff>56195</xdr:colOff>
      <xdr:row>60</xdr:row>
      <xdr:rowOff>146106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8B44626-5087-D64F-BA8A-84222643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646042</xdr:colOff>
      <xdr:row>86</xdr:row>
      <xdr:rowOff>24296</xdr:rowOff>
    </xdr:from>
    <xdr:to>
      <xdr:col>10</xdr:col>
      <xdr:colOff>538369</xdr:colOff>
      <xdr:row>96</xdr:row>
      <xdr:rowOff>80617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8DE9A5-54C8-0346-B17C-3295EE7D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646596</xdr:colOff>
      <xdr:row>96</xdr:row>
      <xdr:rowOff>79513</xdr:rowOff>
    </xdr:from>
    <xdr:to>
      <xdr:col>10</xdr:col>
      <xdr:colOff>557144</xdr:colOff>
      <xdr:row>106</xdr:row>
      <xdr:rowOff>134731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8D9C5D9-BC9B-E74A-B862-E7C9E7C50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279400</xdr:colOff>
      <xdr:row>49</xdr:row>
      <xdr:rowOff>63500</xdr:rowOff>
    </xdr:from>
    <xdr:to>
      <xdr:col>45</xdr:col>
      <xdr:colOff>279400</xdr:colOff>
      <xdr:row>59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7275DD1-028F-9F43-8CC5-B2944A01D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266700</xdr:colOff>
      <xdr:row>39</xdr:row>
      <xdr:rowOff>38100</xdr:rowOff>
    </xdr:from>
    <xdr:to>
      <xdr:col>45</xdr:col>
      <xdr:colOff>266700</xdr:colOff>
      <xdr:row>49</xdr:row>
      <xdr:rowOff>25400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3D32C0-463D-EE4E-9E6F-7E33D455F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876300</xdr:colOff>
      <xdr:row>49</xdr:row>
      <xdr:rowOff>63500</xdr:rowOff>
    </xdr:from>
    <xdr:to>
      <xdr:col>39</xdr:col>
      <xdr:colOff>266700</xdr:colOff>
      <xdr:row>59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EF75139-290A-AF41-9CE3-1C5269384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876300</xdr:colOff>
      <xdr:row>39</xdr:row>
      <xdr:rowOff>38100</xdr:rowOff>
    </xdr:from>
    <xdr:to>
      <xdr:col>39</xdr:col>
      <xdr:colOff>266700</xdr:colOff>
      <xdr:row>49</xdr:row>
      <xdr:rowOff>63500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46B551-5AE2-B147-81D1-BC2A0984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442331</xdr:colOff>
      <xdr:row>37</xdr:row>
      <xdr:rowOff>214042</xdr:rowOff>
    </xdr:from>
    <xdr:to>
      <xdr:col>56</xdr:col>
      <xdr:colOff>553534</xdr:colOff>
      <xdr:row>47</xdr:row>
      <xdr:rowOff>198554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6A70B-4AD3-8147-90BE-A368EFE48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444190</xdr:colOff>
      <xdr:row>48</xdr:row>
      <xdr:rowOff>7124</xdr:rowOff>
    </xdr:from>
    <xdr:to>
      <xdr:col>56</xdr:col>
      <xdr:colOff>542693</xdr:colOff>
      <xdr:row>58</xdr:row>
      <xdr:rowOff>45223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168943-59EE-D34F-8577-BBC1B955E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67</xdr:col>
      <xdr:colOff>39559</xdr:colOff>
      <xdr:row>60</xdr:row>
      <xdr:rowOff>129482</xdr:rowOff>
    </xdr:from>
    <xdr:to>
      <xdr:col>73</xdr:col>
      <xdr:colOff>1167</xdr:colOff>
      <xdr:row>70</xdr:row>
      <xdr:rowOff>158678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6C654C-B99A-B34F-99C9-F3F59C13D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67</xdr:col>
      <xdr:colOff>30656</xdr:colOff>
      <xdr:row>50</xdr:row>
      <xdr:rowOff>129482</xdr:rowOff>
    </xdr:from>
    <xdr:to>
      <xdr:col>72</xdr:col>
      <xdr:colOff>830318</xdr:colOff>
      <xdr:row>60</xdr:row>
      <xdr:rowOff>102184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396495-5FD6-D742-A81F-482F95D8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47735</xdr:colOff>
      <xdr:row>40</xdr:row>
      <xdr:rowOff>114885</xdr:rowOff>
    </xdr:from>
    <xdr:to>
      <xdr:col>73</xdr:col>
      <xdr:colOff>20875</xdr:colOff>
      <xdr:row>50</xdr:row>
      <xdr:rowOff>116782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BECA25-00AE-D941-BBC9-91DEA205D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62</xdr:col>
      <xdr:colOff>516536</xdr:colOff>
      <xdr:row>60</xdr:row>
      <xdr:rowOff>124919</xdr:rowOff>
    </xdr:from>
    <xdr:to>
      <xdr:col>67</xdr:col>
      <xdr:colOff>40390</xdr:colOff>
      <xdr:row>70</xdr:row>
      <xdr:rowOff>137619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537490-DF11-E144-A327-22C88EC5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62</xdr:col>
      <xdr:colOff>516536</xdr:colOff>
      <xdr:row>50</xdr:row>
      <xdr:rowOff>137617</xdr:rowOff>
    </xdr:from>
    <xdr:to>
      <xdr:col>67</xdr:col>
      <xdr:colOff>32686</xdr:colOff>
      <xdr:row>60</xdr:row>
      <xdr:rowOff>124917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233925-FFB3-C14D-8297-87480FC9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62</xdr:col>
      <xdr:colOff>511956</xdr:colOff>
      <xdr:row>40</xdr:row>
      <xdr:rowOff>116798</xdr:rowOff>
    </xdr:from>
    <xdr:to>
      <xdr:col>67</xdr:col>
      <xdr:colOff>34144</xdr:colOff>
      <xdr:row>50</xdr:row>
      <xdr:rowOff>116798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17BB06-90C6-204D-B296-611C7597D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</xdr:row>
      <xdr:rowOff>169255</xdr:rowOff>
    </xdr:from>
    <xdr:to>
      <xdr:col>7</xdr:col>
      <xdr:colOff>330200</xdr:colOff>
      <xdr:row>16</xdr:row>
      <xdr:rowOff>128411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CE3567-C069-2F42-B0E3-E9128EB71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372455"/>
          <a:ext cx="5473700" cy="3007156"/>
        </a:xfrm>
        <a:prstGeom prst="rect">
          <a:avLst/>
        </a:prstGeom>
      </xdr:spPr>
    </xdr:pic>
    <xdr:clientData/>
  </xdr:twoCellAnchor>
  <xdr:twoCellAnchor>
    <xdr:from>
      <xdr:col>14</xdr:col>
      <xdr:colOff>261844</xdr:colOff>
      <xdr:row>2</xdr:row>
      <xdr:rowOff>149412</xdr:rowOff>
    </xdr:from>
    <xdr:to>
      <xdr:col>19</xdr:col>
      <xdr:colOff>502023</xdr:colOff>
      <xdr:row>15</xdr:row>
      <xdr:rowOff>200211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275BA0-6FC3-D346-91BB-F824BBD76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609600</xdr:colOff>
      <xdr:row>20</xdr:row>
      <xdr:rowOff>50801</xdr:rowOff>
    </xdr:from>
    <xdr:to>
      <xdr:col>7</xdr:col>
      <xdr:colOff>379794</xdr:colOff>
      <xdr:row>35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81AA39-2350-294E-A446-D1751DA4E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114801"/>
          <a:ext cx="5548694" cy="3035300"/>
        </a:xfrm>
        <a:prstGeom prst="rect">
          <a:avLst/>
        </a:prstGeom>
      </xdr:spPr>
    </xdr:pic>
    <xdr:clientData/>
  </xdr:twoCellAnchor>
  <xdr:twoCellAnchor>
    <xdr:from>
      <xdr:col>14</xdr:col>
      <xdr:colOff>305361</xdr:colOff>
      <xdr:row>20</xdr:row>
      <xdr:rowOff>103840</xdr:rowOff>
    </xdr:from>
    <xdr:to>
      <xdr:col>19</xdr:col>
      <xdr:colOff>768538</xdr:colOff>
      <xdr:row>33</xdr:row>
      <xdr:rowOff>176305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0392D4-CF56-4544-8869-F30F4679C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812426</xdr:colOff>
      <xdr:row>37</xdr:row>
      <xdr:rowOff>112058</xdr:rowOff>
    </xdr:from>
    <xdr:to>
      <xdr:col>7</xdr:col>
      <xdr:colOff>755406</xdr:colOff>
      <xdr:row>52</xdr:row>
      <xdr:rowOff>196102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03F6CD-60E3-934F-86ED-4B3A541D0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2426" y="7713382"/>
          <a:ext cx="5695333" cy="3165661"/>
        </a:xfrm>
        <a:prstGeom prst="rect">
          <a:avLst/>
        </a:prstGeom>
      </xdr:spPr>
    </xdr:pic>
    <xdr:clientData/>
  </xdr:twoCellAnchor>
  <xdr:twoCellAnchor editAs="oneCell">
    <xdr:from>
      <xdr:col>0</xdr:col>
      <xdr:colOff>775071</xdr:colOff>
      <xdr:row>54</xdr:row>
      <xdr:rowOff>197174</xdr:rowOff>
    </xdr:from>
    <xdr:to>
      <xdr:col>8</xdr:col>
      <xdr:colOff>105306</xdr:colOff>
      <xdr:row>70</xdr:row>
      <xdr:rowOff>149412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38FA0F-A8D9-1D42-9CBA-EEDBCE0C9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5071" y="11290998"/>
          <a:ext cx="5904353" cy="3239296"/>
        </a:xfrm>
        <a:prstGeom prst="rect">
          <a:avLst/>
        </a:prstGeom>
      </xdr:spPr>
    </xdr:pic>
    <xdr:clientData/>
  </xdr:twoCellAnchor>
  <xdr:twoCellAnchor>
    <xdr:from>
      <xdr:col>12</xdr:col>
      <xdr:colOff>319368</xdr:colOff>
      <xdr:row>37</xdr:row>
      <xdr:rowOff>52480</xdr:rowOff>
    </xdr:from>
    <xdr:to>
      <xdr:col>17</xdr:col>
      <xdr:colOff>689162</xdr:colOff>
      <xdr:row>50</xdr:row>
      <xdr:rowOff>124945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8FDFC-BD9A-3544-B83B-35E934009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501464</xdr:colOff>
      <xdr:row>55</xdr:row>
      <xdr:rowOff>164539</xdr:rowOff>
    </xdr:from>
    <xdr:to>
      <xdr:col>18</xdr:col>
      <xdr:colOff>49493</xdr:colOff>
      <xdr:row>69</xdr:row>
      <xdr:rowOff>31563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912675-7A12-2D43-8886-CF923F352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501464</xdr:colOff>
      <xdr:row>70</xdr:row>
      <xdr:rowOff>61820</xdr:rowOff>
    </xdr:from>
    <xdr:to>
      <xdr:col>18</xdr:col>
      <xdr:colOff>49493</xdr:colOff>
      <xdr:row>83</xdr:row>
      <xdr:rowOff>134284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65538D-62F2-234A-9976-B6844D5FE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4</xdr:row>
      <xdr:rowOff>88900</xdr:rowOff>
    </xdr:from>
    <xdr:to>
      <xdr:col>9</xdr:col>
      <xdr:colOff>254000</xdr:colOff>
      <xdr:row>26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D02706-AF68-2149-AE23-7E7A8B2D8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0" y="901700"/>
          <a:ext cx="6794500" cy="4381500"/>
        </a:xfrm>
        <a:prstGeom prst="rect">
          <a:avLst/>
        </a:prstGeom>
      </xdr:spPr>
    </xdr:pic>
    <xdr:clientData/>
  </xdr:twoCellAnchor>
  <xdr:twoCellAnchor editAs="oneCell">
    <xdr:from>
      <xdr:col>1</xdr:col>
      <xdr:colOff>180195</xdr:colOff>
      <xdr:row>27</xdr:row>
      <xdr:rowOff>107463</xdr:rowOff>
    </xdr:from>
    <xdr:to>
      <xdr:col>8</xdr:col>
      <xdr:colOff>75664</xdr:colOff>
      <xdr:row>104</xdr:row>
      <xdr:rowOff>93131</xdr:rowOff>
    </xdr:to>
    <xdr:pic>
      <xdr:nvPicPr>
        <xdr:cNvPr id="4" name="Picture 3" descr="advantages of online ordering for restaurant websites: more and more customers choose restaurants over third-party food portals">
          <a:extLst>
            <a:ext uri="{FF2B5EF4-FFF2-40B4-BE49-F238E27FC236}">
              <a16:creationId xmlns:a16="http://schemas.microsoft.com/office/drawing/2014/main" id="{74335A85-194B-B047-8B4F-CC8CD0F65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240" y="5562690"/>
          <a:ext cx="5754788" cy="15543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3</xdr:row>
      <xdr:rowOff>139699</xdr:rowOff>
    </xdr:from>
    <xdr:to>
      <xdr:col>9</xdr:col>
      <xdr:colOff>647700</xdr:colOff>
      <xdr:row>27</xdr:row>
      <xdr:rowOff>63672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9C0E1D-60B5-7643-8329-10EE53588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" y="749299"/>
          <a:ext cx="7670800" cy="4800773"/>
        </a:xfrm>
        <a:prstGeom prst="rect">
          <a:avLst/>
        </a:prstGeom>
      </xdr:spPr>
    </xdr:pic>
    <xdr:clientData/>
  </xdr:twoCellAnchor>
  <xdr:twoCellAnchor>
    <xdr:from>
      <xdr:col>12</xdr:col>
      <xdr:colOff>444500</xdr:colOff>
      <xdr:row>4</xdr:row>
      <xdr:rowOff>133350</xdr:rowOff>
    </xdr:from>
    <xdr:to>
      <xdr:col>17</xdr:col>
      <xdr:colOff>718868</xdr:colOff>
      <xdr:row>20</xdr:row>
      <xdr:rowOff>63898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FBF84-8BAD-9346-8A78-8B6F9E55D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431800</xdr:colOff>
      <xdr:row>3</xdr:row>
      <xdr:rowOff>76200</xdr:rowOff>
    </xdr:from>
    <xdr:to>
      <xdr:col>7</xdr:col>
      <xdr:colOff>756334</xdr:colOff>
      <xdr:row>28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31118-8E2E-FD4C-8400-532C2D790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" y="685800"/>
          <a:ext cx="6103034" cy="5067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3</xdr:row>
      <xdr:rowOff>12700</xdr:rowOff>
    </xdr:from>
    <xdr:to>
      <xdr:col>7</xdr:col>
      <xdr:colOff>127000</xdr:colOff>
      <xdr:row>19</xdr:row>
      <xdr:rowOff>144431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0257A3-C986-2947-9BFF-3843B2FCD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" y="622300"/>
          <a:ext cx="5308600" cy="3382931"/>
        </a:xfrm>
        <a:prstGeom prst="rect">
          <a:avLst/>
        </a:prstGeom>
      </xdr:spPr>
    </xdr:pic>
    <xdr:clientData/>
  </xdr:twoCellAnchor>
  <xdr:twoCellAnchor>
    <xdr:from>
      <xdr:col>11</xdr:col>
      <xdr:colOff>832086</xdr:colOff>
      <xdr:row>2</xdr:row>
      <xdr:rowOff>76201</xdr:rowOff>
    </xdr:from>
    <xdr:to>
      <xdr:col>16</xdr:col>
      <xdr:colOff>463785</xdr:colOff>
      <xdr:row>15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046B4-A3A9-9F44-AB80-A260152E6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581589</xdr:colOff>
      <xdr:row>20</xdr:row>
      <xdr:rowOff>178037</xdr:rowOff>
    </xdr:from>
    <xdr:to>
      <xdr:col>7</xdr:col>
      <xdr:colOff>131765</xdr:colOff>
      <xdr:row>42</xdr:row>
      <xdr:rowOff>23739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A0E249-1C18-BB4E-87D8-6D305A9BC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589" y="4213551"/>
          <a:ext cx="5366064" cy="4284767"/>
        </a:xfrm>
        <a:prstGeom prst="rect">
          <a:avLst/>
        </a:prstGeom>
      </xdr:spPr>
    </xdr:pic>
    <xdr:clientData/>
  </xdr:twoCellAnchor>
  <xdr:twoCellAnchor>
    <xdr:from>
      <xdr:col>11</xdr:col>
      <xdr:colOff>782178</xdr:colOff>
      <xdr:row>24</xdr:row>
      <xdr:rowOff>5222</xdr:rowOff>
    </xdr:from>
    <xdr:to>
      <xdr:col>16</xdr:col>
      <xdr:colOff>392870</xdr:colOff>
      <xdr:row>37</xdr:row>
      <xdr:rowOff>125338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35E070-C140-7242-89B5-004AB5E75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4</xdr:row>
      <xdr:rowOff>6350</xdr:rowOff>
    </xdr:from>
    <xdr:to>
      <xdr:col>13</xdr:col>
      <xdr:colOff>762000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5BD1E-FE2A-F642-8CB7-5751C67A8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19080</xdr:colOff>
      <xdr:row>1</xdr:row>
      <xdr:rowOff>74520</xdr:rowOff>
    </xdr:from>
    <xdr:ext cx="1978920" cy="306000"/>
    <xdr:pic>
      <xdr:nvPicPr>
        <xdr:cNvPr id="2" name="Picture 2">
          <a:extLst>
            <a:ext uri="{FF2B5EF4-FFF2-40B4-BE49-F238E27FC236}">
              <a16:creationId xmlns:a16="http://schemas.microsoft.com/office/drawing/2014/main" id="{FCC5107F-352C-9F43-82BA-A30FBDBEB6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65280" y="265020"/>
          <a:ext cx="1978920" cy="306000"/>
        </a:xfrm>
        <a:prstGeom prst="rect">
          <a:avLst/>
        </a:prstGeom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83880</xdr:rowOff>
    </xdr:from>
    <xdr:ext cx="1978920" cy="306000"/>
    <xdr:pic>
      <xdr:nvPicPr>
        <xdr:cNvPr id="2" name="Picture 2">
          <a:extLst>
            <a:ext uri="{FF2B5EF4-FFF2-40B4-BE49-F238E27FC236}">
              <a16:creationId xmlns:a16="http://schemas.microsoft.com/office/drawing/2014/main" id="{766444E1-D703-DF41-98AF-FCB9D8AA374B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46200" y="274380"/>
          <a:ext cx="1978920" cy="306000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23</xdr:col>
      <xdr:colOff>426720</xdr:colOff>
      <xdr:row>9</xdr:row>
      <xdr:rowOff>30480</xdr:rowOff>
    </xdr:from>
    <xdr:to>
      <xdr:col>27</xdr:col>
      <xdr:colOff>274320</xdr:colOff>
      <xdr:row>20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FF818-B985-C14F-B7AD-71C1A46A7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406400</xdr:colOff>
      <xdr:row>23</xdr:row>
      <xdr:rowOff>55880</xdr:rowOff>
    </xdr:from>
    <xdr:to>
      <xdr:col>27</xdr:col>
      <xdr:colOff>254000</xdr:colOff>
      <xdr:row>34</xdr:row>
      <xdr:rowOff>142240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D38180-CA3E-3E41-B76B-45367AFAB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veloping%20Stor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ing Stor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staurantbusinessonline.com/consumer-trends/4-foodservice-trends-driven-millennials" TargetMode="External"/><Relationship Id="rId13" Type="http://schemas.openxmlformats.org/officeDocument/2006/relationships/hyperlink" Target="http://www.mintel.com/press-centre/food-and-drink/9-in-10-us-food-delivery-service-users-say-it-makes-their-lives-easier" TargetMode="External"/><Relationship Id="rId18" Type="http://schemas.openxmlformats.org/officeDocument/2006/relationships/hyperlink" Target="https://www.forbes.com/sites/andriacheng/2018/06/26/millennials-are-ordering-food-for-delivery-more-but-are-they-killing-the-kitchen-too/" TargetMode="External"/><Relationship Id="rId3" Type="http://schemas.openxmlformats.org/officeDocument/2006/relationships/hyperlink" Target="https://www.statista.com/statistics/705571/average-price-paid-per-food-order-in-the-us/" TargetMode="External"/><Relationship Id="rId21" Type="http://schemas.openxmlformats.org/officeDocument/2006/relationships/hyperlink" Target="https://www.qsrmagazine.com/outside-insights/mobile-ordering-races-38-billion-future" TargetMode="External"/><Relationship Id="rId7" Type="http://schemas.openxmlformats.org/officeDocument/2006/relationships/hyperlink" Target="http://www.mintel.com/press-centre/food-and-drink/9-in-10-us-food-delivery-service-users-say-it-makes-their-lives-easier" TargetMode="External"/><Relationship Id="rId12" Type="http://schemas.openxmlformats.org/officeDocument/2006/relationships/hyperlink" Target="http://www.mintel.com/press-centre/food-and-drink/9-in-10-us-food-delivery-service-users-say-it-makes-their-lives-easier" TargetMode="External"/><Relationship Id="rId17" Type="http://schemas.openxmlformats.org/officeDocument/2006/relationships/hyperlink" Target="https://www.nrn.com/sponsored-content/restaurant-takeout-and-delivery-are-taking-bite-out-dine-traffic" TargetMode="External"/><Relationship Id="rId2" Type="http://schemas.openxmlformats.org/officeDocument/2006/relationships/hyperlink" Target="http://www.mintel.com/press-centre/food-and-drink/9-in-10-us-food-delivery-service-users-say-it-makes-their-lives-easier" TargetMode="External"/><Relationship Id="rId16" Type="http://schemas.openxmlformats.org/officeDocument/2006/relationships/hyperlink" Target="https://www.businessinsider.com/mobile-orderings-major-fast-food-impact-2016-4" TargetMode="External"/><Relationship Id="rId20" Type="http://schemas.openxmlformats.org/officeDocument/2006/relationships/hyperlink" Target="http://www.pmq.com/December-2015/The-2016-Pizza-Power-Report-A-state-of-the-industry-analysis/" TargetMode="External"/><Relationship Id="rId1" Type="http://schemas.openxmlformats.org/officeDocument/2006/relationships/hyperlink" Target="https://www.nrn.com/sponsored-content/restaurant-takeout-and-delivery-are-taking-bite-out-dine-traffic" TargetMode="External"/><Relationship Id="rId6" Type="http://schemas.openxmlformats.org/officeDocument/2006/relationships/hyperlink" Target="https://hospitalitytech.com/70-consumers-prefer-order-direct-restaurants-not-third-party-services" TargetMode="External"/><Relationship Id="rId11" Type="http://schemas.openxmlformats.org/officeDocument/2006/relationships/hyperlink" Target="https://www.nrn.com/sponsored-content/restaurant-takeout-and-delivery-are-taking-bite-out-dine-traffic" TargetMode="External"/><Relationship Id="rId5" Type="http://schemas.openxmlformats.org/officeDocument/2006/relationships/hyperlink" Target="https://www.nrn.com/sponsored-content/restaurant-takeout-and-delivery-are-taking-bite-out-dine-traffic" TargetMode="External"/><Relationship Id="rId15" Type="http://schemas.openxmlformats.org/officeDocument/2006/relationships/hyperlink" Target="https://www.businessinsider.com/mobile-orderings-major-fast-food-impact-2016-4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://www.mintel.com/press-centre/food-and-drink/9-in-10-us-food-delivery-service-users-say-it-makes-their-lives-easier" TargetMode="External"/><Relationship Id="rId19" Type="http://schemas.openxmlformats.org/officeDocument/2006/relationships/hyperlink" Target="https://hospitalitytech.com/70-consumers-prefer-order-direct-restaurants-not-third-party-services" TargetMode="External"/><Relationship Id="rId4" Type="http://schemas.openxmlformats.org/officeDocument/2006/relationships/hyperlink" Target="https://www.restaurantbusinessonline.com/consumer-trends/stats-are-consumers-are-upping-restaurant-delivery" TargetMode="External"/><Relationship Id="rId9" Type="http://schemas.openxmlformats.org/officeDocument/2006/relationships/hyperlink" Target="https://www.nrn.com/sponsored-content/restaurant-takeout-and-delivery-are-taking-bite-out-dine-traffic" TargetMode="External"/><Relationship Id="rId14" Type="http://schemas.openxmlformats.org/officeDocument/2006/relationships/hyperlink" Target="https://www.restaurantbusinessonline.com/consumer-trends/stats-are-consumers-are-upping-restaurant-delivery" TargetMode="External"/><Relationship Id="rId22" Type="http://schemas.openxmlformats.org/officeDocument/2006/relationships/hyperlink" Target="https://www.npd.com/wps/portal/npd/us/news/press-releases/2018/in-a-slow-market-us-restaurant-operators-step-it-up-by-offering-customers-digitally-enabled-convenien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statista.com/statistics/192396/employment-rate-of-women-in-the-us-since-1990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8.xml"/><Relationship Id="rId3" Type="http://schemas.openxmlformats.org/officeDocument/2006/relationships/hyperlink" Target="https://my.pitchbook.com/?c=55082-71" TargetMode="External"/><Relationship Id="rId7" Type="http://schemas.openxmlformats.org/officeDocument/2006/relationships/hyperlink" Target="https://my.pitchbook.com/?c=55082-71" TargetMode="External"/><Relationship Id="rId2" Type="http://schemas.openxmlformats.org/officeDocument/2006/relationships/hyperlink" Target="https://my.pitchbook.com/?c=55082-71" TargetMode="External"/><Relationship Id="rId1" Type="http://schemas.openxmlformats.org/officeDocument/2006/relationships/hyperlink" Target="https://my.pitchbook.com/?c=55082-71" TargetMode="External"/><Relationship Id="rId6" Type="http://schemas.openxmlformats.org/officeDocument/2006/relationships/hyperlink" Target="https://my.pitchbook.com/?c=55082-71" TargetMode="External"/><Relationship Id="rId5" Type="http://schemas.openxmlformats.org/officeDocument/2006/relationships/hyperlink" Target="https://my.pitchbook.com/?c=55082-71" TargetMode="External"/><Relationship Id="rId4" Type="http://schemas.openxmlformats.org/officeDocument/2006/relationships/hyperlink" Target="https://my.pitchbook.com/?c=55082-7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9.xml"/><Relationship Id="rId3" Type="http://schemas.openxmlformats.org/officeDocument/2006/relationships/hyperlink" Target="https://my.pitchbook.com/?c=55082-71" TargetMode="External"/><Relationship Id="rId7" Type="http://schemas.openxmlformats.org/officeDocument/2006/relationships/hyperlink" Target="https://my.pitchbook.com/?c=55082-71" TargetMode="External"/><Relationship Id="rId2" Type="http://schemas.openxmlformats.org/officeDocument/2006/relationships/hyperlink" Target="https://my.pitchbook.com/?c=55082-71" TargetMode="External"/><Relationship Id="rId1" Type="http://schemas.openxmlformats.org/officeDocument/2006/relationships/hyperlink" Target="https://my.pitchbook.com/?c=55082-71" TargetMode="External"/><Relationship Id="rId6" Type="http://schemas.openxmlformats.org/officeDocument/2006/relationships/hyperlink" Target="https://my.pitchbook.com/?c=55082-71" TargetMode="External"/><Relationship Id="rId5" Type="http://schemas.openxmlformats.org/officeDocument/2006/relationships/hyperlink" Target="https://my.pitchbook.com/?c=55082-71" TargetMode="External"/><Relationship Id="rId4" Type="http://schemas.openxmlformats.org/officeDocument/2006/relationships/hyperlink" Target="https://my.pitchbook.com/?c=55082-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53AC-3C24-3041-B5A6-90B1D9259C68}">
  <dimension ref="B4:C37"/>
  <sheetViews>
    <sheetView topLeftCell="A14" zoomScale="139" workbookViewId="0">
      <selection activeCell="D45" sqref="D45"/>
    </sheetView>
  </sheetViews>
  <sheetFormatPr baseColWidth="10" defaultRowHeight="16"/>
  <cols>
    <col min="2" max="2" width="5.33203125" customWidth="1"/>
  </cols>
  <sheetData>
    <row r="4" spans="2:3">
      <c r="B4" s="1" t="s">
        <v>0</v>
      </c>
    </row>
    <row r="5" spans="2:3">
      <c r="C5" t="s">
        <v>1</v>
      </c>
    </row>
    <row r="6" spans="2:3">
      <c r="C6" t="s">
        <v>2</v>
      </c>
    </row>
    <row r="7" spans="2:3">
      <c r="C7" t="s">
        <v>3</v>
      </c>
    </row>
    <row r="8" spans="2:3">
      <c r="C8" t="s">
        <v>4</v>
      </c>
    </row>
    <row r="9" spans="2:3">
      <c r="C9" t="s">
        <v>5</v>
      </c>
    </row>
    <row r="12" spans="2:3">
      <c r="B12" s="1" t="s">
        <v>6</v>
      </c>
    </row>
    <row r="13" spans="2:3">
      <c r="C13" t="s">
        <v>8</v>
      </c>
    </row>
    <row r="14" spans="2:3">
      <c r="C14" t="s">
        <v>9</v>
      </c>
    </row>
    <row r="15" spans="2:3">
      <c r="C15" t="s">
        <v>10</v>
      </c>
    </row>
    <row r="16" spans="2:3">
      <c r="C16" t="s">
        <v>11</v>
      </c>
    </row>
    <row r="33" spans="3:3">
      <c r="C33" t="s">
        <v>30</v>
      </c>
    </row>
    <row r="34" spans="3:3">
      <c r="C34" t="s">
        <v>31</v>
      </c>
    </row>
    <row r="35" spans="3:3">
      <c r="C35" t="s">
        <v>32</v>
      </c>
    </row>
    <row r="36" spans="3:3">
      <c r="C36" t="s">
        <v>157</v>
      </c>
    </row>
    <row r="37" spans="3:3">
      <c r="C37" t="s">
        <v>158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C767-ABF6-454A-A740-3BA9A267B1B2}">
  <dimension ref="A1:J22"/>
  <sheetViews>
    <sheetView zoomScale="87" workbookViewId="0"/>
  </sheetViews>
  <sheetFormatPr baseColWidth="10" defaultRowHeight="16"/>
  <cols>
    <col min="8" max="8" width="29.33203125" customWidth="1"/>
  </cols>
  <sheetData>
    <row r="1" spans="1:10">
      <c r="A1" t="s">
        <v>181</v>
      </c>
    </row>
    <row r="3" spans="1:10">
      <c r="H3" t="s">
        <v>165</v>
      </c>
    </row>
    <row r="4" spans="1:10">
      <c r="H4" t="s">
        <v>180</v>
      </c>
    </row>
    <row r="7" spans="1:10">
      <c r="H7" s="87" t="s">
        <v>176</v>
      </c>
      <c r="I7" s="88" t="s">
        <v>177</v>
      </c>
      <c r="J7" s="89" t="s">
        <v>178</v>
      </c>
    </row>
    <row r="8" spans="1:10">
      <c r="H8" s="82" t="s">
        <v>166</v>
      </c>
      <c r="I8" s="80">
        <v>-318</v>
      </c>
      <c r="J8" s="83">
        <f>I8/(SUM($I$8:$I$13))</f>
        <v>0.34682080924855496</v>
      </c>
    </row>
    <row r="9" spans="1:10">
      <c r="H9" s="82" t="s">
        <v>167</v>
      </c>
      <c r="I9" s="80">
        <v>-313.89999999999998</v>
      </c>
      <c r="J9" s="83">
        <f t="shared" ref="J9:J13" si="0">I9/(SUM($I$8:$I$13))</f>
        <v>0.34234922019849495</v>
      </c>
    </row>
    <row r="10" spans="1:10">
      <c r="H10" s="82" t="s">
        <v>168</v>
      </c>
      <c r="I10" s="80">
        <v>-54.3</v>
      </c>
      <c r="J10" s="83">
        <f t="shared" si="0"/>
        <v>5.9221289126404196E-2</v>
      </c>
    </row>
    <row r="11" spans="1:10">
      <c r="H11" s="82" t="s">
        <v>169</v>
      </c>
      <c r="I11" s="80">
        <v>-217.2</v>
      </c>
      <c r="J11" s="83">
        <f t="shared" si="0"/>
        <v>0.23688515650561678</v>
      </c>
    </row>
    <row r="12" spans="1:10">
      <c r="H12" s="82" t="s">
        <v>170</v>
      </c>
      <c r="I12" s="80">
        <v>-9.1999999999999993</v>
      </c>
      <c r="J12" s="83">
        <f t="shared" si="0"/>
        <v>1.0033809575744356E-2</v>
      </c>
    </row>
    <row r="13" spans="1:10" ht="17" thickBot="1">
      <c r="H13" s="91" t="s">
        <v>171</v>
      </c>
      <c r="I13" s="92">
        <v>-4.3</v>
      </c>
      <c r="J13" s="93">
        <f t="shared" si="0"/>
        <v>4.6897153451848621E-3</v>
      </c>
    </row>
    <row r="14" spans="1:10">
      <c r="H14" s="84" t="s">
        <v>76</v>
      </c>
      <c r="I14" s="85">
        <f>SUM(I8:I13)</f>
        <v>-916.89999999999986</v>
      </c>
      <c r="J14" s="86">
        <f>SUM(J8:J13)</f>
        <v>1.0000000000000002</v>
      </c>
    </row>
    <row r="15" spans="1:10">
      <c r="I15" s="79"/>
    </row>
    <row r="16" spans="1:10">
      <c r="I16" s="79"/>
    </row>
    <row r="17" spans="8:10">
      <c r="H17" s="87" t="s">
        <v>179</v>
      </c>
      <c r="I17" s="90" t="s">
        <v>177</v>
      </c>
      <c r="J17" s="89" t="s">
        <v>178</v>
      </c>
    </row>
    <row r="18" spans="8:10">
      <c r="H18" s="82" t="s">
        <v>172</v>
      </c>
      <c r="I18" s="81">
        <v>501.8</v>
      </c>
      <c r="J18" s="83">
        <f>I18/(SUM($I$18:$I$21))</f>
        <v>0.71066421186800732</v>
      </c>
    </row>
    <row r="19" spans="8:10">
      <c r="H19" s="82" t="s">
        <v>173</v>
      </c>
      <c r="I19" s="81">
        <v>102.8</v>
      </c>
      <c r="J19" s="83">
        <f t="shared" ref="J19:J21" si="1">I19/(SUM($I$18:$I$21))</f>
        <v>0.14558844356323467</v>
      </c>
    </row>
    <row r="20" spans="8:10">
      <c r="H20" s="82" t="s">
        <v>174</v>
      </c>
      <c r="I20" s="81">
        <v>50.8</v>
      </c>
      <c r="J20" s="83">
        <f t="shared" si="1"/>
        <v>7.1944483784166541E-2</v>
      </c>
    </row>
    <row r="21" spans="8:10" ht="17" thickBot="1">
      <c r="H21" s="91" t="s">
        <v>175</v>
      </c>
      <c r="I21" s="94">
        <v>50.7</v>
      </c>
      <c r="J21" s="93">
        <f t="shared" si="1"/>
        <v>7.1802860784591416E-2</v>
      </c>
    </row>
    <row r="22" spans="8:10">
      <c r="H22" s="84" t="s">
        <v>76</v>
      </c>
      <c r="I22" s="85">
        <f>SUM(I18:I21)</f>
        <v>706.1</v>
      </c>
      <c r="J22" s="86">
        <f>SUM(J16:J21)</f>
        <v>0.99999999999999989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E8E4-E504-A54A-93EF-2360D6F29E28}">
  <dimension ref="B2:BP109"/>
  <sheetViews>
    <sheetView topLeftCell="AY21" zoomScale="109" workbookViewId="0">
      <selection activeCell="BL20" sqref="BL20"/>
    </sheetView>
  </sheetViews>
  <sheetFormatPr baseColWidth="10" defaultRowHeight="16"/>
  <cols>
    <col min="2" max="2" width="11.33203125" bestFit="1" customWidth="1"/>
    <col min="3" max="3" width="11.5" bestFit="1" customWidth="1"/>
    <col min="4" max="5" width="13.83203125" bestFit="1" customWidth="1"/>
    <col min="6" max="6" width="13" bestFit="1" customWidth="1"/>
    <col min="7" max="10" width="11.6640625" bestFit="1" customWidth="1"/>
    <col min="11" max="11" width="11.5" customWidth="1"/>
    <col min="14" max="15" width="11.33203125" bestFit="1" customWidth="1"/>
    <col min="16" max="17" width="14" bestFit="1" customWidth="1"/>
    <col min="18" max="22" width="11.5" bestFit="1" customWidth="1"/>
    <col min="23" max="23" width="12.33203125" customWidth="1"/>
    <col min="24" max="24" width="13.83203125" bestFit="1" customWidth="1"/>
    <col min="25" max="25" width="14" bestFit="1" customWidth="1"/>
    <col min="26" max="26" width="12.6640625" customWidth="1"/>
    <col min="27" max="27" width="11.33203125" bestFit="1" customWidth="1"/>
    <col min="28" max="28" width="12.33203125" bestFit="1" customWidth="1"/>
    <col min="31" max="31" width="11.1640625" customWidth="1"/>
    <col min="32" max="32" width="20.83203125" bestFit="1" customWidth="1"/>
    <col min="33" max="33" width="16.6640625" bestFit="1" customWidth="1"/>
    <col min="34" max="34" width="13.6640625" bestFit="1" customWidth="1"/>
    <col min="35" max="35" width="13" customWidth="1"/>
    <col min="36" max="36" width="13.1640625" bestFit="1" customWidth="1"/>
    <col min="37" max="39" width="11.33203125" bestFit="1" customWidth="1"/>
    <col min="48" max="49" width="11.1640625" bestFit="1" customWidth="1"/>
    <col min="50" max="51" width="12.6640625" bestFit="1" customWidth="1"/>
    <col min="52" max="55" width="11.1640625" bestFit="1" customWidth="1"/>
    <col min="56" max="56" width="11" bestFit="1" customWidth="1"/>
    <col min="60" max="60" width="12.1640625" customWidth="1"/>
    <col min="61" max="61" width="20" customWidth="1"/>
    <col min="62" max="62" width="17.33203125" customWidth="1"/>
    <col min="63" max="63" width="15.5" customWidth="1"/>
    <col min="64" max="64" width="20.83203125" bestFit="1" customWidth="1"/>
    <col min="65" max="65" width="13.1640625" bestFit="1" customWidth="1"/>
    <col min="66" max="68" width="11" bestFit="1" customWidth="1"/>
  </cols>
  <sheetData>
    <row r="2" spans="2:68">
      <c r="N2" s="19"/>
      <c r="AE2" s="19"/>
    </row>
    <row r="3" spans="2:68" ht="17" thickBot="1">
      <c r="B3" s="11" t="s">
        <v>121</v>
      </c>
      <c r="C3" s="10"/>
      <c r="D3" s="10"/>
      <c r="E3" s="10"/>
      <c r="F3" s="10"/>
      <c r="G3" s="10"/>
      <c r="H3" s="10"/>
      <c r="I3" s="10"/>
      <c r="J3" s="10"/>
      <c r="K3" s="10"/>
      <c r="M3" s="12"/>
      <c r="N3" s="11" t="s">
        <v>110</v>
      </c>
      <c r="O3" s="10"/>
      <c r="P3" s="10"/>
      <c r="Q3" s="10"/>
      <c r="R3" s="10"/>
      <c r="S3" s="10"/>
      <c r="T3" s="10"/>
      <c r="U3" s="10"/>
      <c r="V3" s="31"/>
      <c r="W3" s="31"/>
      <c r="X3" s="31"/>
      <c r="Y3" s="31"/>
      <c r="Z3" s="31"/>
      <c r="AA3" s="31"/>
      <c r="AB3" s="31"/>
      <c r="AD3" s="12"/>
      <c r="AE3" s="32" t="s">
        <v>125</v>
      </c>
      <c r="AF3" s="31"/>
      <c r="AG3" s="31"/>
      <c r="AH3" s="31"/>
      <c r="AI3" s="31"/>
      <c r="AJ3" s="31"/>
      <c r="AK3" s="31"/>
      <c r="AL3" s="31"/>
      <c r="AM3" s="31"/>
      <c r="AU3" s="12"/>
      <c r="AV3" s="32" t="s">
        <v>163</v>
      </c>
      <c r="AW3" s="31"/>
      <c r="AX3" s="31"/>
      <c r="AY3" s="31"/>
      <c r="AZ3" s="31"/>
      <c r="BA3" s="31"/>
      <c r="BB3" s="31"/>
      <c r="BC3" s="31"/>
      <c r="BD3" s="31"/>
      <c r="BE3" s="31"/>
      <c r="BG3" s="12"/>
      <c r="BH3" s="32" t="s">
        <v>164</v>
      </c>
      <c r="BI3" s="31"/>
      <c r="BJ3" s="31"/>
      <c r="BK3" s="31"/>
      <c r="BL3" s="31"/>
      <c r="BM3" s="31"/>
      <c r="BN3" s="31"/>
      <c r="BO3" s="31"/>
      <c r="BP3" s="31"/>
    </row>
    <row r="4" spans="2:68">
      <c r="M4" s="12"/>
      <c r="AD4" s="12"/>
      <c r="AU4" s="12"/>
      <c r="BG4" s="12"/>
    </row>
    <row r="5" spans="2:68">
      <c r="B5" s="99" t="s">
        <v>77</v>
      </c>
      <c r="C5" s="99"/>
      <c r="D5" s="99"/>
      <c r="E5" s="99"/>
      <c r="G5" s="99" t="s">
        <v>75</v>
      </c>
      <c r="H5" s="99"/>
      <c r="J5" s="106" t="s">
        <v>122</v>
      </c>
      <c r="K5" s="107"/>
      <c r="M5" s="12"/>
      <c r="N5" s="99" t="s">
        <v>77</v>
      </c>
      <c r="O5" s="99"/>
      <c r="P5" s="99"/>
      <c r="Q5" s="99"/>
      <c r="S5" s="99" t="s">
        <v>107</v>
      </c>
      <c r="T5" s="99"/>
      <c r="U5" s="99"/>
      <c r="AD5" s="12"/>
      <c r="AE5" s="33"/>
      <c r="AF5" s="33" t="s">
        <v>77</v>
      </c>
      <c r="AG5" s="33" t="s">
        <v>122</v>
      </c>
      <c r="AH5" s="33" t="s">
        <v>126</v>
      </c>
      <c r="AU5" s="12"/>
      <c r="AV5" s="99" t="s">
        <v>77</v>
      </c>
      <c r="AW5" s="99"/>
      <c r="AX5" s="99"/>
      <c r="AY5" s="99"/>
      <c r="BA5" s="99" t="s">
        <v>162</v>
      </c>
      <c r="BB5" s="99"/>
      <c r="BG5" s="12"/>
      <c r="BH5" s="13"/>
      <c r="BI5" s="13" t="s">
        <v>77</v>
      </c>
      <c r="BJ5" s="13" t="s">
        <v>122</v>
      </c>
      <c r="BK5" s="13" t="s">
        <v>126</v>
      </c>
      <c r="BL5" s="13" t="s">
        <v>161</v>
      </c>
    </row>
    <row r="6" spans="2:68">
      <c r="B6" s="13"/>
      <c r="C6" s="13" t="s">
        <v>12</v>
      </c>
      <c r="D6" s="13" t="s">
        <v>13</v>
      </c>
      <c r="E6" s="13" t="s">
        <v>76</v>
      </c>
      <c r="G6" s="13">
        <v>2012</v>
      </c>
      <c r="H6" s="16">
        <v>0.53100000000000003</v>
      </c>
      <c r="J6" s="13">
        <v>2012</v>
      </c>
      <c r="K6" s="16">
        <v>0.58599999999999997</v>
      </c>
      <c r="M6" s="12"/>
      <c r="N6" s="13"/>
      <c r="O6" s="13" t="s">
        <v>12</v>
      </c>
      <c r="P6" s="13" t="s">
        <v>13</v>
      </c>
      <c r="Q6" s="13" t="s">
        <v>76</v>
      </c>
      <c r="S6" s="13"/>
      <c r="T6" s="13" t="s">
        <v>48</v>
      </c>
      <c r="U6" s="13" t="s">
        <v>49</v>
      </c>
      <c r="AD6" s="12"/>
      <c r="AE6" s="33">
        <v>2017</v>
      </c>
      <c r="AF6" s="33">
        <v>76191</v>
      </c>
      <c r="AG6" s="34">
        <f>K11</f>
        <v>0.60099999999999998</v>
      </c>
      <c r="AH6" s="35">
        <f>U14</f>
        <v>0.9</v>
      </c>
      <c r="AU6" s="12"/>
      <c r="AV6" s="13"/>
      <c r="AW6" s="13" t="s">
        <v>12</v>
      </c>
      <c r="AX6" s="13" t="s">
        <v>13</v>
      </c>
      <c r="AY6" s="13" t="s">
        <v>76</v>
      </c>
      <c r="BA6" s="13">
        <v>2016</v>
      </c>
      <c r="BB6" s="74">
        <v>2.5</v>
      </c>
      <c r="BG6" s="12"/>
      <c r="BH6" s="13">
        <v>2017</v>
      </c>
      <c r="BI6" s="77">
        <v>76191</v>
      </c>
      <c r="BJ6" s="78">
        <v>0.60099999999999998</v>
      </c>
      <c r="BK6" s="78">
        <v>0.9</v>
      </c>
      <c r="BL6" s="74">
        <v>2.7</v>
      </c>
    </row>
    <row r="7" spans="2:68">
      <c r="B7" s="13">
        <v>2017</v>
      </c>
      <c r="C7" s="13">
        <v>35299</v>
      </c>
      <c r="D7" s="13">
        <v>40892</v>
      </c>
      <c r="E7" s="21">
        <f t="shared" ref="E7:E17" si="0">C7+D7</f>
        <v>76191</v>
      </c>
      <c r="G7" s="13">
        <v>2013</v>
      </c>
      <c r="H7" s="16">
        <v>0.53200000000000003</v>
      </c>
      <c r="J7" s="13">
        <v>2013</v>
      </c>
      <c r="K7" s="16">
        <v>0.58599999999999997</v>
      </c>
      <c r="M7" s="12"/>
      <c r="N7" s="13">
        <v>2017</v>
      </c>
      <c r="O7" s="13">
        <v>35299</v>
      </c>
      <c r="P7" s="13">
        <v>40892</v>
      </c>
      <c r="Q7" s="13">
        <f>O7+P7</f>
        <v>76191</v>
      </c>
      <c r="S7" s="13">
        <v>2010</v>
      </c>
      <c r="T7" s="16">
        <v>0.86599999999999999</v>
      </c>
      <c r="U7" s="16">
        <v>0.876</v>
      </c>
      <c r="AD7" s="12"/>
      <c r="AE7" s="33">
        <v>2018</v>
      </c>
      <c r="AF7" s="33">
        <v>91405</v>
      </c>
      <c r="AG7" s="34">
        <f t="shared" ref="AG7:AG16" si="1">K12</f>
        <v>0.60399999999999998</v>
      </c>
      <c r="AH7" s="35">
        <f t="shared" ref="AH7:AH16" si="2">U15</f>
        <v>0.90200000000000002</v>
      </c>
      <c r="AU7" s="12"/>
      <c r="AV7" s="13">
        <v>2017</v>
      </c>
      <c r="AW7" s="13">
        <v>35299</v>
      </c>
      <c r="AX7" s="13">
        <v>40892</v>
      </c>
      <c r="AY7" s="21">
        <f t="shared" ref="AY7:AY17" si="3">AW7+AX7</f>
        <v>76191</v>
      </c>
      <c r="BA7" s="13">
        <v>2017</v>
      </c>
      <c r="BB7" s="76">
        <v>2.7</v>
      </c>
      <c r="BG7" s="12"/>
      <c r="BH7" s="13">
        <v>2018</v>
      </c>
      <c r="BI7" s="77">
        <v>91405</v>
      </c>
      <c r="BJ7" s="78">
        <v>0.60399999999999998</v>
      </c>
      <c r="BK7" s="78">
        <v>0.90200000000000002</v>
      </c>
      <c r="BL7" s="74">
        <v>2.9</v>
      </c>
    </row>
    <row r="8" spans="2:68">
      <c r="B8" s="13">
        <v>2018</v>
      </c>
      <c r="C8" s="13">
        <v>44282</v>
      </c>
      <c r="D8" s="13">
        <v>47123</v>
      </c>
      <c r="E8" s="21">
        <f t="shared" si="0"/>
        <v>91405</v>
      </c>
      <c r="G8" s="13">
        <v>2014</v>
      </c>
      <c r="H8" s="16">
        <v>0.53500000000000003</v>
      </c>
      <c r="J8" s="13">
        <v>2014</v>
      </c>
      <c r="K8" s="16">
        <v>0.59</v>
      </c>
      <c r="M8" s="12"/>
      <c r="N8" s="13">
        <v>2018</v>
      </c>
      <c r="O8" s="13">
        <v>44282</v>
      </c>
      <c r="P8" s="13">
        <v>47123</v>
      </c>
      <c r="Q8" s="13">
        <f t="shared" ref="Q8:Q14" si="4">O8+P8</f>
        <v>91405</v>
      </c>
      <c r="S8" s="13">
        <v>2011</v>
      </c>
      <c r="T8" s="16">
        <v>0.871</v>
      </c>
      <c r="U8" s="16">
        <v>0.88</v>
      </c>
      <c r="AD8" s="12"/>
      <c r="AE8" s="33">
        <v>2019</v>
      </c>
      <c r="AF8" s="33">
        <v>107437</v>
      </c>
      <c r="AG8" s="34">
        <f t="shared" si="1"/>
        <v>0.60799999999999998</v>
      </c>
      <c r="AH8" s="35">
        <f t="shared" si="2"/>
        <v>0.90695640635871655</v>
      </c>
      <c r="AU8" s="12"/>
      <c r="AV8" s="13">
        <v>2018</v>
      </c>
      <c r="AW8" s="13">
        <v>44282</v>
      </c>
      <c r="AX8" s="13">
        <v>47123</v>
      </c>
      <c r="AY8" s="21">
        <f t="shared" si="3"/>
        <v>91405</v>
      </c>
      <c r="BA8" s="13">
        <v>2018</v>
      </c>
      <c r="BB8" s="76">
        <v>2.9</v>
      </c>
      <c r="BG8" s="12"/>
      <c r="BH8" s="13">
        <v>2019</v>
      </c>
      <c r="BI8" s="77">
        <v>107437</v>
      </c>
      <c r="BJ8" s="78">
        <v>0.60799999999999998</v>
      </c>
      <c r="BK8" s="78">
        <v>0.90695640635871655</v>
      </c>
      <c r="BL8" s="74">
        <v>3.2</v>
      </c>
    </row>
    <row r="9" spans="2:68">
      <c r="B9" s="13">
        <v>2019</v>
      </c>
      <c r="C9" s="13">
        <v>53785</v>
      </c>
      <c r="D9" s="13">
        <v>53652</v>
      </c>
      <c r="E9" s="21">
        <f t="shared" si="0"/>
        <v>107437</v>
      </c>
      <c r="G9" s="13">
        <v>2015</v>
      </c>
      <c r="H9" s="16">
        <v>0.53700000000000003</v>
      </c>
      <c r="J9" s="13">
        <v>2015</v>
      </c>
      <c r="K9" s="16">
        <v>0.59299999999999997</v>
      </c>
      <c r="M9" s="12"/>
      <c r="N9" s="13">
        <v>2019</v>
      </c>
      <c r="O9" s="13">
        <v>53785</v>
      </c>
      <c r="P9" s="13">
        <v>53652</v>
      </c>
      <c r="Q9" s="13">
        <f t="shared" si="4"/>
        <v>107437</v>
      </c>
      <c r="S9" s="13">
        <v>2012</v>
      </c>
      <c r="T9" s="16">
        <v>0.873</v>
      </c>
      <c r="U9" s="16">
        <v>0.88</v>
      </c>
      <c r="AD9" s="12"/>
      <c r="AE9" s="33">
        <v>2020</v>
      </c>
      <c r="AF9" s="33">
        <v>122737</v>
      </c>
      <c r="AG9" s="34">
        <f t="shared" si="1"/>
        <v>0.6111877437077653</v>
      </c>
      <c r="AH9" s="35">
        <f t="shared" si="2"/>
        <v>0.91052612540893529</v>
      </c>
      <c r="AU9" s="12"/>
      <c r="AV9" s="13">
        <v>2019</v>
      </c>
      <c r="AW9" s="13">
        <v>53785</v>
      </c>
      <c r="AX9" s="13">
        <v>53652</v>
      </c>
      <c r="AY9" s="21">
        <f t="shared" si="3"/>
        <v>107437</v>
      </c>
      <c r="BA9" s="13">
        <v>2019</v>
      </c>
      <c r="BB9" s="76">
        <v>3.2</v>
      </c>
      <c r="BG9" s="12"/>
      <c r="BH9" s="13">
        <v>2020</v>
      </c>
      <c r="BI9" s="77">
        <v>122737</v>
      </c>
      <c r="BJ9" s="78">
        <v>0.6111877437077653</v>
      </c>
      <c r="BK9" s="78">
        <v>0.91052612540893529</v>
      </c>
      <c r="BL9" s="74">
        <v>3.5</v>
      </c>
    </row>
    <row r="10" spans="2:68">
      <c r="B10" s="13">
        <v>2020</v>
      </c>
      <c r="C10" s="13">
        <v>62797</v>
      </c>
      <c r="D10" s="13">
        <v>59940</v>
      </c>
      <c r="E10" s="21">
        <f t="shared" si="0"/>
        <v>122737</v>
      </c>
      <c r="G10" s="13">
        <v>2016</v>
      </c>
      <c r="H10" s="16">
        <v>0.54100000000000004</v>
      </c>
      <c r="J10" s="13">
        <v>2016</v>
      </c>
      <c r="K10" s="16">
        <v>0.59699999999999998</v>
      </c>
      <c r="M10" s="12"/>
      <c r="N10" s="13">
        <v>2020</v>
      </c>
      <c r="O10" s="13">
        <v>62797</v>
      </c>
      <c r="P10" s="13">
        <v>59940</v>
      </c>
      <c r="Q10" s="13">
        <f t="shared" si="4"/>
        <v>122737</v>
      </c>
      <c r="S10" s="13">
        <v>2013</v>
      </c>
      <c r="T10" s="16">
        <v>0.876</v>
      </c>
      <c r="U10" s="16">
        <v>0.88600000000000001</v>
      </c>
      <c r="AD10" s="12"/>
      <c r="AE10" s="33">
        <v>2021</v>
      </c>
      <c r="AF10" s="33">
        <v>136297</v>
      </c>
      <c r="AG10" s="34">
        <f t="shared" si="1"/>
        <v>0.61453091150458794</v>
      </c>
      <c r="AH10" s="35">
        <f t="shared" si="2"/>
        <v>0.91142713273906384</v>
      </c>
      <c r="AU10" s="12"/>
      <c r="AV10" s="13">
        <v>2020</v>
      </c>
      <c r="AW10" s="13">
        <v>62797</v>
      </c>
      <c r="AX10" s="13">
        <v>59940</v>
      </c>
      <c r="AY10" s="21">
        <f t="shared" si="3"/>
        <v>122737</v>
      </c>
      <c r="BA10" s="13">
        <v>2020</v>
      </c>
      <c r="BB10" s="76">
        <v>3.5</v>
      </c>
      <c r="BG10" s="12"/>
      <c r="BH10" s="13">
        <v>2021</v>
      </c>
      <c r="BI10" s="77">
        <v>136297</v>
      </c>
      <c r="BJ10" s="78">
        <v>0.61453091150458794</v>
      </c>
      <c r="BK10" s="78">
        <v>0.91142713273906384</v>
      </c>
      <c r="BL10" s="74">
        <v>3.8</v>
      </c>
    </row>
    <row r="11" spans="2:68">
      <c r="B11" s="13">
        <v>2021</v>
      </c>
      <c r="C11" s="13">
        <v>70673</v>
      </c>
      <c r="D11" s="13">
        <v>65624</v>
      </c>
      <c r="E11" s="21">
        <f t="shared" si="0"/>
        <v>136297</v>
      </c>
      <c r="G11" s="13">
        <v>2017</v>
      </c>
      <c r="H11" s="23">
        <v>0.54600000000000004</v>
      </c>
      <c r="J11" s="13">
        <v>2017</v>
      </c>
      <c r="K11" s="23">
        <v>0.60099999999999998</v>
      </c>
      <c r="M11" s="12"/>
      <c r="N11" s="13">
        <v>2021</v>
      </c>
      <c r="O11" s="13">
        <v>70673</v>
      </c>
      <c r="P11" s="13">
        <v>65624</v>
      </c>
      <c r="Q11" s="13">
        <f t="shared" si="4"/>
        <v>136297</v>
      </c>
      <c r="S11" s="13">
        <v>2014</v>
      </c>
      <c r="T11" s="16">
        <v>0.877</v>
      </c>
      <c r="U11" s="16">
        <v>0.88900000000000001</v>
      </c>
      <c r="AD11" s="12"/>
      <c r="AE11" s="33">
        <v>2022</v>
      </c>
      <c r="AF11" s="33">
        <v>147673</v>
      </c>
      <c r="AG11" s="34">
        <f t="shared" si="1"/>
        <v>0.61787407930141058</v>
      </c>
      <c r="AH11" s="35">
        <f t="shared" si="2"/>
        <v>0.91741438382354368</v>
      </c>
      <c r="AU11" s="12"/>
      <c r="AV11" s="13">
        <v>2021</v>
      </c>
      <c r="AW11" s="13">
        <v>70673</v>
      </c>
      <c r="AX11" s="13">
        <v>65624</v>
      </c>
      <c r="AY11" s="21">
        <f t="shared" si="3"/>
        <v>136297</v>
      </c>
      <c r="BA11" s="13">
        <v>2021</v>
      </c>
      <c r="BB11" s="76">
        <v>3.8</v>
      </c>
      <c r="BG11" s="12"/>
      <c r="BH11" s="13">
        <v>2022</v>
      </c>
      <c r="BI11" s="77">
        <v>147673</v>
      </c>
      <c r="BJ11" s="78">
        <v>0.61787407930141058</v>
      </c>
      <c r="BK11" s="78">
        <v>0.91741438382354368</v>
      </c>
      <c r="BL11" s="74">
        <v>4.065480534521889</v>
      </c>
    </row>
    <row r="12" spans="2:68">
      <c r="B12" s="13">
        <v>2022</v>
      </c>
      <c r="C12" s="13">
        <v>77135</v>
      </c>
      <c r="D12" s="13">
        <v>70538</v>
      </c>
      <c r="E12" s="21">
        <f t="shared" si="0"/>
        <v>147673</v>
      </c>
      <c r="G12" s="13">
        <v>2018</v>
      </c>
      <c r="H12" s="23">
        <v>0.54900000000000004</v>
      </c>
      <c r="J12" s="13">
        <v>2018</v>
      </c>
      <c r="K12" s="23">
        <v>0.60399999999999998</v>
      </c>
      <c r="M12" s="12"/>
      <c r="N12" s="13">
        <v>2022</v>
      </c>
      <c r="O12" s="13">
        <v>77135</v>
      </c>
      <c r="P12" s="13">
        <v>70538</v>
      </c>
      <c r="Q12" s="13">
        <f t="shared" si="4"/>
        <v>147673</v>
      </c>
      <c r="S12" s="13">
        <v>2015</v>
      </c>
      <c r="T12" s="16">
        <v>0.88</v>
      </c>
      <c r="U12" s="16">
        <v>0.88800000000000001</v>
      </c>
      <c r="AD12" s="12"/>
      <c r="AE12" s="33">
        <v>2023</v>
      </c>
      <c r="AF12" s="33">
        <v>156818</v>
      </c>
      <c r="AG12" s="34">
        <f t="shared" si="1"/>
        <v>0.62121724709823334</v>
      </c>
      <c r="AH12" s="35">
        <f t="shared" si="2"/>
        <v>0.92098410287376231</v>
      </c>
      <c r="AU12" s="12"/>
      <c r="AV12" s="13">
        <v>2022</v>
      </c>
      <c r="AW12" s="13">
        <v>77135</v>
      </c>
      <c r="AX12" s="13">
        <v>70538</v>
      </c>
      <c r="AY12" s="21">
        <f t="shared" si="3"/>
        <v>147673</v>
      </c>
      <c r="BA12" s="14">
        <v>2022</v>
      </c>
      <c r="BB12" s="76">
        <v>4.065480534521889</v>
      </c>
      <c r="BG12" s="12"/>
      <c r="BH12" s="13">
        <v>2023</v>
      </c>
      <c r="BI12" s="77">
        <v>156818</v>
      </c>
      <c r="BJ12" s="78">
        <v>0.62121724709823334</v>
      </c>
      <c r="BK12" s="78">
        <v>0.92098410287376231</v>
      </c>
      <c r="BL12" s="74">
        <v>4.3344068806969789</v>
      </c>
    </row>
    <row r="13" spans="2:68">
      <c r="B13" s="13">
        <v>2023</v>
      </c>
      <c r="C13" s="13">
        <v>82176</v>
      </c>
      <c r="D13" s="13">
        <v>74642</v>
      </c>
      <c r="E13" s="21">
        <f t="shared" si="0"/>
        <v>156818</v>
      </c>
      <c r="G13" s="13">
        <v>2019</v>
      </c>
      <c r="H13" s="23">
        <v>0.55400000000000005</v>
      </c>
      <c r="J13" s="13">
        <v>2019</v>
      </c>
      <c r="K13" s="23">
        <v>0.60799999999999998</v>
      </c>
      <c r="M13" s="12"/>
      <c r="N13" s="13">
        <v>2023</v>
      </c>
      <c r="O13" s="13">
        <v>82176</v>
      </c>
      <c r="P13" s="13">
        <v>74642</v>
      </c>
      <c r="Q13" s="13">
        <f t="shared" si="4"/>
        <v>156818</v>
      </c>
      <c r="S13" s="13">
        <v>2016</v>
      </c>
      <c r="T13" s="16">
        <v>0.88500000000000001</v>
      </c>
      <c r="U13" s="16">
        <v>0.89600000000000002</v>
      </c>
      <c r="AD13" s="12"/>
      <c r="AE13" s="33">
        <v>2024</v>
      </c>
      <c r="AF13" s="33">
        <v>164002</v>
      </c>
      <c r="AG13" s="34">
        <f t="shared" si="1"/>
        <v>0.62456041489505598</v>
      </c>
      <c r="AH13" s="35">
        <f t="shared" si="2"/>
        <v>0.92188511020389086</v>
      </c>
      <c r="AU13" s="12"/>
      <c r="AV13" s="13">
        <v>2023</v>
      </c>
      <c r="AW13" s="13">
        <v>82176</v>
      </c>
      <c r="AX13" s="13">
        <v>74642</v>
      </c>
      <c r="AY13" s="21">
        <f t="shared" si="3"/>
        <v>156818</v>
      </c>
      <c r="BA13" s="14">
        <v>2023</v>
      </c>
      <c r="BB13" s="76">
        <v>4.3344068806969789</v>
      </c>
      <c r="BG13" s="12"/>
      <c r="BH13" s="13">
        <v>2024</v>
      </c>
      <c r="BI13" s="77">
        <v>164002</v>
      </c>
      <c r="BJ13" s="78">
        <v>0.62456041489505598</v>
      </c>
      <c r="BK13" s="78">
        <v>0.92188511020389086</v>
      </c>
      <c r="BL13" s="74">
        <v>4.6033332268720697</v>
      </c>
    </row>
    <row r="14" spans="2:68">
      <c r="B14" s="13">
        <v>2024</v>
      </c>
      <c r="C14" s="13">
        <v>86006</v>
      </c>
      <c r="D14" s="13">
        <v>77996</v>
      </c>
      <c r="E14" s="21">
        <f t="shared" si="0"/>
        <v>164002</v>
      </c>
      <c r="G14" s="14">
        <v>2020</v>
      </c>
      <c r="H14" s="23">
        <f>_xlfn.FORECAST.ETS(G14,$H$6:$H$13,$G$6:$G$13,1,1)</f>
        <v>0.55720688733414958</v>
      </c>
      <c r="J14" s="14">
        <v>2020</v>
      </c>
      <c r="K14" s="23">
        <f t="shared" ref="K14:K21" si="5">_xlfn.FORECAST.ETS(J14,$K$6:$K$13,$J$6:$J$13,1,1)</f>
        <v>0.6111877437077653</v>
      </c>
      <c r="M14" s="12"/>
      <c r="N14" s="13">
        <v>2024</v>
      </c>
      <c r="O14" s="13">
        <v>86006</v>
      </c>
      <c r="P14" s="13">
        <v>77996</v>
      </c>
      <c r="Q14" s="13">
        <f t="shared" si="4"/>
        <v>164002</v>
      </c>
      <c r="S14" s="13">
        <v>2017</v>
      </c>
      <c r="T14" s="16">
        <v>0.89100000000000001</v>
      </c>
      <c r="U14" s="23">
        <v>0.9</v>
      </c>
      <c r="AD14" s="12"/>
      <c r="AE14" s="33">
        <v>2025</v>
      </c>
      <c r="AF14" s="36">
        <v>171408.77110277337</v>
      </c>
      <c r="AG14" s="34">
        <f t="shared" si="1"/>
        <v>0.62790358269187863</v>
      </c>
      <c r="AH14" s="35">
        <f t="shared" si="2"/>
        <v>0.9278723612883707</v>
      </c>
      <c r="AU14" s="12"/>
      <c r="AV14" s="13">
        <v>2024</v>
      </c>
      <c r="AW14" s="13">
        <v>86006</v>
      </c>
      <c r="AX14" s="13">
        <v>77996</v>
      </c>
      <c r="AY14" s="21">
        <f t="shared" si="3"/>
        <v>164002</v>
      </c>
      <c r="BA14" s="14">
        <v>2024</v>
      </c>
      <c r="BB14" s="76">
        <v>4.6033332268720697</v>
      </c>
      <c r="BG14" s="12"/>
      <c r="BH14" s="13">
        <v>2025</v>
      </c>
      <c r="BI14" s="77">
        <v>171408.77110277337</v>
      </c>
      <c r="BJ14" s="78">
        <v>0.62790358269187863</v>
      </c>
      <c r="BK14" s="78">
        <v>0.9278723612883707</v>
      </c>
      <c r="BL14" s="74">
        <v>4.8722595730471596</v>
      </c>
    </row>
    <row r="15" spans="2:68">
      <c r="B15" s="14">
        <v>2025</v>
      </c>
      <c r="C15" s="15">
        <f>_xlfn.FORECAST.ETS(B15,$C$7:$C$14,$B$7:$B$14,1,1)</f>
        <v>89973.990832400101</v>
      </c>
      <c r="D15" s="15">
        <f>_xlfn.FORECAST.ETS(B15,$D$7:$D$14,$B$7:$B$14,1,1)</f>
        <v>81434.780270373289</v>
      </c>
      <c r="E15" s="22">
        <f t="shared" si="0"/>
        <v>171408.77110277337</v>
      </c>
      <c r="G15" s="14">
        <v>2021</v>
      </c>
      <c r="H15" s="23">
        <f t="shared" ref="H15:H21" si="6">_xlfn.FORECAST.ETS(G15,$H$6:$H$13,$G$6:$G$13,1,1)</f>
        <v>0.56057512784592345</v>
      </c>
      <c r="J15" s="14">
        <v>2021</v>
      </c>
      <c r="K15" s="23">
        <f t="shared" si="5"/>
        <v>0.61453091150458794</v>
      </c>
      <c r="M15" s="12"/>
      <c r="N15" s="14">
        <v>2025</v>
      </c>
      <c r="O15" s="15">
        <f>_xlfn.FORECAST.ETS(N15,$O$7:$O$14,$N$7:$N$14,1,1)</f>
        <v>89973.990832400101</v>
      </c>
      <c r="P15" s="15">
        <f>_xlfn.FORECAST.ETS(N15,$P$7:$P$14,$N$7:$N$14,1,1)</f>
        <v>81434.780270373289</v>
      </c>
      <c r="Q15" s="15">
        <f>O15+P15</f>
        <v>171408.77110277337</v>
      </c>
      <c r="S15" s="13">
        <v>2018</v>
      </c>
      <c r="T15" s="16">
        <v>0.89400000000000002</v>
      </c>
      <c r="U15" s="23">
        <v>0.90200000000000002</v>
      </c>
      <c r="AD15" s="12"/>
      <c r="AE15" s="33">
        <v>2026</v>
      </c>
      <c r="AF15" s="36">
        <v>178811.12057726551</v>
      </c>
      <c r="AG15" s="34">
        <f t="shared" si="1"/>
        <v>0.63124675048870127</v>
      </c>
      <c r="AH15" s="35">
        <f t="shared" si="2"/>
        <v>0.93144208033858933</v>
      </c>
      <c r="AU15" s="12"/>
      <c r="AV15" s="14">
        <v>2025</v>
      </c>
      <c r="AW15" s="15">
        <f>_xlfn.FORECAST.ETS(AV15,$C$7:$C$14,$B$7:$B$14,1,1)</f>
        <v>89973.990832400101</v>
      </c>
      <c r="AX15" s="15">
        <f>_xlfn.FORECAST.ETS(AV15,$D$7:$D$14,$B$7:$B$14,1,1)</f>
        <v>81434.780270373289</v>
      </c>
      <c r="AY15" s="22">
        <f t="shared" si="3"/>
        <v>171408.77110277337</v>
      </c>
      <c r="BA15" s="14">
        <v>2025</v>
      </c>
      <c r="BB15" s="76">
        <v>4.8722595730471596</v>
      </c>
      <c r="BG15" s="12"/>
      <c r="BH15" s="13">
        <v>2026</v>
      </c>
      <c r="BI15" s="77">
        <v>178811.12057726551</v>
      </c>
      <c r="BJ15" s="78">
        <v>0.63124675048870127</v>
      </c>
      <c r="BK15" s="78">
        <v>0.93144208033858933</v>
      </c>
      <c r="BL15" s="74">
        <v>5.1411859192222504</v>
      </c>
    </row>
    <row r="16" spans="2:68">
      <c r="B16" s="14">
        <v>2026</v>
      </c>
      <c r="C16" s="15">
        <f t="shared" ref="C16:C17" si="7">_xlfn.FORECAST.ETS(B16,$C$7:$C$14,$B$7:$B$14,1,1)</f>
        <v>93939.240999234331</v>
      </c>
      <c r="D16" s="15">
        <f t="shared" ref="D16:D17" si="8">_xlfn.FORECAST.ETS(B16,$D$7:$D$14,$B$7:$B$14,1,1)</f>
        <v>84871.879578031178</v>
      </c>
      <c r="E16" s="22">
        <f t="shared" si="0"/>
        <v>178811.12057726551</v>
      </c>
      <c r="G16" s="14">
        <v>2022</v>
      </c>
      <c r="H16" s="23">
        <f t="shared" si="6"/>
        <v>0.56394336835769743</v>
      </c>
      <c r="J16" s="14">
        <v>2022</v>
      </c>
      <c r="K16" s="23">
        <f t="shared" si="5"/>
        <v>0.61787407930141058</v>
      </c>
      <c r="M16" s="12"/>
      <c r="N16" s="14">
        <v>2026</v>
      </c>
      <c r="O16" s="15">
        <f t="shared" ref="O16:O17" si="9">_xlfn.FORECAST.ETS(N16,$O$7:$O$14,$N$7:$N$14,1,1)</f>
        <v>93939.240999234331</v>
      </c>
      <c r="P16" s="15">
        <f t="shared" ref="P16:P17" si="10">_xlfn.FORECAST.ETS(N16,$P$7:$P$14,$N$7:$N$14,1,1)</f>
        <v>84871.879578031178</v>
      </c>
      <c r="Q16" s="15">
        <f t="shared" ref="Q16:Q17" si="11">O16+P16</f>
        <v>178811.12057726551</v>
      </c>
      <c r="S16" s="14">
        <v>2019</v>
      </c>
      <c r="T16" s="17">
        <f>_xlfn.FORECAST.ETS(S16,$T$7:$T$15,$S$7:$S$15,1,1)</f>
        <v>0.89734001900009841</v>
      </c>
      <c r="U16" s="23">
        <f>_xlfn.FORECAST.ETS(S16,$U$7:$U$15,$S$7:$S$15,1,1)</f>
        <v>0.90695640635871655</v>
      </c>
      <c r="AD16" s="12"/>
      <c r="AE16" s="33">
        <v>2027</v>
      </c>
      <c r="AF16" s="36">
        <v>186213.47005175764</v>
      </c>
      <c r="AG16" s="34">
        <f t="shared" si="1"/>
        <v>0.63458991828552391</v>
      </c>
      <c r="AH16" s="35">
        <f t="shared" si="2"/>
        <v>0.93234308766871798</v>
      </c>
      <c r="AU16" s="12"/>
      <c r="AV16" s="14">
        <v>2026</v>
      </c>
      <c r="AW16" s="15">
        <f t="shared" ref="AW16:AW17" si="12">_xlfn.FORECAST.ETS(AV16,$C$7:$C$14,$B$7:$B$14,1,1)</f>
        <v>93939.240999234331</v>
      </c>
      <c r="AX16" s="15">
        <f t="shared" ref="AX16:AX17" si="13">_xlfn.FORECAST.ETS(AV16,$D$7:$D$14,$B$7:$B$14,1,1)</f>
        <v>84871.879578031178</v>
      </c>
      <c r="AY16" s="22">
        <f t="shared" si="3"/>
        <v>178811.12057726551</v>
      </c>
      <c r="BA16" s="14">
        <v>2026</v>
      </c>
      <c r="BB16" s="76">
        <v>5.1411859192222504</v>
      </c>
      <c r="BG16" s="12"/>
      <c r="BH16" s="13">
        <v>2027</v>
      </c>
      <c r="BI16" s="77">
        <v>186213.47005175799</v>
      </c>
      <c r="BJ16" s="78">
        <v>0.63458991828552391</v>
      </c>
      <c r="BK16" s="78">
        <v>0.93234308766871798</v>
      </c>
      <c r="BL16" s="74">
        <v>5.4101122653973404</v>
      </c>
    </row>
    <row r="17" spans="2:65">
      <c r="B17" s="14">
        <v>2027</v>
      </c>
      <c r="C17" s="15">
        <f t="shared" si="7"/>
        <v>97904.491166068561</v>
      </c>
      <c r="D17" s="15">
        <f t="shared" si="8"/>
        <v>88308.978885689066</v>
      </c>
      <c r="E17" s="22">
        <f t="shared" si="0"/>
        <v>186213.47005175764</v>
      </c>
      <c r="G17" s="14">
        <v>2023</v>
      </c>
      <c r="H17" s="23">
        <f t="shared" si="6"/>
        <v>0.5673116088694713</v>
      </c>
      <c r="J17" s="14">
        <v>2023</v>
      </c>
      <c r="K17" s="23">
        <f t="shared" si="5"/>
        <v>0.62121724709823334</v>
      </c>
      <c r="M17" s="12"/>
      <c r="N17" s="14">
        <v>2027</v>
      </c>
      <c r="O17" s="15">
        <f t="shared" si="9"/>
        <v>97904.491166068561</v>
      </c>
      <c r="P17" s="15">
        <f t="shared" si="10"/>
        <v>88308.978885689066</v>
      </c>
      <c r="Q17" s="15">
        <f t="shared" si="11"/>
        <v>186213.47005175764</v>
      </c>
      <c r="S17" s="14">
        <v>2020</v>
      </c>
      <c r="T17" s="17">
        <f t="shared" ref="T17:T24" si="14">_xlfn.FORECAST.ETS(S17,$T$7:$T$15,$S$7:$S$15,1,1)</f>
        <v>0.90067484265685616</v>
      </c>
      <c r="U17" s="23">
        <f t="shared" ref="U17:U24" si="15">_xlfn.FORECAST.ETS(S17,$U$7:$U$15,$S$7:$S$15,1,1)</f>
        <v>0.91052612540893529</v>
      </c>
      <c r="AD17" s="12"/>
      <c r="AU17" s="12"/>
      <c r="AV17" s="14">
        <v>2027</v>
      </c>
      <c r="AW17" s="15">
        <f t="shared" si="12"/>
        <v>97904.491166068561</v>
      </c>
      <c r="AX17" s="15">
        <f t="shared" si="13"/>
        <v>88308.978885689066</v>
      </c>
      <c r="AY17" s="22">
        <f t="shared" si="3"/>
        <v>186213.47005175764</v>
      </c>
      <c r="BA17" s="14">
        <v>2027</v>
      </c>
      <c r="BB17" s="76">
        <v>5.4101122653973404</v>
      </c>
      <c r="BG17" s="12"/>
    </row>
    <row r="18" spans="2:65">
      <c r="G18" s="14">
        <v>2024</v>
      </c>
      <c r="H18" s="23">
        <f t="shared" si="6"/>
        <v>0.57067984938124516</v>
      </c>
      <c r="J18" s="14">
        <v>2024</v>
      </c>
      <c r="K18" s="23">
        <f t="shared" si="5"/>
        <v>0.62456041489505598</v>
      </c>
      <c r="M18" s="12"/>
      <c r="S18" s="14">
        <v>2021</v>
      </c>
      <c r="T18" s="17">
        <f t="shared" si="14"/>
        <v>0.9040096663136139</v>
      </c>
      <c r="U18" s="23">
        <f t="shared" si="15"/>
        <v>0.91142713273906384</v>
      </c>
      <c r="AD18" s="12"/>
      <c r="AU18" s="12"/>
      <c r="BG18" s="12"/>
    </row>
    <row r="19" spans="2:65">
      <c r="G19" s="14">
        <v>2025</v>
      </c>
      <c r="H19" s="23">
        <f t="shared" si="6"/>
        <v>0.57404808989301903</v>
      </c>
      <c r="J19" s="14">
        <v>2025</v>
      </c>
      <c r="K19" s="23">
        <f t="shared" si="5"/>
        <v>0.62790358269187863</v>
      </c>
      <c r="M19" s="12"/>
      <c r="S19" s="14">
        <v>2022</v>
      </c>
      <c r="T19" s="17">
        <f t="shared" si="14"/>
        <v>0.90734448997037154</v>
      </c>
      <c r="U19" s="23">
        <f t="shared" si="15"/>
        <v>0.91741438382354368</v>
      </c>
      <c r="AD19" s="12"/>
      <c r="AU19" s="12"/>
      <c r="BG19" s="12"/>
    </row>
    <row r="20" spans="2:65">
      <c r="B20" s="14"/>
      <c r="C20" t="s">
        <v>78</v>
      </c>
      <c r="G20" s="14">
        <v>2026</v>
      </c>
      <c r="H20" s="23">
        <f t="shared" si="6"/>
        <v>0.57741633040479301</v>
      </c>
      <c r="J20" s="14">
        <v>2026</v>
      </c>
      <c r="K20" s="23">
        <f t="shared" si="5"/>
        <v>0.63124675048870127</v>
      </c>
      <c r="M20" s="12"/>
      <c r="N20" s="14"/>
      <c r="O20" t="s">
        <v>78</v>
      </c>
      <c r="S20" s="14">
        <v>2023</v>
      </c>
      <c r="T20" s="17">
        <f t="shared" si="14"/>
        <v>0.91067931362712928</v>
      </c>
      <c r="U20" s="23">
        <f t="shared" si="15"/>
        <v>0.92098410287376231</v>
      </c>
      <c r="AD20" s="12"/>
      <c r="AE20" s="18" t="s">
        <v>79</v>
      </c>
      <c r="AF20" s="18"/>
      <c r="AU20" s="12"/>
      <c r="AV20" s="18" t="s">
        <v>79</v>
      </c>
      <c r="AW20" s="18"/>
      <c r="BG20" s="12"/>
      <c r="BH20" s="18" t="s">
        <v>79</v>
      </c>
      <c r="BI20" s="18"/>
    </row>
    <row r="21" spans="2:65" ht="17" thickBot="1">
      <c r="G21" s="14">
        <v>2027</v>
      </c>
      <c r="H21" s="23">
        <f t="shared" si="6"/>
        <v>0.58078457091656688</v>
      </c>
      <c r="J21" s="29">
        <v>2027</v>
      </c>
      <c r="K21" s="30">
        <f t="shared" si="5"/>
        <v>0.63458991828552391</v>
      </c>
      <c r="M21" s="12"/>
      <c r="S21" s="14">
        <v>2024</v>
      </c>
      <c r="T21" s="17">
        <f t="shared" si="14"/>
        <v>0.91401413728388703</v>
      </c>
      <c r="U21" s="23">
        <f t="shared" si="15"/>
        <v>0.92188511020389086</v>
      </c>
      <c r="AD21" s="12"/>
      <c r="AU21" s="12"/>
      <c r="BG21" s="12"/>
    </row>
    <row r="22" spans="2:65">
      <c r="M22" s="12"/>
      <c r="S22" s="14">
        <v>2025</v>
      </c>
      <c r="T22" s="17">
        <f t="shared" si="14"/>
        <v>0.91734896094064478</v>
      </c>
      <c r="U22" s="23">
        <f t="shared" si="15"/>
        <v>0.9278723612883707</v>
      </c>
      <c r="AD22" s="12"/>
      <c r="AE22" s="7" t="s">
        <v>80</v>
      </c>
      <c r="AF22" s="7"/>
      <c r="AU22" s="12"/>
      <c r="AV22" s="7" t="s">
        <v>80</v>
      </c>
      <c r="AW22" s="7"/>
      <c r="BG22" s="12"/>
      <c r="BH22" s="7" t="s">
        <v>80</v>
      </c>
      <c r="BI22" s="7"/>
    </row>
    <row r="23" spans="2:65">
      <c r="M23" s="12"/>
      <c r="S23" s="14">
        <v>2026</v>
      </c>
      <c r="T23" s="17">
        <f t="shared" si="14"/>
        <v>0.92068378459740252</v>
      </c>
      <c r="U23" s="23">
        <f t="shared" si="15"/>
        <v>0.93144208033858933</v>
      </c>
      <c r="AD23" s="12"/>
      <c r="AE23" s="4" t="s">
        <v>81</v>
      </c>
      <c r="AF23" s="4">
        <v>0.98673408906906013</v>
      </c>
      <c r="AU23" s="12"/>
      <c r="AV23" s="4" t="s">
        <v>81</v>
      </c>
      <c r="AW23" s="4">
        <v>0.98716203934688262</v>
      </c>
      <c r="BG23" s="12"/>
      <c r="BH23" s="4" t="s">
        <v>81</v>
      </c>
      <c r="BI23" s="4">
        <v>0.98720565072889399</v>
      </c>
    </row>
    <row r="24" spans="2:65">
      <c r="M24" s="12"/>
      <c r="S24" s="14">
        <v>2027</v>
      </c>
      <c r="T24" s="17">
        <f t="shared" si="14"/>
        <v>0.92401860825416027</v>
      </c>
      <c r="U24" s="23">
        <f t="shared" si="15"/>
        <v>0.93234308766871798</v>
      </c>
      <c r="AD24" s="12"/>
      <c r="AE24" s="4" t="s">
        <v>82</v>
      </c>
      <c r="AF24" s="4">
        <v>0.97364416253094788</v>
      </c>
      <c r="AU24" s="12"/>
      <c r="AV24" s="4" t="s">
        <v>82</v>
      </c>
      <c r="AW24" s="8">
        <v>0.97448889192749621</v>
      </c>
      <c r="BG24" s="12"/>
      <c r="BH24" s="4" t="s">
        <v>82</v>
      </c>
      <c r="BI24" s="4">
        <v>0.97457499683105908</v>
      </c>
    </row>
    <row r="25" spans="2:65">
      <c r="B25" s="18" t="s">
        <v>123</v>
      </c>
      <c r="C25" s="18"/>
      <c r="D25" s="18"/>
      <c r="M25" s="12"/>
      <c r="N25" s="18" t="s">
        <v>79</v>
      </c>
      <c r="O25" s="18"/>
      <c r="AD25" s="12"/>
      <c r="AE25" s="4" t="s">
        <v>83</v>
      </c>
      <c r="AF25" s="8">
        <v>0.96705520316368476</v>
      </c>
      <c r="AU25" s="12"/>
      <c r="AV25" s="4" t="s">
        <v>83</v>
      </c>
      <c r="AW25" s="4">
        <v>0.97165432436388466</v>
      </c>
      <c r="BG25" s="12"/>
      <c r="BH25" s="4" t="s">
        <v>83</v>
      </c>
      <c r="BI25" s="8">
        <v>0.96367856690151299</v>
      </c>
    </row>
    <row r="26" spans="2:65" ht="17" thickBot="1">
      <c r="M26" s="12"/>
      <c r="AD26" s="12"/>
      <c r="AE26" s="4" t="s">
        <v>84</v>
      </c>
      <c r="AF26" s="4">
        <v>6632.177343729265</v>
      </c>
      <c r="AU26" s="12"/>
      <c r="AV26" s="4" t="s">
        <v>84</v>
      </c>
      <c r="AW26" s="4">
        <v>6151.855423022942</v>
      </c>
      <c r="BG26" s="12"/>
      <c r="BH26" s="4" t="s">
        <v>84</v>
      </c>
      <c r="BI26" s="4">
        <v>6963.7665193746816</v>
      </c>
    </row>
    <row r="27" spans="2:65" ht="17" thickBot="1">
      <c r="B27" s="7" t="s">
        <v>80</v>
      </c>
      <c r="C27" s="7"/>
      <c r="M27" s="12"/>
      <c r="N27" s="7" t="s">
        <v>80</v>
      </c>
      <c r="O27" s="7"/>
      <c r="AD27" s="12"/>
      <c r="AE27" s="5" t="s">
        <v>85</v>
      </c>
      <c r="AF27" s="5">
        <v>11</v>
      </c>
      <c r="AU27" s="12"/>
      <c r="AV27" s="5" t="s">
        <v>85</v>
      </c>
      <c r="AW27" s="5">
        <v>11</v>
      </c>
      <c r="BG27" s="12"/>
      <c r="BH27" s="5" t="s">
        <v>85</v>
      </c>
      <c r="BI27" s="5">
        <v>11</v>
      </c>
    </row>
    <row r="28" spans="2:65">
      <c r="B28" s="4" t="s">
        <v>81</v>
      </c>
      <c r="C28" s="4">
        <v>0.98940092594805906</v>
      </c>
      <c r="M28" s="12"/>
      <c r="N28" s="4" t="s">
        <v>81</v>
      </c>
      <c r="O28" s="4">
        <v>0.98516255094110672</v>
      </c>
      <c r="AD28" s="12"/>
      <c r="AU28" s="12"/>
      <c r="BG28" s="12"/>
    </row>
    <row r="29" spans="2:65" ht="17" thickBot="1">
      <c r="B29" s="4" t="s">
        <v>82</v>
      </c>
      <c r="C29" s="8">
        <v>0.97891419226687659</v>
      </c>
      <c r="M29" s="12"/>
      <c r="N29" s="4" t="s">
        <v>82</v>
      </c>
      <c r="O29" s="4">
        <v>0.97054525177678874</v>
      </c>
      <c r="AD29" s="12"/>
      <c r="AE29" t="s">
        <v>86</v>
      </c>
      <c r="AU29" s="12"/>
      <c r="AV29" t="s">
        <v>86</v>
      </c>
      <c r="BG29" s="12"/>
      <c r="BH29" t="s">
        <v>86</v>
      </c>
    </row>
    <row r="30" spans="2:65">
      <c r="B30" s="4" t="s">
        <v>83</v>
      </c>
      <c r="C30" s="4">
        <v>0.97657132474097397</v>
      </c>
      <c r="M30" s="12"/>
      <c r="N30" s="4" t="s">
        <v>83</v>
      </c>
      <c r="O30" s="8">
        <v>0.96318156472098604</v>
      </c>
      <c r="AD30" s="12"/>
      <c r="AE30" s="6"/>
      <c r="AF30" s="6" t="s">
        <v>90</v>
      </c>
      <c r="AG30" s="6" t="s">
        <v>91</v>
      </c>
      <c r="AH30" s="6" t="s">
        <v>92</v>
      </c>
      <c r="AI30" s="6" t="s">
        <v>93</v>
      </c>
      <c r="AJ30" s="6" t="s">
        <v>94</v>
      </c>
      <c r="AU30" s="12"/>
      <c r="AV30" s="6"/>
      <c r="AW30" s="6" t="s">
        <v>90</v>
      </c>
      <c r="AX30" s="6" t="s">
        <v>91</v>
      </c>
      <c r="AY30" s="6" t="s">
        <v>92</v>
      </c>
      <c r="AZ30" s="6" t="s">
        <v>93</v>
      </c>
      <c r="BA30" s="6" t="s">
        <v>94</v>
      </c>
      <c r="BG30" s="12"/>
      <c r="BH30" s="6"/>
      <c r="BI30" s="6" t="s">
        <v>90</v>
      </c>
      <c r="BJ30" s="6" t="s">
        <v>91</v>
      </c>
      <c r="BK30" s="6" t="s">
        <v>92</v>
      </c>
      <c r="BL30" s="6" t="s">
        <v>93</v>
      </c>
      <c r="BM30" s="6" t="s">
        <v>94</v>
      </c>
    </row>
    <row r="31" spans="2:65">
      <c r="B31" s="4" t="s">
        <v>84</v>
      </c>
      <c r="C31" s="4">
        <v>5592.8938946552807</v>
      </c>
      <c r="M31" s="12"/>
      <c r="N31" s="4" t="s">
        <v>84</v>
      </c>
      <c r="O31" s="4">
        <v>7011.2487846123504</v>
      </c>
      <c r="AD31" s="12"/>
      <c r="AE31" s="4" t="s">
        <v>87</v>
      </c>
      <c r="AF31" s="4">
        <v>2</v>
      </c>
      <c r="AG31" s="4">
        <v>12999471376.26993</v>
      </c>
      <c r="AH31" s="4">
        <v>6499735688.1349649</v>
      </c>
      <c r="AI31" s="4">
        <v>147.76903426790867</v>
      </c>
      <c r="AJ31" s="4">
        <v>4.8251107126137009E-7</v>
      </c>
      <c r="AU31" s="12"/>
      <c r="AV31" s="4" t="s">
        <v>87</v>
      </c>
      <c r="AW31" s="4">
        <v>1</v>
      </c>
      <c r="AX31" s="4">
        <v>13010749660.507345</v>
      </c>
      <c r="AY31" s="4">
        <v>13010749660.507345</v>
      </c>
      <c r="AZ31" s="4">
        <v>343.78749846622037</v>
      </c>
      <c r="BA31" s="4">
        <v>1.7686603384831583E-8</v>
      </c>
      <c r="BG31" s="12"/>
      <c r="BH31" s="4" t="s">
        <v>87</v>
      </c>
      <c r="BI31" s="4">
        <v>3</v>
      </c>
      <c r="BJ31" s="4">
        <v>13011899277.86482</v>
      </c>
      <c r="BK31" s="4">
        <v>4337299759.2882738</v>
      </c>
      <c r="BL31" s="4">
        <v>89.439844346491697</v>
      </c>
      <c r="BM31" s="4">
        <v>6.0408401654793094E-6</v>
      </c>
    </row>
    <row r="32" spans="2:65" ht="17" thickBot="1">
      <c r="B32" s="5" t="s">
        <v>85</v>
      </c>
      <c r="C32" s="5">
        <v>11</v>
      </c>
      <c r="M32" s="12"/>
      <c r="N32" s="5" t="s">
        <v>85</v>
      </c>
      <c r="O32" s="5">
        <v>11</v>
      </c>
      <c r="AD32" s="12"/>
      <c r="AE32" s="4" t="s">
        <v>88</v>
      </c>
      <c r="AF32" s="4">
        <v>8</v>
      </c>
      <c r="AG32" s="4">
        <v>351886210.54940611</v>
      </c>
      <c r="AH32" s="4">
        <v>43985776.318675764</v>
      </c>
      <c r="AI32" s="4"/>
      <c r="AJ32" s="4"/>
      <c r="AU32" s="12"/>
      <c r="AV32" s="4" t="s">
        <v>88</v>
      </c>
      <c r="AW32" s="4">
        <v>9</v>
      </c>
      <c r="AX32" s="4">
        <v>340607926.31199104</v>
      </c>
      <c r="AY32" s="4">
        <v>37845325.145776778</v>
      </c>
      <c r="AZ32" s="4"/>
      <c r="BA32" s="4"/>
      <c r="BG32" s="12"/>
      <c r="BH32" s="4" t="s">
        <v>88</v>
      </c>
      <c r="BI32" s="4">
        <v>7</v>
      </c>
      <c r="BJ32" s="4">
        <v>339458308.95454639</v>
      </c>
      <c r="BK32" s="4">
        <v>48494044.136363767</v>
      </c>
      <c r="BL32" s="4"/>
      <c r="BM32" s="4"/>
    </row>
    <row r="33" spans="2:68" ht="17" thickBot="1">
      <c r="M33" s="12"/>
      <c r="AD33" s="12"/>
      <c r="AE33" s="5" t="s">
        <v>76</v>
      </c>
      <c r="AF33" s="5">
        <v>10</v>
      </c>
      <c r="AG33" s="5">
        <v>13351357586.819336</v>
      </c>
      <c r="AH33" s="5"/>
      <c r="AI33" s="5"/>
      <c r="AJ33" s="5"/>
      <c r="AU33" s="12"/>
      <c r="AV33" s="5" t="s">
        <v>76</v>
      </c>
      <c r="AW33" s="5">
        <v>10</v>
      </c>
      <c r="AX33" s="5">
        <v>13351357586.819336</v>
      </c>
      <c r="AY33" s="5"/>
      <c r="AZ33" s="5"/>
      <c r="BA33" s="5"/>
      <c r="BG33" s="12"/>
      <c r="BH33" s="5" t="s">
        <v>76</v>
      </c>
      <c r="BI33" s="5">
        <v>10</v>
      </c>
      <c r="BJ33" s="5">
        <v>13351357586.819366</v>
      </c>
      <c r="BK33" s="5"/>
      <c r="BL33" s="5"/>
      <c r="BM33" s="5"/>
    </row>
    <row r="34" spans="2:68" ht="17" thickBot="1">
      <c r="B34" t="s">
        <v>86</v>
      </c>
      <c r="M34" s="12"/>
      <c r="N34" t="s">
        <v>86</v>
      </c>
      <c r="AD34" s="12"/>
      <c r="AU34" s="12"/>
      <c r="BG34" s="12"/>
    </row>
    <row r="35" spans="2:68">
      <c r="B35" s="6"/>
      <c r="C35" s="6" t="s">
        <v>90</v>
      </c>
      <c r="D35" s="6" t="s">
        <v>91</v>
      </c>
      <c r="E35" s="6" t="s">
        <v>92</v>
      </c>
      <c r="F35" s="6" t="s">
        <v>93</v>
      </c>
      <c r="G35" s="6" t="s">
        <v>94</v>
      </c>
      <c r="M35" s="12"/>
      <c r="N35" s="6"/>
      <c r="O35" s="6" t="s">
        <v>90</v>
      </c>
      <c r="P35" s="6" t="s">
        <v>91</v>
      </c>
      <c r="Q35" s="6" t="s">
        <v>92</v>
      </c>
      <c r="R35" s="6" t="s">
        <v>93</v>
      </c>
      <c r="S35" s="6" t="s">
        <v>94</v>
      </c>
      <c r="AD35" s="12"/>
      <c r="AE35" s="6"/>
      <c r="AF35" s="6" t="s">
        <v>95</v>
      </c>
      <c r="AG35" s="6" t="s">
        <v>84</v>
      </c>
      <c r="AH35" s="6" t="s">
        <v>96</v>
      </c>
      <c r="AI35" s="6" t="s">
        <v>97</v>
      </c>
      <c r="AJ35" s="6" t="s">
        <v>98</v>
      </c>
      <c r="AK35" s="6" t="s">
        <v>99</v>
      </c>
      <c r="AL35" s="6" t="s">
        <v>100</v>
      </c>
      <c r="AM35" s="6" t="s">
        <v>101</v>
      </c>
      <c r="AU35" s="12"/>
      <c r="AV35" s="6"/>
      <c r="AW35" s="6" t="s">
        <v>95</v>
      </c>
      <c r="AX35" s="6" t="s">
        <v>84</v>
      </c>
      <c r="AY35" s="6" t="s">
        <v>96</v>
      </c>
      <c r="AZ35" s="6" t="s">
        <v>97</v>
      </c>
      <c r="BA35" s="6" t="s">
        <v>98</v>
      </c>
      <c r="BB35" s="6" t="s">
        <v>99</v>
      </c>
      <c r="BC35" s="6" t="s">
        <v>100</v>
      </c>
      <c r="BD35" s="6" t="s">
        <v>101</v>
      </c>
      <c r="BG35" s="12"/>
      <c r="BH35" s="6"/>
      <c r="BI35" s="6" t="s">
        <v>95</v>
      </c>
      <c r="BJ35" s="6" t="s">
        <v>84</v>
      </c>
      <c r="BK35" s="6" t="s">
        <v>96</v>
      </c>
      <c r="BL35" s="6" t="s">
        <v>97</v>
      </c>
      <c r="BM35" s="6" t="s">
        <v>98</v>
      </c>
      <c r="BN35" s="6" t="s">
        <v>99</v>
      </c>
      <c r="BO35" s="6" t="s">
        <v>100</v>
      </c>
      <c r="BP35" s="6" t="s">
        <v>101</v>
      </c>
    </row>
    <row r="36" spans="2:68">
      <c r="B36" s="4" t="s">
        <v>87</v>
      </c>
      <c r="C36" s="4">
        <v>1</v>
      </c>
      <c r="D36" s="4">
        <v>13069833427.767485</v>
      </c>
      <c r="E36" s="4">
        <v>13069833427.767485</v>
      </c>
      <c r="F36" s="4">
        <v>417.82737668436721</v>
      </c>
      <c r="G36" s="4">
        <v>7.490594034757769E-9</v>
      </c>
      <c r="M36" s="12"/>
      <c r="N36" s="4" t="s">
        <v>87</v>
      </c>
      <c r="O36" s="4">
        <v>2</v>
      </c>
      <c r="P36" s="4">
        <v>12958096710.66151</v>
      </c>
      <c r="Q36" s="4">
        <v>6479048355.3307552</v>
      </c>
      <c r="R36" s="4">
        <v>131.80153426155829</v>
      </c>
      <c r="S36" s="4">
        <v>7.526988614246244E-7</v>
      </c>
      <c r="AD36" s="12"/>
      <c r="AE36" s="4" t="s">
        <v>89</v>
      </c>
      <c r="AF36" s="4">
        <v>-1825971.3242786757</v>
      </c>
      <c r="AG36" s="4">
        <v>558537.52369699173</v>
      </c>
      <c r="AH36" s="4">
        <v>-3.2692008089133697</v>
      </c>
      <c r="AI36" s="8">
        <v>1.1369787203653118E-2</v>
      </c>
      <c r="AJ36" s="4">
        <v>-3113961.1635906342</v>
      </c>
      <c r="AK36" s="4">
        <v>-537981.48496671719</v>
      </c>
      <c r="AL36" s="4">
        <v>-3113961.1635906342</v>
      </c>
      <c r="AM36" s="4">
        <v>-537981.48496671719</v>
      </c>
      <c r="AU36" s="12"/>
      <c r="AV36" s="4" t="s">
        <v>89</v>
      </c>
      <c r="AW36" s="4">
        <v>-20006.42127173522</v>
      </c>
      <c r="AX36" s="4">
        <v>8821.8992136567595</v>
      </c>
      <c r="AY36" s="4">
        <v>-2.2678134024433465</v>
      </c>
      <c r="AZ36" s="8">
        <v>4.9539841576471295E-2</v>
      </c>
      <c r="BA36" s="4">
        <v>-39962.943767392717</v>
      </c>
      <c r="BB36" s="4">
        <v>-49.898776077727234</v>
      </c>
      <c r="BC36" s="4">
        <v>-39962.943767392717</v>
      </c>
      <c r="BD36" s="4">
        <v>-49.898776077727234</v>
      </c>
      <c r="BG36" s="12"/>
      <c r="BH36" s="4" t="s">
        <v>89</v>
      </c>
      <c r="BI36" s="4">
        <v>774356.47580735176</v>
      </c>
      <c r="BJ36" s="4">
        <v>5169943.1929847272</v>
      </c>
      <c r="BK36" s="4">
        <v>0.14978046119696298</v>
      </c>
      <c r="BL36" s="8">
        <v>0.88516206633591454</v>
      </c>
      <c r="BM36" s="4">
        <v>-11450616.577681372</v>
      </c>
      <c r="BN36" s="4">
        <v>12999329.529296076</v>
      </c>
      <c r="BO36" s="4">
        <v>-11450616.577681372</v>
      </c>
      <c r="BP36" s="4">
        <v>12999329.529296076</v>
      </c>
    </row>
    <row r="37" spans="2:68" ht="17" thickBot="1">
      <c r="B37" s="4" t="s">
        <v>88</v>
      </c>
      <c r="C37" s="4">
        <v>9</v>
      </c>
      <c r="D37" s="4">
        <v>281524159.0518508</v>
      </c>
      <c r="E37" s="4">
        <v>31280462.116872311</v>
      </c>
      <c r="F37" s="4"/>
      <c r="G37" s="4"/>
      <c r="M37" s="12"/>
      <c r="N37" s="4" t="s">
        <v>88</v>
      </c>
      <c r="O37" s="4">
        <v>8</v>
      </c>
      <c r="P37" s="4">
        <v>393260876.15782529</v>
      </c>
      <c r="Q37" s="4">
        <v>49157609.519728161</v>
      </c>
      <c r="R37" s="4"/>
      <c r="S37" s="4"/>
      <c r="AD37" s="12"/>
      <c r="AE37" s="4" t="s">
        <v>122</v>
      </c>
      <c r="AF37" s="4">
        <v>3336047.762627461</v>
      </c>
      <c r="AG37" s="4">
        <v>1907934.3495789012</v>
      </c>
      <c r="AH37" s="4">
        <v>1.7485128685710585</v>
      </c>
      <c r="AI37" s="8">
        <v>0.11850056440306286</v>
      </c>
      <c r="AJ37" s="4">
        <v>-1063656.7371995579</v>
      </c>
      <c r="AK37" s="4">
        <v>7735752.2624544799</v>
      </c>
      <c r="AL37" s="4">
        <v>-1063656.7371995579</v>
      </c>
      <c r="AM37" s="4">
        <v>7735752.2624544799</v>
      </c>
      <c r="AU37" s="12"/>
      <c r="AV37" s="5" t="s">
        <v>102</v>
      </c>
      <c r="AW37" s="5">
        <v>39505.754939828665</v>
      </c>
      <c r="AX37" s="5">
        <v>2130.6657535456779</v>
      </c>
      <c r="AY37" s="5">
        <v>18.541507448592746</v>
      </c>
      <c r="AZ37" s="9">
        <v>1.7686603384831583E-8</v>
      </c>
      <c r="BA37" s="5">
        <v>34685.854143916476</v>
      </c>
      <c r="BB37" s="5">
        <v>44325.655735740853</v>
      </c>
      <c r="BC37" s="5">
        <v>34685.854143916476</v>
      </c>
      <c r="BD37" s="5">
        <v>44325.655735740853</v>
      </c>
      <c r="BG37" s="12"/>
      <c r="BH37" s="4" t="s">
        <v>122</v>
      </c>
      <c r="BI37" s="4">
        <v>-1350093.5815586881</v>
      </c>
      <c r="BJ37" s="4">
        <v>9471091.8456250001</v>
      </c>
      <c r="BK37" s="4">
        <v>-0.14254888491893777</v>
      </c>
      <c r="BL37" s="8">
        <v>0.89066278187791748</v>
      </c>
      <c r="BM37" s="4">
        <v>-23745667.048786234</v>
      </c>
      <c r="BN37" s="4">
        <v>21045479.885668855</v>
      </c>
      <c r="BO37" s="4">
        <v>-23745667.048786234</v>
      </c>
      <c r="BP37" s="4">
        <v>21045479.885668855</v>
      </c>
    </row>
    <row r="38" spans="2:68" ht="17" thickBot="1">
      <c r="B38" s="5" t="s">
        <v>76</v>
      </c>
      <c r="C38" s="5">
        <v>10</v>
      </c>
      <c r="D38" s="5">
        <v>13351357586.819336</v>
      </c>
      <c r="E38" s="5"/>
      <c r="F38" s="5"/>
      <c r="G38" s="5"/>
      <c r="M38" s="12"/>
      <c r="N38" s="5" t="s">
        <v>76</v>
      </c>
      <c r="O38" s="5">
        <v>10</v>
      </c>
      <c r="P38" s="5">
        <v>13351357586.819336</v>
      </c>
      <c r="Q38" s="5"/>
      <c r="R38" s="5"/>
      <c r="S38" s="5"/>
      <c r="AD38" s="12"/>
      <c r="AE38" s="5" t="s">
        <v>126</v>
      </c>
      <c r="AF38" s="5">
        <v>-103886.47166216698</v>
      </c>
      <c r="AG38" s="5">
        <v>1875770.4465508866</v>
      </c>
      <c r="AH38" s="5">
        <v>-5.5383360929473255E-2</v>
      </c>
      <c r="AI38" s="9">
        <v>0.95719123594220878</v>
      </c>
      <c r="AJ38" s="5">
        <v>-4429420.8781022783</v>
      </c>
      <c r="AK38" s="5">
        <v>4221647.9347779453</v>
      </c>
      <c r="AL38" s="5">
        <v>-4429420.8781022783</v>
      </c>
      <c r="AM38" s="5">
        <v>4221647.9347779453</v>
      </c>
      <c r="AU38" s="12"/>
      <c r="BG38" s="12"/>
      <c r="BH38" s="4" t="s">
        <v>126</v>
      </c>
      <c r="BI38" s="4">
        <v>-31175.43103635517</v>
      </c>
      <c r="BJ38" s="4">
        <v>1974783.5876165105</v>
      </c>
      <c r="BK38" s="4">
        <v>-1.5786758220926244E-2</v>
      </c>
      <c r="BL38" s="8">
        <v>0.98784504309936016</v>
      </c>
      <c r="BM38" s="4">
        <v>-4700796.5939617604</v>
      </c>
      <c r="BN38" s="4">
        <v>4638445.7318890505</v>
      </c>
      <c r="BO38" s="4">
        <v>-4700796.5939617604</v>
      </c>
      <c r="BP38" s="4">
        <v>4638445.7318890505</v>
      </c>
    </row>
    <row r="39" spans="2:68" ht="17" thickBot="1">
      <c r="M39" s="12"/>
      <c r="AD39" s="12"/>
      <c r="AU39" s="12"/>
      <c r="BG39" s="12"/>
      <c r="BH39" s="5" t="s">
        <v>161</v>
      </c>
      <c r="BI39" s="5">
        <v>56388.420697672685</v>
      </c>
      <c r="BJ39" s="5">
        <v>111387.18538793549</v>
      </c>
      <c r="BK39" s="5">
        <v>0.50623795278859962</v>
      </c>
      <c r="BL39" s="9">
        <v>0.6282402337187678</v>
      </c>
      <c r="BM39" s="5">
        <v>-207000.41918730101</v>
      </c>
      <c r="BN39" s="5">
        <v>319777.26058264641</v>
      </c>
      <c r="BO39" s="5">
        <v>-207000.41918730101</v>
      </c>
      <c r="BP39" s="5">
        <v>319777.26058264641</v>
      </c>
    </row>
    <row r="40" spans="2:68">
      <c r="B40" s="6"/>
      <c r="C40" s="6" t="s">
        <v>95</v>
      </c>
      <c r="D40" s="6" t="s">
        <v>84</v>
      </c>
      <c r="E40" s="6" t="s">
        <v>96</v>
      </c>
      <c r="F40" s="6" t="s">
        <v>97</v>
      </c>
      <c r="G40" s="6" t="s">
        <v>98</v>
      </c>
      <c r="H40" s="6" t="s">
        <v>99</v>
      </c>
      <c r="I40" s="6" t="s">
        <v>100</v>
      </c>
      <c r="J40" s="6" t="s">
        <v>101</v>
      </c>
      <c r="K40" s="20"/>
      <c r="M40" s="12"/>
      <c r="N40" s="6"/>
      <c r="O40" s="6" t="s">
        <v>95</v>
      </c>
      <c r="P40" s="6" t="s">
        <v>84</v>
      </c>
      <c r="Q40" s="6" t="s">
        <v>96</v>
      </c>
      <c r="R40" s="6" t="s">
        <v>97</v>
      </c>
      <c r="S40" s="6" t="s">
        <v>98</v>
      </c>
      <c r="T40" s="6" t="s">
        <v>99</v>
      </c>
      <c r="U40" s="6" t="s">
        <v>100</v>
      </c>
      <c r="V40" s="6" t="s">
        <v>101</v>
      </c>
      <c r="AD40" s="12"/>
      <c r="AU40" s="12"/>
      <c r="BG40" s="12"/>
    </row>
    <row r="41" spans="2:68">
      <c r="B41" s="4" t="s">
        <v>89</v>
      </c>
      <c r="C41" s="4">
        <v>-1631041.4807132185</v>
      </c>
      <c r="D41" s="4">
        <v>86654.295540809428</v>
      </c>
      <c r="E41" s="4">
        <v>-18.822396172444645</v>
      </c>
      <c r="F41" s="8">
        <v>1.5495987810103516E-8</v>
      </c>
      <c r="G41" s="4">
        <v>-1827067.116058093</v>
      </c>
      <c r="H41" s="4">
        <v>-1435015.8453683439</v>
      </c>
      <c r="I41" s="4">
        <v>-1827067.116058093</v>
      </c>
      <c r="J41" s="4">
        <v>-1435015.8453683439</v>
      </c>
      <c r="K41" s="4"/>
      <c r="M41" s="12"/>
      <c r="N41" s="4" t="s">
        <v>89</v>
      </c>
      <c r="O41" s="4">
        <v>-2818829.9363504145</v>
      </c>
      <c r="P41" s="4">
        <v>184680.87931398451</v>
      </c>
      <c r="Q41" s="4">
        <v>-15.263247320573948</v>
      </c>
      <c r="R41" s="4">
        <v>3.3669768466444198E-7</v>
      </c>
      <c r="S41" s="4">
        <v>-3244704.8077416047</v>
      </c>
      <c r="T41" s="4">
        <v>-2392955.0649592243</v>
      </c>
      <c r="U41" s="4">
        <v>-3244704.8077416047</v>
      </c>
      <c r="V41" s="4">
        <v>-2392955.0649592243</v>
      </c>
      <c r="AD41" s="12"/>
      <c r="AU41" s="12"/>
      <c r="AV41" t="s">
        <v>103</v>
      </c>
      <c r="BG41" s="12"/>
    </row>
    <row r="42" spans="2:68" ht="17" thickBot="1">
      <c r="B42" s="5" t="s">
        <v>102</v>
      </c>
      <c r="C42" s="5">
        <v>3141518.6237437534</v>
      </c>
      <c r="D42" s="5">
        <v>153688.4365363034</v>
      </c>
      <c r="E42" s="5">
        <v>20.440826223134113</v>
      </c>
      <c r="F42" s="9">
        <v>7.4905940347577955E-9</v>
      </c>
      <c r="G42" s="5">
        <v>2793851.2261938974</v>
      </c>
      <c r="H42" s="5">
        <v>3489186.0212936094</v>
      </c>
      <c r="I42" s="5">
        <v>2793851.2261938974</v>
      </c>
      <c r="J42" s="5">
        <v>3489186.0212936094</v>
      </c>
      <c r="K42" s="4"/>
      <c r="M42" s="12" t="s">
        <v>109</v>
      </c>
      <c r="N42" s="4" t="s">
        <v>102</v>
      </c>
      <c r="O42" s="4">
        <v>2744999.5548696397</v>
      </c>
      <c r="P42" s="4">
        <v>1994600.794654506</v>
      </c>
      <c r="Q42" s="4">
        <v>1.3762150111572145</v>
      </c>
      <c r="R42" s="8">
        <v>0.20604518131769262</v>
      </c>
      <c r="S42" s="4">
        <v>-1854558.1256851694</v>
      </c>
      <c r="T42" s="4">
        <v>7344557.2354244487</v>
      </c>
      <c r="U42" s="4">
        <v>-1854558.1256851694</v>
      </c>
      <c r="V42" s="4">
        <v>7344557.2354244487</v>
      </c>
      <c r="AD42" s="12"/>
      <c r="AE42" t="s">
        <v>103</v>
      </c>
      <c r="AU42" s="12"/>
      <c r="BG42" s="12"/>
    </row>
    <row r="43" spans="2:68" ht="17" thickBot="1">
      <c r="M43" s="12" t="s">
        <v>93</v>
      </c>
      <c r="N43" s="5" t="s">
        <v>108</v>
      </c>
      <c r="O43" s="5">
        <v>510566.87916787894</v>
      </c>
      <c r="P43" s="5">
        <v>1935022.7119771319</v>
      </c>
      <c r="Q43" s="5">
        <v>0.26385575528785465</v>
      </c>
      <c r="R43" s="9">
        <v>0.79856054919944119</v>
      </c>
      <c r="S43" s="5">
        <v>-3951603.4963653693</v>
      </c>
      <c r="T43" s="5">
        <v>4972737.2547011273</v>
      </c>
      <c r="U43" s="5">
        <v>-3951603.4963653693</v>
      </c>
      <c r="V43" s="5">
        <v>4972737.2547011273</v>
      </c>
      <c r="AD43" s="12"/>
      <c r="AU43" s="12"/>
      <c r="AV43" s="6" t="s">
        <v>104</v>
      </c>
      <c r="AW43" s="6" t="s">
        <v>105</v>
      </c>
      <c r="AX43" s="6" t="s">
        <v>106</v>
      </c>
      <c r="BG43" s="12"/>
      <c r="BH43" t="s">
        <v>103</v>
      </c>
    </row>
    <row r="44" spans="2:68" ht="17" thickBot="1">
      <c r="M44" s="12"/>
      <c r="AD44" s="12"/>
      <c r="AE44" s="6" t="s">
        <v>104</v>
      </c>
      <c r="AF44" s="6" t="s">
        <v>111</v>
      </c>
      <c r="AG44" s="6" t="s">
        <v>106</v>
      </c>
      <c r="AU44" s="12"/>
      <c r="AV44" s="4">
        <v>1</v>
      </c>
      <c r="AW44" s="4">
        <v>86659.117065802187</v>
      </c>
      <c r="AX44" s="4">
        <v>-10468.117065802187</v>
      </c>
      <c r="BG44" s="12"/>
    </row>
    <row r="45" spans="2:68">
      <c r="M45" s="12"/>
      <c r="AD45" s="12"/>
      <c r="AE45" s="4">
        <v>1</v>
      </c>
      <c r="AF45" s="4">
        <v>85495.556564477942</v>
      </c>
      <c r="AG45" s="4">
        <v>-9304.5565644779417</v>
      </c>
      <c r="AU45" s="12"/>
      <c r="AV45" s="4">
        <v>2</v>
      </c>
      <c r="AW45" s="4">
        <v>94560.268053767897</v>
      </c>
      <c r="AX45" s="4">
        <v>-3155.2680537678971</v>
      </c>
      <c r="BG45" s="12"/>
      <c r="BH45" s="6" t="s">
        <v>104</v>
      </c>
      <c r="BI45" s="6" t="s">
        <v>111</v>
      </c>
      <c r="BJ45" s="6" t="s">
        <v>106</v>
      </c>
    </row>
    <row r="46" spans="2:68">
      <c r="B46" t="s">
        <v>103</v>
      </c>
      <c r="M46" s="12"/>
      <c r="AD46" s="12"/>
      <c r="AE46" s="4">
        <v>2</v>
      </c>
      <c r="AF46" s="4">
        <v>95295.926909036047</v>
      </c>
      <c r="AG46" s="4">
        <v>-3890.9269090360467</v>
      </c>
      <c r="AU46" s="12"/>
      <c r="AV46" s="4">
        <v>3</v>
      </c>
      <c r="AW46" s="4">
        <v>106411.99453571651</v>
      </c>
      <c r="AX46" s="4">
        <v>1025.0054642834875</v>
      </c>
      <c r="BG46" s="12"/>
      <c r="BH46" s="4">
        <v>1</v>
      </c>
      <c r="BI46" s="4">
        <v>87141.081241576816</v>
      </c>
      <c r="BJ46" s="4">
        <v>-10950.081241576816</v>
      </c>
    </row>
    <row r="47" spans="2:68" ht="17" thickBot="1">
      <c r="M47" s="12"/>
      <c r="N47" t="s">
        <v>103</v>
      </c>
      <c r="AD47" s="12"/>
      <c r="AE47" s="4">
        <v>3</v>
      </c>
      <c r="AF47" s="4">
        <v>108125.21439081497</v>
      </c>
      <c r="AG47" s="4">
        <v>-688.21439081497374</v>
      </c>
      <c r="AU47" s="12"/>
      <c r="AV47" s="4">
        <v>4</v>
      </c>
      <c r="AW47" s="4">
        <v>118263.72101766511</v>
      </c>
      <c r="AX47" s="4">
        <v>4473.2789823348867</v>
      </c>
      <c r="BG47" s="12"/>
      <c r="BH47" s="4">
        <v>2</v>
      </c>
      <c r="BI47" s="4">
        <v>94306.133774362621</v>
      </c>
      <c r="BJ47" s="4">
        <v>-2901.1337743626209</v>
      </c>
    </row>
    <row r="48" spans="2:68" ht="17" thickBot="1">
      <c r="B48" s="6" t="s">
        <v>104</v>
      </c>
      <c r="C48" s="6" t="s">
        <v>105</v>
      </c>
      <c r="D48" s="6" t="s">
        <v>106</v>
      </c>
      <c r="M48" s="12"/>
      <c r="AD48" s="12"/>
      <c r="AE48" s="4">
        <v>4</v>
      </c>
      <c r="AF48" s="4">
        <v>118388.83413798267</v>
      </c>
      <c r="AG48" s="4">
        <v>4348.1658620173257</v>
      </c>
      <c r="AU48" s="12"/>
      <c r="AV48" s="4">
        <v>5</v>
      </c>
      <c r="AW48" s="4">
        <v>130115.44749961369</v>
      </c>
      <c r="AX48" s="4">
        <v>6181.5525003863149</v>
      </c>
      <c r="BG48" s="12"/>
      <c r="BH48" s="4">
        <v>3</v>
      </c>
      <c r="BI48" s="4">
        <v>105667.76755280534</v>
      </c>
      <c r="BJ48" s="4">
        <v>1769.2324471946631</v>
      </c>
    </row>
    <row r="49" spans="2:62">
      <c r="B49" s="4">
        <v>1</v>
      </c>
      <c r="C49" s="4">
        <v>84227.687850871123</v>
      </c>
      <c r="D49" s="4">
        <v>-8036.6878508711234</v>
      </c>
      <c r="M49" s="12"/>
      <c r="N49" s="6" t="s">
        <v>104</v>
      </c>
      <c r="O49" s="6" t="s">
        <v>105</v>
      </c>
      <c r="P49" s="6" t="s">
        <v>106</v>
      </c>
      <c r="AD49" s="12"/>
      <c r="AE49" s="4">
        <v>5</v>
      </c>
      <c r="AF49" s="4">
        <v>129448.1991141922</v>
      </c>
      <c r="AG49" s="4">
        <v>6848.8008858077956</v>
      </c>
      <c r="AU49" s="12"/>
      <c r="AV49" s="4">
        <v>6</v>
      </c>
      <c r="AW49" s="4">
        <v>140603.45643773017</v>
      </c>
      <c r="AX49" s="4">
        <v>7069.5435622698278</v>
      </c>
      <c r="BG49" s="12"/>
      <c r="BH49" s="4">
        <v>4</v>
      </c>
      <c r="BI49" s="4">
        <v>118169.25391252985</v>
      </c>
      <c r="BJ49" s="4">
        <v>4567.7460874701501</v>
      </c>
    </row>
    <row r="50" spans="2:62">
      <c r="B50" s="4">
        <v>2</v>
      </c>
      <c r="C50" s="4">
        <v>93652.243722102372</v>
      </c>
      <c r="D50" s="4">
        <v>-2247.243722102372</v>
      </c>
      <c r="M50" s="12"/>
      <c r="N50" s="4">
        <v>1</v>
      </c>
      <c r="O50" s="4">
        <v>86474.858289525728</v>
      </c>
      <c r="P50" s="4">
        <v>-10283.858289525728</v>
      </c>
      <c r="AD50" s="12"/>
      <c r="AE50" s="4">
        <v>6</v>
      </c>
      <c r="AF50" s="4">
        <v>139979.17217274843</v>
      </c>
      <c r="AG50" s="4">
        <v>7693.8278272515745</v>
      </c>
      <c r="AU50" s="12"/>
      <c r="AV50" s="4">
        <v>7</v>
      </c>
      <c r="AW50" s="4">
        <v>151227.59476658682</v>
      </c>
      <c r="AX50" s="4">
        <v>5590.4052334131848</v>
      </c>
      <c r="BG50" s="12"/>
      <c r="BH50" s="4">
        <v>5</v>
      </c>
      <c r="BI50" s="4">
        <v>130544.10144538403</v>
      </c>
      <c r="BJ50" s="4">
        <v>5752.8985546159674</v>
      </c>
    </row>
    <row r="51" spans="2:62">
      <c r="B51" s="4">
        <v>3</v>
      </c>
      <c r="C51" s="4">
        <v>109359.8368408212</v>
      </c>
      <c r="D51" s="4">
        <v>-1922.8368408211973</v>
      </c>
      <c r="M51" s="12"/>
      <c r="N51" s="4">
        <v>2</v>
      </c>
      <c r="O51" s="4">
        <v>95730.990712470142</v>
      </c>
      <c r="P51" s="4">
        <v>-4325.9907124701422</v>
      </c>
      <c r="AD51" s="12"/>
      <c r="AE51" s="4">
        <v>7</v>
      </c>
      <c r="AF51" s="4">
        <v>150761.2941044748</v>
      </c>
      <c r="AG51" s="4">
        <v>6056.7058955251996</v>
      </c>
      <c r="AU51" s="12"/>
      <c r="AV51" s="4">
        <v>8</v>
      </c>
      <c r="AW51" s="4">
        <v>161851.73309544349</v>
      </c>
      <c r="AX51" s="4">
        <v>2150.2669045565126</v>
      </c>
      <c r="BG51" s="12"/>
      <c r="BH51" s="4">
        <v>6</v>
      </c>
      <c r="BI51" s="4">
        <v>140813.88499520181</v>
      </c>
      <c r="BJ51" s="4">
        <v>6859.1150047981937</v>
      </c>
    </row>
    <row r="52" spans="2:62">
      <c r="B52" s="4">
        <v>4</v>
      </c>
      <c r="C52" s="4">
        <v>119434.33312529977</v>
      </c>
      <c r="D52" s="4">
        <v>3302.6668747002259</v>
      </c>
      <c r="M52" s="12"/>
      <c r="N52" s="4">
        <v>3</v>
      </c>
      <c r="O52" s="4">
        <v>107429.91830745415</v>
      </c>
      <c r="P52" s="4">
        <v>7.0816925458493643</v>
      </c>
      <c r="AD52" s="12"/>
      <c r="AE52" s="4">
        <v>8</v>
      </c>
      <c r="AF52" s="4">
        <v>161820.65908068433</v>
      </c>
      <c r="AG52" s="4">
        <v>2181.3409193156695</v>
      </c>
      <c r="AU52" s="12"/>
      <c r="AV52" s="4">
        <v>9</v>
      </c>
      <c r="AW52" s="4">
        <v>172475.8714243001</v>
      </c>
      <c r="AX52" s="4">
        <v>-1067.1003215267265</v>
      </c>
      <c r="BG52" s="12"/>
      <c r="BH52" s="4">
        <v>7</v>
      </c>
      <c r="BI52" s="4">
        <v>151353.3400253774</v>
      </c>
      <c r="BJ52" s="4">
        <v>5464.6599746225984</v>
      </c>
    </row>
    <row r="53" spans="2:62">
      <c r="B53" s="4">
        <v>5</v>
      </c>
      <c r="C53" s="4">
        <v>130015.72342228564</v>
      </c>
      <c r="D53" s="4">
        <v>6281.276577714365</v>
      </c>
      <c r="M53" s="12"/>
      <c r="N53" s="4">
        <v>4</v>
      </c>
      <c r="O53" s="4">
        <v>118406.58807579934</v>
      </c>
      <c r="P53" s="4">
        <v>4330.4119242006564</v>
      </c>
      <c r="AD53" s="12"/>
      <c r="AE53" s="4">
        <v>9</v>
      </c>
      <c r="AF53" s="4">
        <v>172351.63213924057</v>
      </c>
      <c r="AG53" s="4">
        <v>-942.8610364671913</v>
      </c>
      <c r="AU53" s="12"/>
      <c r="AV53" s="4">
        <v>10</v>
      </c>
      <c r="AW53" s="4">
        <v>183100.00975315677</v>
      </c>
      <c r="AX53" s="4">
        <v>-4288.889175891265</v>
      </c>
      <c r="BG53" s="12"/>
      <c r="BH53" s="4">
        <v>8</v>
      </c>
      <c r="BI53" s="4">
        <v>161975.99329373875</v>
      </c>
      <c r="BJ53" s="4">
        <v>2026.0067062612507</v>
      </c>
    </row>
    <row r="54" spans="2:62" ht="17" thickBot="1">
      <c r="B54" s="4">
        <v>6</v>
      </c>
      <c r="C54" s="4">
        <v>140597.11371927173</v>
      </c>
      <c r="D54" s="4">
        <v>7075.8862807282712</v>
      </c>
      <c r="M54" s="12"/>
      <c r="N54" s="4">
        <v>5</v>
      </c>
      <c r="O54" s="4">
        <v>128020.7020298189</v>
      </c>
      <c r="P54" s="4">
        <v>8276.2979701810982</v>
      </c>
      <c r="AD54" s="12"/>
      <c r="AE54" s="4">
        <v>10</v>
      </c>
      <c r="AF54" s="4">
        <v>183133.75407096668</v>
      </c>
      <c r="AG54" s="4">
        <v>-4322.6334937011707</v>
      </c>
      <c r="AU54" s="12"/>
      <c r="AV54" s="5">
        <v>11</v>
      </c>
      <c r="AW54" s="5">
        <v>193724.14808201342</v>
      </c>
      <c r="AX54" s="5">
        <v>-7510.6780302557745</v>
      </c>
      <c r="BG54" s="12"/>
      <c r="BH54" s="4">
        <v>9</v>
      </c>
      <c r="BI54" s="4">
        <v>172440.08072070219</v>
      </c>
      <c r="BJ54" s="4">
        <v>-1031.3096179288113</v>
      </c>
    </row>
    <row r="55" spans="2:62" ht="17" thickBot="1">
      <c r="B55" s="4">
        <v>7</v>
      </c>
      <c r="C55" s="4">
        <v>151178.50401625759</v>
      </c>
      <c r="D55" s="4">
        <v>5639.4959837424103</v>
      </c>
      <c r="M55" s="12"/>
      <c r="N55" s="4">
        <v>6</v>
      </c>
      <c r="O55" s="4">
        <v>140231.68358418474</v>
      </c>
      <c r="P55" s="4">
        <v>7441.3164158152649</v>
      </c>
      <c r="AD55" s="12"/>
      <c r="AE55" s="5">
        <v>11</v>
      </c>
      <c r="AF55" s="5">
        <v>194193.11904717621</v>
      </c>
      <c r="AG55" s="5">
        <v>-7979.6489954185672</v>
      </c>
      <c r="AU55" s="12"/>
      <c r="BG55" s="12"/>
      <c r="BH55" s="4">
        <v>10</v>
      </c>
      <c r="BI55" s="4">
        <v>182979.53575087793</v>
      </c>
      <c r="BJ55" s="4">
        <v>-4168.4151736124186</v>
      </c>
    </row>
    <row r="56" spans="2:62" ht="17" thickBot="1">
      <c r="B56" s="4">
        <v>8</v>
      </c>
      <c r="C56" s="4">
        <v>161759.89431324345</v>
      </c>
      <c r="D56" s="4">
        <v>2242.1056867565494</v>
      </c>
      <c r="M56" s="12"/>
      <c r="N56" s="4">
        <v>7</v>
      </c>
      <c r="O56" s="4">
        <v>151208.35335252993</v>
      </c>
      <c r="P56" s="4">
        <v>5609.6466474700719</v>
      </c>
      <c r="AD56" s="12"/>
      <c r="AU56" s="12"/>
      <c r="BG56" s="12"/>
      <c r="BH56" s="5">
        <v>11</v>
      </c>
      <c r="BI56" s="5">
        <v>193602.18901923922</v>
      </c>
      <c r="BJ56" s="5">
        <v>-7388.7189674812253</v>
      </c>
    </row>
    <row r="57" spans="2:62">
      <c r="B57" s="4">
        <v>9</v>
      </c>
      <c r="C57" s="4">
        <v>172341.28461022908</v>
      </c>
      <c r="D57" s="4">
        <v>-932.5135074557038</v>
      </c>
      <c r="M57" s="12"/>
      <c r="N57" s="4">
        <v>8</v>
      </c>
      <c r="O57" s="4">
        <v>160822.46730654995</v>
      </c>
      <c r="P57" s="4">
        <v>3179.5326934500481</v>
      </c>
      <c r="AD57" s="12"/>
      <c r="AU57" s="12"/>
      <c r="BG57" s="12"/>
    </row>
    <row r="58" spans="2:62">
      <c r="B58" s="4">
        <v>10</v>
      </c>
      <c r="C58" s="4">
        <v>182922.67490721517</v>
      </c>
      <c r="D58" s="4">
        <v>-4111.554329949664</v>
      </c>
      <c r="M58" s="12"/>
      <c r="N58" s="4">
        <v>9</v>
      </c>
      <c r="O58" s="4">
        <v>173033.44886091573</v>
      </c>
      <c r="P58" s="4">
        <v>-1624.6777581423521</v>
      </c>
      <c r="AD58" s="12"/>
      <c r="AU58" s="12"/>
      <c r="BG58" s="12"/>
    </row>
    <row r="59" spans="2:62" ht="17" thickBot="1">
      <c r="B59" s="5">
        <v>11</v>
      </c>
      <c r="C59" s="5">
        <v>193504.06520420103</v>
      </c>
      <c r="D59" s="5">
        <v>-7290.5951524433913</v>
      </c>
      <c r="M59" s="12"/>
      <c r="N59" s="4">
        <v>10</v>
      </c>
      <c r="O59" s="4">
        <v>184010.11862926092</v>
      </c>
      <c r="P59" s="4">
        <v>-5198.9980519954115</v>
      </c>
      <c r="AD59" s="12"/>
      <c r="AU59" s="12"/>
      <c r="BG59" s="12"/>
    </row>
    <row r="60" spans="2:62" ht="17" thickBot="1">
      <c r="M60" s="12"/>
      <c r="N60" s="5">
        <v>11</v>
      </c>
      <c r="O60" s="5">
        <v>193624.232583281</v>
      </c>
      <c r="P60" s="5">
        <v>-7410.7625315233599</v>
      </c>
      <c r="AD60" s="12"/>
      <c r="AU60" s="12"/>
      <c r="BG60" s="12"/>
    </row>
    <row r="61" spans="2:62">
      <c r="M61" s="12"/>
      <c r="AD61" s="12"/>
      <c r="AU61" s="12"/>
      <c r="BG61" s="12"/>
    </row>
    <row r="62" spans="2:62">
      <c r="M62" s="12"/>
      <c r="AD62" s="12"/>
      <c r="AU62" s="12"/>
      <c r="BG62" s="12"/>
    </row>
    <row r="63" spans="2:62">
      <c r="M63" s="12"/>
      <c r="AD63" s="12"/>
      <c r="AU63" s="12"/>
      <c r="BG63" s="12"/>
    </row>
    <row r="64" spans="2:62">
      <c r="M64" s="12"/>
      <c r="N64" s="18" t="s">
        <v>118</v>
      </c>
      <c r="O64" s="18"/>
      <c r="P64" s="18"/>
      <c r="W64" s="18" t="s">
        <v>124</v>
      </c>
      <c r="X64" s="18"/>
      <c r="Y64" s="18"/>
      <c r="AD64" s="12"/>
      <c r="AU64" s="12"/>
      <c r="BG64" s="12"/>
    </row>
    <row r="65" spans="2:59" ht="17" thickBot="1">
      <c r="M65" s="12"/>
      <c r="AD65" s="12"/>
      <c r="AU65" s="12"/>
      <c r="BG65" s="12"/>
    </row>
    <row r="66" spans="2:59">
      <c r="M66" s="12"/>
      <c r="N66" s="7" t="s">
        <v>80</v>
      </c>
      <c r="O66" s="7"/>
      <c r="W66" s="7" t="s">
        <v>80</v>
      </c>
      <c r="X66" s="7"/>
      <c r="AD66" s="12"/>
      <c r="AU66" s="12"/>
      <c r="BG66" s="12"/>
    </row>
    <row r="67" spans="2:59">
      <c r="M67" s="12"/>
      <c r="N67" s="4" t="s">
        <v>81</v>
      </c>
      <c r="O67" s="4">
        <v>0.98503244735760476</v>
      </c>
      <c r="W67" s="4" t="s">
        <v>81</v>
      </c>
      <c r="X67" s="4">
        <v>0.98161701230615683</v>
      </c>
      <c r="AD67" s="12"/>
      <c r="AU67" s="12"/>
      <c r="BG67" s="12"/>
    </row>
    <row r="68" spans="2:59">
      <c r="B68" s="18" t="s">
        <v>79</v>
      </c>
      <c r="C68" s="18"/>
      <c r="M68" s="12"/>
      <c r="N68" s="4" t="s">
        <v>82</v>
      </c>
      <c r="O68" s="8">
        <v>0.97028892234731245</v>
      </c>
      <c r="W68" s="4" t="s">
        <v>82</v>
      </c>
      <c r="X68" s="8">
        <v>0.9635719588488656</v>
      </c>
      <c r="AD68" s="12"/>
      <c r="AU68" s="12"/>
      <c r="BG68" s="12"/>
    </row>
    <row r="69" spans="2:59" ht="17" thickBot="1">
      <c r="M69" s="12"/>
      <c r="N69" s="4" t="s">
        <v>83</v>
      </c>
      <c r="O69" s="4">
        <v>0.96698769149701391</v>
      </c>
      <c r="W69" s="4" t="s">
        <v>83</v>
      </c>
      <c r="X69" s="4">
        <v>0.95952439872096162</v>
      </c>
      <c r="AD69" s="12"/>
      <c r="AU69" s="12"/>
      <c r="BG69" s="12"/>
    </row>
    <row r="70" spans="2:59">
      <c r="B70" s="7" t="s">
        <v>80</v>
      </c>
      <c r="C70" s="7"/>
      <c r="M70" s="12"/>
      <c r="N70" s="4" t="s">
        <v>84</v>
      </c>
      <c r="O70" s="4">
        <v>6638.9693145078181</v>
      </c>
      <c r="W70" s="4" t="s">
        <v>84</v>
      </c>
      <c r="X70" s="4">
        <v>7351.2191248660283</v>
      </c>
      <c r="AD70" s="12"/>
      <c r="AU70" s="12"/>
      <c r="BG70" s="12"/>
    </row>
    <row r="71" spans="2:59" ht="17" thickBot="1">
      <c r="B71" s="4" t="s">
        <v>81</v>
      </c>
      <c r="C71" s="4">
        <v>0.9867289685209929</v>
      </c>
      <c r="M71" s="12"/>
      <c r="N71" s="5" t="s">
        <v>85</v>
      </c>
      <c r="O71" s="5">
        <v>11</v>
      </c>
      <c r="W71" s="5" t="s">
        <v>85</v>
      </c>
      <c r="X71" s="5">
        <v>11</v>
      </c>
      <c r="AD71" s="12"/>
      <c r="AU71" s="12"/>
      <c r="BG71" s="12"/>
    </row>
    <row r="72" spans="2:59">
      <c r="B72" s="4" t="s">
        <v>82</v>
      </c>
      <c r="C72" s="8">
        <v>0.9736340573185025</v>
      </c>
      <c r="M72" s="12"/>
      <c r="AD72" s="12"/>
      <c r="AU72" s="12"/>
    </row>
    <row r="73" spans="2:59" ht="17" thickBot="1">
      <c r="B73" s="4" t="s">
        <v>83</v>
      </c>
      <c r="C73" s="4">
        <v>0.97070450813166942</v>
      </c>
      <c r="M73" s="12"/>
      <c r="N73" t="s">
        <v>86</v>
      </c>
      <c r="W73" t="s">
        <v>86</v>
      </c>
      <c r="AD73" s="12"/>
      <c r="AU73" s="12"/>
    </row>
    <row r="74" spans="2:59">
      <c r="B74" s="4" t="s">
        <v>84</v>
      </c>
      <c r="C74" s="4">
        <v>6254.075372234016</v>
      </c>
      <c r="M74" s="12"/>
      <c r="N74" s="6"/>
      <c r="O74" s="6" t="s">
        <v>90</v>
      </c>
      <c r="P74" s="6" t="s">
        <v>91</v>
      </c>
      <c r="Q74" s="6" t="s">
        <v>92</v>
      </c>
      <c r="R74" s="6" t="s">
        <v>93</v>
      </c>
      <c r="S74" s="6" t="s">
        <v>94</v>
      </c>
      <c r="W74" s="6"/>
      <c r="X74" s="6" t="s">
        <v>90</v>
      </c>
      <c r="Y74" s="6" t="s">
        <v>91</v>
      </c>
      <c r="Z74" s="6" t="s">
        <v>92</v>
      </c>
      <c r="AA74" s="6" t="s">
        <v>93</v>
      </c>
      <c r="AB74" s="6" t="s">
        <v>94</v>
      </c>
      <c r="AD74" s="12"/>
      <c r="AU74" s="12"/>
    </row>
    <row r="75" spans="2:59" ht="17" thickBot="1">
      <c r="B75" s="5" t="s">
        <v>85</v>
      </c>
      <c r="C75" s="5">
        <v>11</v>
      </c>
      <c r="M75" s="12"/>
      <c r="N75" s="4" t="s">
        <v>87</v>
      </c>
      <c r="O75" s="4">
        <v>1</v>
      </c>
      <c r="P75" s="4">
        <v>12954674364.788548</v>
      </c>
      <c r="Q75" s="4">
        <v>12954674364.788548</v>
      </c>
      <c r="R75" s="4">
        <v>293.91731943240063</v>
      </c>
      <c r="S75" s="4">
        <v>3.5177070154385943E-8</v>
      </c>
      <c r="W75" s="4" t="s">
        <v>87</v>
      </c>
      <c r="X75" s="4">
        <v>1</v>
      </c>
      <c r="Y75" s="4">
        <v>12864993783.223171</v>
      </c>
      <c r="Z75" s="4">
        <v>12864993783.223171</v>
      </c>
      <c r="AA75" s="4">
        <v>238.06241992701129</v>
      </c>
      <c r="AB75" s="4">
        <v>8.8270661202286951E-8</v>
      </c>
      <c r="AD75" s="12"/>
      <c r="AU75" s="12"/>
    </row>
    <row r="76" spans="2:59">
      <c r="M76" s="12"/>
      <c r="N76" s="4" t="s">
        <v>88</v>
      </c>
      <c r="O76" s="4">
        <v>9</v>
      </c>
      <c r="P76" s="4">
        <v>396683222.03078771</v>
      </c>
      <c r="Q76" s="4">
        <v>44075913.558976412</v>
      </c>
      <c r="R76" s="4"/>
      <c r="S76" s="4"/>
      <c r="W76" s="4" t="s">
        <v>88</v>
      </c>
      <c r="X76" s="4">
        <v>9</v>
      </c>
      <c r="Y76" s="4">
        <v>486363803.59616446</v>
      </c>
      <c r="Z76" s="4">
        <v>54040422.621796049</v>
      </c>
      <c r="AA76" s="4"/>
      <c r="AB76" s="4"/>
      <c r="AD76" s="12"/>
      <c r="AU76" s="12"/>
    </row>
    <row r="77" spans="2:59" ht="17" thickBot="1">
      <c r="B77" t="s">
        <v>86</v>
      </c>
      <c r="M77" s="12"/>
      <c r="N77" s="5" t="s">
        <v>76</v>
      </c>
      <c r="O77" s="5">
        <v>10</v>
      </c>
      <c r="P77" s="5">
        <v>13351357586.819336</v>
      </c>
      <c r="Q77" s="5"/>
      <c r="R77" s="5"/>
      <c r="S77" s="5"/>
      <c r="W77" s="5" t="s">
        <v>76</v>
      </c>
      <c r="X77" s="5">
        <v>10</v>
      </c>
      <c r="Y77" s="5">
        <v>13351357586.819336</v>
      </c>
      <c r="Z77" s="5"/>
      <c r="AA77" s="5"/>
      <c r="AB77" s="5"/>
      <c r="AD77" s="12"/>
      <c r="AU77" s="12"/>
    </row>
    <row r="78" spans="2:59" ht="17" thickBot="1">
      <c r="B78" s="6"/>
      <c r="C78" s="6" t="s">
        <v>90</v>
      </c>
      <c r="D78" s="6" t="s">
        <v>91</v>
      </c>
      <c r="E78" s="6" t="s">
        <v>92</v>
      </c>
      <c r="F78" s="6" t="s">
        <v>93</v>
      </c>
      <c r="G78" s="6" t="s">
        <v>94</v>
      </c>
      <c r="M78" s="12"/>
      <c r="T78" s="19"/>
      <c r="U78" s="19"/>
      <c r="V78" s="19"/>
      <c r="AC78" s="19"/>
      <c r="AD78" s="12"/>
      <c r="AU78" s="12"/>
    </row>
    <row r="79" spans="2:59">
      <c r="B79" s="4" t="s">
        <v>87</v>
      </c>
      <c r="C79" s="4">
        <v>1</v>
      </c>
      <c r="D79" s="4">
        <v>12999336457.96508</v>
      </c>
      <c r="E79" s="4">
        <v>12999336457.96508</v>
      </c>
      <c r="F79" s="4">
        <v>332.34944874608232</v>
      </c>
      <c r="G79" s="4">
        <v>2.0521669785150749E-8</v>
      </c>
      <c r="M79" s="12"/>
      <c r="N79" s="6"/>
      <c r="O79" s="6" t="s">
        <v>95</v>
      </c>
      <c r="P79" s="6" t="s">
        <v>84</v>
      </c>
      <c r="Q79" s="6" t="s">
        <v>96</v>
      </c>
      <c r="R79" s="6" t="s">
        <v>97</v>
      </c>
      <c r="S79" s="6" t="s">
        <v>98</v>
      </c>
      <c r="T79" s="20"/>
      <c r="U79" s="20"/>
      <c r="V79" s="20"/>
      <c r="W79" s="6"/>
      <c r="X79" s="6" t="s">
        <v>95</v>
      </c>
      <c r="Y79" s="6" t="s">
        <v>84</v>
      </c>
      <c r="Z79" s="6" t="s">
        <v>96</v>
      </c>
      <c r="AA79" s="6" t="s">
        <v>97</v>
      </c>
      <c r="AB79" s="6" t="s">
        <v>98</v>
      </c>
      <c r="AC79" s="20"/>
      <c r="AD79" s="26"/>
      <c r="AU79" s="12"/>
    </row>
    <row r="80" spans="2:59">
      <c r="B80" s="4" t="s">
        <v>88</v>
      </c>
      <c r="C80" s="4">
        <v>9</v>
      </c>
      <c r="D80" s="4">
        <v>352021128.85425639</v>
      </c>
      <c r="E80" s="4">
        <v>39113458.761584044</v>
      </c>
      <c r="F80" s="4"/>
      <c r="G80" s="4"/>
      <c r="M80" s="12"/>
      <c r="N80" s="4" t="s">
        <v>89</v>
      </c>
      <c r="O80" s="4">
        <v>-2825932.4368478395</v>
      </c>
      <c r="P80" s="4">
        <v>173007.26303302881</v>
      </c>
      <c r="Q80" s="4">
        <v>-16.334183821567891</v>
      </c>
      <c r="R80" s="8">
        <v>5.3707848422588071E-8</v>
      </c>
      <c r="S80" s="4">
        <v>-3217302.0561341187</v>
      </c>
      <c r="T80" s="4"/>
      <c r="U80" s="4"/>
      <c r="V80" s="4"/>
      <c r="W80" s="4" t="s">
        <v>89</v>
      </c>
      <c r="X80" s="4">
        <v>-2756593.3260204359</v>
      </c>
      <c r="Y80" s="4">
        <v>187740.79450899662</v>
      </c>
      <c r="Z80" s="4">
        <v>-14.682974647198154</v>
      </c>
      <c r="AA80" s="8">
        <v>1.3578803313046614E-7</v>
      </c>
      <c r="AB80" s="4">
        <v>-3181292.5090683885</v>
      </c>
      <c r="AC80" s="4"/>
      <c r="AD80" s="27"/>
      <c r="AU80" s="12"/>
    </row>
    <row r="81" spans="2:47" ht="17" thickBot="1">
      <c r="B81" s="5" t="s">
        <v>76</v>
      </c>
      <c r="C81" s="5">
        <v>10</v>
      </c>
      <c r="D81" s="5">
        <v>13351357586.819336</v>
      </c>
      <c r="E81" s="5"/>
      <c r="F81" s="5"/>
      <c r="G81" s="5"/>
      <c r="M81" s="12"/>
      <c r="N81" s="5" t="s">
        <v>102</v>
      </c>
      <c r="O81" s="5">
        <v>3268598.1491407654</v>
      </c>
      <c r="P81" s="5">
        <v>190655.32577107032</v>
      </c>
      <c r="Q81" s="5">
        <v>17.144017015635534</v>
      </c>
      <c r="R81" s="9">
        <v>3.5177070154385943E-8</v>
      </c>
      <c r="S81" s="5">
        <v>2837305.8383221133</v>
      </c>
      <c r="T81" s="4"/>
      <c r="U81" s="4"/>
      <c r="V81" s="4"/>
      <c r="W81" s="5" t="s">
        <v>102</v>
      </c>
      <c r="X81" s="5">
        <v>3159971.3820354235</v>
      </c>
      <c r="Y81" s="5">
        <v>204803.66659050938</v>
      </c>
      <c r="Z81" s="5">
        <v>15.429271529369469</v>
      </c>
      <c r="AA81" s="9">
        <v>8.8270661202286951E-8</v>
      </c>
      <c r="AB81" s="5">
        <v>2696673.3006903674</v>
      </c>
      <c r="AC81" s="4"/>
      <c r="AD81" s="27"/>
      <c r="AU81" s="12"/>
    </row>
    <row r="82" spans="2:47" ht="17" thickBot="1">
      <c r="M82" s="12"/>
      <c r="T82" s="19"/>
      <c r="U82" s="19"/>
      <c r="V82" s="19"/>
      <c r="AD82" s="12"/>
      <c r="AU82" s="12"/>
    </row>
    <row r="83" spans="2:47">
      <c r="B83" s="6"/>
      <c r="C83" s="6" t="s">
        <v>95</v>
      </c>
      <c r="D83" s="6" t="s">
        <v>84</v>
      </c>
      <c r="E83" s="6" t="s">
        <v>96</v>
      </c>
      <c r="F83" s="6" t="s">
        <v>97</v>
      </c>
      <c r="G83" s="6" t="s">
        <v>98</v>
      </c>
      <c r="H83" s="6" t="s">
        <v>99</v>
      </c>
      <c r="I83" s="6" t="s">
        <v>100</v>
      </c>
      <c r="J83" s="6" t="s">
        <v>101</v>
      </c>
      <c r="M83" s="12"/>
      <c r="AD83" s="12"/>
      <c r="AU83" s="12"/>
    </row>
    <row r="84" spans="2:47">
      <c r="B84" s="4" t="s">
        <v>89</v>
      </c>
      <c r="C84" s="4">
        <v>-1856228.9741460416</v>
      </c>
      <c r="D84" s="4">
        <v>109510.90212502654</v>
      </c>
      <c r="E84" s="4">
        <v>-16.950175170932479</v>
      </c>
      <c r="F84" s="8">
        <v>3.8858936487387685E-8</v>
      </c>
      <c r="G84" s="4">
        <v>-2103959.8457926637</v>
      </c>
      <c r="H84" s="4">
        <v>-1608498.1024994196</v>
      </c>
      <c r="I84" s="4">
        <v>-2103959.8457926637</v>
      </c>
      <c r="J84" s="4">
        <v>-1608498.1024994196</v>
      </c>
      <c r="M84" s="12"/>
      <c r="AD84" s="12"/>
      <c r="AU84" s="12"/>
    </row>
    <row r="85" spans="2:47" ht="17" thickBot="1">
      <c r="B85" s="5" t="s">
        <v>102</v>
      </c>
      <c r="C85" s="5">
        <v>3230893.8471869593</v>
      </c>
      <c r="D85" s="5">
        <v>177225.09094332374</v>
      </c>
      <c r="E85" s="5">
        <v>18.230453882064552</v>
      </c>
      <c r="F85" s="9">
        <v>2.0521669785150673E-8</v>
      </c>
      <c r="G85" s="5">
        <v>2829982.838281956</v>
      </c>
      <c r="H85" s="5">
        <v>3631804.8560919627</v>
      </c>
      <c r="I85" s="5">
        <v>2829982.838281956</v>
      </c>
      <c r="J85" s="5">
        <v>3631804.8560919627</v>
      </c>
      <c r="M85" s="12"/>
      <c r="T85" s="19"/>
      <c r="AD85" s="12"/>
      <c r="AU85" s="12"/>
    </row>
    <row r="86" spans="2:47">
      <c r="M86" s="12"/>
    </row>
    <row r="87" spans="2:47">
      <c r="M87" s="12"/>
    </row>
    <row r="88" spans="2:47">
      <c r="M88" s="12"/>
    </row>
    <row r="89" spans="2:47">
      <c r="B89" t="s">
        <v>103</v>
      </c>
      <c r="M89" s="12"/>
    </row>
    <row r="90" spans="2:47" ht="17" thickBot="1">
      <c r="M90" s="12"/>
    </row>
    <row r="91" spans="2:47">
      <c r="B91" s="6" t="s">
        <v>104</v>
      </c>
      <c r="C91" s="6" t="s">
        <v>105</v>
      </c>
      <c r="D91" s="6" t="s">
        <v>106</v>
      </c>
      <c r="M91" s="12"/>
    </row>
    <row r="92" spans="2:47">
      <c r="B92" s="4">
        <v>1</v>
      </c>
      <c r="C92" s="4">
        <v>85538.228013321059</v>
      </c>
      <c r="D92" s="4">
        <v>-9347.2280133210588</v>
      </c>
      <c r="M92" s="12"/>
    </row>
    <row r="93" spans="2:47">
      <c r="B93" s="4">
        <v>2</v>
      </c>
      <c r="C93" s="4">
        <v>95230.909554881742</v>
      </c>
      <c r="D93" s="4">
        <v>-3825.9095548817422</v>
      </c>
      <c r="M93" s="12"/>
    </row>
    <row r="94" spans="2:47">
      <c r="B94" s="4">
        <v>3</v>
      </c>
      <c r="C94" s="4">
        <v>108154.48494362971</v>
      </c>
      <c r="D94" s="4">
        <v>-717.48494362970814</v>
      </c>
      <c r="M94" s="12"/>
    </row>
    <row r="95" spans="2:47">
      <c r="B95" s="4">
        <v>4</v>
      </c>
      <c r="C95" s="4">
        <v>118453.74647545768</v>
      </c>
      <c r="D95" s="4">
        <v>4283.2535245423205</v>
      </c>
      <c r="M95" s="12"/>
    </row>
    <row r="96" spans="2:47">
      <c r="B96" s="4">
        <v>5</v>
      </c>
      <c r="C96" s="4">
        <v>129255.16674032551</v>
      </c>
      <c r="D96" s="4">
        <v>7041.8332596744876</v>
      </c>
      <c r="M96" s="12"/>
    </row>
    <row r="97" spans="2:13">
      <c r="B97" s="4">
        <v>6</v>
      </c>
      <c r="C97" s="4">
        <v>140056.58700519335</v>
      </c>
      <c r="D97" s="4">
        <v>7616.4129948066548</v>
      </c>
      <c r="M97" s="12"/>
    </row>
    <row r="98" spans="2:13">
      <c r="B98" s="4">
        <v>7</v>
      </c>
      <c r="C98" s="4">
        <v>150858.00727006141</v>
      </c>
      <c r="D98" s="4">
        <v>5959.992729938589</v>
      </c>
      <c r="M98" s="12"/>
    </row>
    <row r="99" spans="2:13">
      <c r="B99" s="4">
        <v>8</v>
      </c>
      <c r="C99" s="4">
        <v>161659.42753492948</v>
      </c>
      <c r="D99" s="4">
        <v>2342.5724650705233</v>
      </c>
      <c r="M99" s="12"/>
    </row>
    <row r="100" spans="2:13">
      <c r="B100" s="4">
        <v>9</v>
      </c>
      <c r="C100" s="4">
        <v>172460.84779979731</v>
      </c>
      <c r="D100" s="4">
        <v>-1052.0766970239347</v>
      </c>
      <c r="M100" s="12"/>
    </row>
    <row r="101" spans="2:13">
      <c r="B101" s="4">
        <v>10</v>
      </c>
      <c r="C101" s="4">
        <v>183262.26806466514</v>
      </c>
      <c r="D101" s="4">
        <v>-4451.147487399634</v>
      </c>
      <c r="M101" s="12"/>
    </row>
    <row r="102" spans="2:13" ht="17" thickBot="1">
      <c r="B102" s="5">
        <v>11</v>
      </c>
      <c r="C102" s="5">
        <v>194063.68832953298</v>
      </c>
      <c r="D102" s="5">
        <v>-7850.2182777753333</v>
      </c>
      <c r="M102" s="12"/>
    </row>
    <row r="103" spans="2:13">
      <c r="M103" s="12"/>
    </row>
    <row r="104" spans="2:13">
      <c r="M104" s="12"/>
    </row>
    <row r="105" spans="2:13">
      <c r="M105" s="12"/>
    </row>
    <row r="106" spans="2:13">
      <c r="M106" s="12"/>
    </row>
    <row r="107" spans="2:13">
      <c r="M107" s="12"/>
    </row>
    <row r="108" spans="2:13">
      <c r="M108" s="12"/>
    </row>
    <row r="109" spans="2:13">
      <c r="M109" s="12"/>
    </row>
  </sheetData>
  <mergeCells count="7">
    <mergeCell ref="AV5:AY5"/>
    <mergeCell ref="BA5:BB5"/>
    <mergeCell ref="B5:E5"/>
    <mergeCell ref="G5:H5"/>
    <mergeCell ref="N5:Q5"/>
    <mergeCell ref="S5:U5"/>
    <mergeCell ref="J5:K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F24F1-1FF1-3041-9B56-4E9ECB5D9F89}">
  <dimension ref="B2:C23"/>
  <sheetViews>
    <sheetView tabSelected="1" workbookViewId="0">
      <selection activeCell="C29" sqref="C29"/>
    </sheetView>
  </sheetViews>
  <sheetFormatPr baseColWidth="10" defaultRowHeight="16"/>
  <cols>
    <col min="2" max="2" width="13" bestFit="1" customWidth="1"/>
    <col min="3" max="3" width="98" bestFit="1" customWidth="1"/>
  </cols>
  <sheetData>
    <row r="2" spans="2:3">
      <c r="B2" s="13" t="s">
        <v>182</v>
      </c>
      <c r="C2" s="13" t="s">
        <v>183</v>
      </c>
    </row>
    <row r="3" spans="2:3">
      <c r="B3" s="108">
        <v>1</v>
      </c>
      <c r="C3" s="13" t="s">
        <v>30</v>
      </c>
    </row>
    <row r="4" spans="2:3">
      <c r="B4" s="108"/>
      <c r="C4" s="13" t="s">
        <v>31</v>
      </c>
    </row>
    <row r="5" spans="2:3">
      <c r="B5" s="108"/>
      <c r="C5" s="13" t="s">
        <v>32</v>
      </c>
    </row>
    <row r="6" spans="2:3">
      <c r="B6" s="108"/>
      <c r="C6" s="13" t="s">
        <v>157</v>
      </c>
    </row>
    <row r="7" spans="2:3">
      <c r="B7" s="108"/>
      <c r="C7" s="13" t="s">
        <v>158</v>
      </c>
    </row>
    <row r="8" spans="2:3">
      <c r="B8" s="96">
        <v>2</v>
      </c>
      <c r="C8" s="13" t="s">
        <v>29</v>
      </c>
    </row>
    <row r="9" spans="2:3">
      <c r="B9" s="108">
        <v>3</v>
      </c>
      <c r="C9" s="13" t="s">
        <v>33</v>
      </c>
    </row>
    <row r="10" spans="2:3">
      <c r="B10" s="108"/>
      <c r="C10" s="13" t="s">
        <v>73</v>
      </c>
    </row>
    <row r="11" spans="2:3">
      <c r="B11" s="96">
        <v>4</v>
      </c>
      <c r="C11" s="13" t="s">
        <v>40</v>
      </c>
    </row>
    <row r="12" spans="2:3">
      <c r="B12" s="96">
        <v>5</v>
      </c>
      <c r="C12" s="13" t="s">
        <v>159</v>
      </c>
    </row>
    <row r="13" spans="2:3">
      <c r="B13" s="96">
        <v>6</v>
      </c>
      <c r="C13" s="33" t="s">
        <v>46</v>
      </c>
    </row>
    <row r="14" spans="2:3">
      <c r="B14" s="96">
        <v>7</v>
      </c>
      <c r="C14" s="13" t="s">
        <v>47</v>
      </c>
    </row>
    <row r="15" spans="2:3">
      <c r="B15" s="96">
        <v>8</v>
      </c>
      <c r="C15" s="109" t="s">
        <v>184</v>
      </c>
    </row>
    <row r="16" spans="2:3">
      <c r="B16" s="96">
        <v>9</v>
      </c>
      <c r="C16" s="110"/>
    </row>
    <row r="17" spans="2:3">
      <c r="B17" s="96">
        <v>10</v>
      </c>
      <c r="C17" s="97" t="s">
        <v>181</v>
      </c>
    </row>
    <row r="19" spans="2:3">
      <c r="B19" s="95"/>
    </row>
    <row r="21" spans="2:3">
      <c r="B21" s="95"/>
    </row>
    <row r="23" spans="2:3">
      <c r="B23" s="95"/>
    </row>
  </sheetData>
  <mergeCells count="3">
    <mergeCell ref="B3:B7"/>
    <mergeCell ref="B9:B10"/>
    <mergeCell ref="C15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3321-EA8F-3841-AE06-88291BBD524A}">
  <dimension ref="A1:N80"/>
  <sheetViews>
    <sheetView zoomScale="82" workbookViewId="0"/>
  </sheetViews>
  <sheetFormatPr baseColWidth="10" defaultRowHeight="16"/>
  <cols>
    <col min="13" max="13" width="11.33203125" bestFit="1" customWidth="1"/>
    <col min="14" max="14" width="11.5" bestFit="1" customWidth="1"/>
  </cols>
  <sheetData>
    <row r="1" spans="1:14">
      <c r="A1" t="s">
        <v>29</v>
      </c>
    </row>
    <row r="6" spans="1:14">
      <c r="J6" s="98" t="s">
        <v>112</v>
      </c>
      <c r="K6" s="98"/>
      <c r="L6" s="98"/>
      <c r="M6" s="98"/>
    </row>
    <row r="7" spans="1:14">
      <c r="J7" s="13"/>
      <c r="K7" s="13" t="s">
        <v>12</v>
      </c>
      <c r="L7" s="13" t="s">
        <v>13</v>
      </c>
      <c r="M7" s="13" t="s">
        <v>76</v>
      </c>
    </row>
    <row r="8" spans="1:14">
      <c r="J8" s="13">
        <v>2017</v>
      </c>
      <c r="K8" s="13">
        <v>35299</v>
      </c>
      <c r="L8" s="13">
        <v>40892</v>
      </c>
      <c r="M8" s="13">
        <f>K8+L8</f>
        <v>76191</v>
      </c>
    </row>
    <row r="9" spans="1:14">
      <c r="J9" s="13">
        <v>2018</v>
      </c>
      <c r="K9" s="13">
        <v>44282</v>
      </c>
      <c r="L9" s="13">
        <v>47123</v>
      </c>
      <c r="M9" s="13">
        <f t="shared" ref="M9:M15" si="0">K9+L9</f>
        <v>91405</v>
      </c>
      <c r="N9" s="72">
        <f>(M9-M8)/M8</f>
        <v>0.19968237718365686</v>
      </c>
    </row>
    <row r="10" spans="1:14">
      <c r="J10" s="13">
        <v>2019</v>
      </c>
      <c r="K10" s="13">
        <v>53785</v>
      </c>
      <c r="L10" s="13">
        <v>53652</v>
      </c>
      <c r="M10" s="13">
        <f t="shared" si="0"/>
        <v>107437</v>
      </c>
      <c r="N10" s="72">
        <f t="shared" ref="N10:N15" si="1">(M10-M9)/M9</f>
        <v>0.17539521907991903</v>
      </c>
    </row>
    <row r="11" spans="1:14">
      <c r="J11" s="13">
        <v>2020</v>
      </c>
      <c r="K11" s="13">
        <v>62797</v>
      </c>
      <c r="L11" s="13">
        <v>59940</v>
      </c>
      <c r="M11" s="13">
        <f t="shared" si="0"/>
        <v>122737</v>
      </c>
      <c r="N11" s="72">
        <f t="shared" si="1"/>
        <v>0.14240903971629884</v>
      </c>
    </row>
    <row r="12" spans="1:14">
      <c r="J12" s="13">
        <v>2021</v>
      </c>
      <c r="K12" s="13">
        <v>70673</v>
      </c>
      <c r="L12" s="13">
        <v>65624</v>
      </c>
      <c r="M12" s="13">
        <f t="shared" si="0"/>
        <v>136297</v>
      </c>
      <c r="N12" s="72">
        <f t="shared" si="1"/>
        <v>0.1104801323154387</v>
      </c>
    </row>
    <row r="13" spans="1:14">
      <c r="J13" s="13">
        <v>2022</v>
      </c>
      <c r="K13" s="13">
        <v>77135</v>
      </c>
      <c r="L13" s="13">
        <v>70538</v>
      </c>
      <c r="M13" s="13">
        <f t="shared" si="0"/>
        <v>147673</v>
      </c>
      <c r="N13" s="72">
        <f t="shared" si="1"/>
        <v>8.3464786458982962E-2</v>
      </c>
    </row>
    <row r="14" spans="1:14">
      <c r="J14" s="13">
        <v>2023</v>
      </c>
      <c r="K14" s="13">
        <v>82176</v>
      </c>
      <c r="L14" s="13">
        <v>74642</v>
      </c>
      <c r="M14" s="13">
        <f t="shared" si="0"/>
        <v>156818</v>
      </c>
      <c r="N14" s="72">
        <f t="shared" si="1"/>
        <v>6.1927366546355798E-2</v>
      </c>
    </row>
    <row r="15" spans="1:14">
      <c r="J15" s="13">
        <v>2024</v>
      </c>
      <c r="K15" s="13">
        <v>86006</v>
      </c>
      <c r="L15" s="13">
        <v>77996</v>
      </c>
      <c r="M15" s="13">
        <f t="shared" si="0"/>
        <v>164002</v>
      </c>
      <c r="N15" s="72">
        <f t="shared" si="1"/>
        <v>4.5811067607034905E-2</v>
      </c>
    </row>
    <row r="23" spans="9:14">
      <c r="I23" s="98" t="s">
        <v>113</v>
      </c>
      <c r="J23" s="98"/>
      <c r="K23" s="98"/>
      <c r="L23" s="98"/>
      <c r="M23" s="98"/>
      <c r="N23" s="98"/>
    </row>
    <row r="24" spans="9:14">
      <c r="I24" s="13"/>
      <c r="J24" s="13" t="s">
        <v>12</v>
      </c>
      <c r="K24" s="13" t="s">
        <v>13</v>
      </c>
      <c r="L24" s="13" t="s">
        <v>76</v>
      </c>
      <c r="M24" s="13" t="s">
        <v>14</v>
      </c>
      <c r="N24" s="13" t="s">
        <v>15</v>
      </c>
    </row>
    <row r="25" spans="9:14">
      <c r="I25" s="13">
        <v>2017</v>
      </c>
      <c r="J25" s="24">
        <v>364.8</v>
      </c>
      <c r="K25" s="24">
        <v>497.3</v>
      </c>
      <c r="L25" s="24">
        <f>J25+ K25</f>
        <v>862.1</v>
      </c>
      <c r="M25" s="13"/>
      <c r="N25" s="13"/>
    </row>
    <row r="26" spans="9:14">
      <c r="I26" s="13">
        <v>2018</v>
      </c>
      <c r="J26" s="24">
        <v>448.6</v>
      </c>
      <c r="K26" s="24">
        <v>564.79999999999995</v>
      </c>
      <c r="L26" s="24">
        <f t="shared" ref="L26:L32" si="2">J26+ K26</f>
        <v>1013.4</v>
      </c>
      <c r="M26" s="16">
        <f t="shared" ref="M26:N32" si="3">(J26-J25)/J25</f>
        <v>0.22971491228070179</v>
      </c>
      <c r="N26" s="16">
        <f t="shared" si="3"/>
        <v>0.13573295797305437</v>
      </c>
    </row>
    <row r="27" spans="9:14">
      <c r="I27" s="13">
        <v>2019</v>
      </c>
      <c r="J27" s="24">
        <v>539</v>
      </c>
      <c r="K27" s="24">
        <v>631.4</v>
      </c>
      <c r="L27" s="24">
        <f t="shared" si="2"/>
        <v>1170.4000000000001</v>
      </c>
      <c r="M27" s="16">
        <f t="shared" si="3"/>
        <v>0.20151582701738738</v>
      </c>
      <c r="N27" s="16">
        <f t="shared" si="3"/>
        <v>0.11791784702549581</v>
      </c>
    </row>
    <row r="28" spans="9:14">
      <c r="I28" s="13">
        <v>2020</v>
      </c>
      <c r="J28" s="24">
        <v>625.9</v>
      </c>
      <c r="K28" s="24">
        <v>693.7</v>
      </c>
      <c r="L28" s="24">
        <f t="shared" si="2"/>
        <v>1319.6</v>
      </c>
      <c r="M28" s="16">
        <f t="shared" si="3"/>
        <v>0.16122448979591833</v>
      </c>
      <c r="N28" s="16">
        <f t="shared" si="3"/>
        <v>9.8669623059867068E-2</v>
      </c>
    </row>
    <row r="29" spans="9:14">
      <c r="I29" s="13">
        <v>2021</v>
      </c>
      <c r="J29" s="24">
        <v>702.8</v>
      </c>
      <c r="K29" s="24">
        <v>749.75</v>
      </c>
      <c r="L29" s="24">
        <f t="shared" si="2"/>
        <v>1452.55</v>
      </c>
      <c r="M29" s="16">
        <f t="shared" si="3"/>
        <v>0.12286307716887679</v>
      </c>
      <c r="N29" s="16">
        <f t="shared" si="3"/>
        <v>8.079861611647679E-2</v>
      </c>
    </row>
    <row r="30" spans="9:14">
      <c r="I30" s="13">
        <v>2022</v>
      </c>
      <c r="J30" s="24">
        <v>766.9</v>
      </c>
      <c r="K30" s="24">
        <v>798.59</v>
      </c>
      <c r="L30" s="24">
        <f t="shared" si="2"/>
        <v>1565.49</v>
      </c>
      <c r="M30" s="16">
        <f t="shared" si="3"/>
        <v>9.1206602162777498E-2</v>
      </c>
      <c r="N30" s="16">
        <f t="shared" si="3"/>
        <v>6.5141713904634926E-2</v>
      </c>
    </row>
    <row r="31" spans="9:14">
      <c r="I31" s="13">
        <v>2023</v>
      </c>
      <c r="J31" s="24">
        <v>817.8</v>
      </c>
      <c r="K31" s="24">
        <v>840</v>
      </c>
      <c r="L31" s="24">
        <f t="shared" si="2"/>
        <v>1657.8</v>
      </c>
      <c r="M31" s="16">
        <f t="shared" si="3"/>
        <v>6.637110444647279E-2</v>
      </c>
      <c r="N31" s="16">
        <f t="shared" si="3"/>
        <v>5.1853892485505662E-2</v>
      </c>
    </row>
    <row r="32" spans="9:14">
      <c r="I32" s="13">
        <v>2024</v>
      </c>
      <c r="J32" s="24">
        <v>858</v>
      </c>
      <c r="K32" s="24">
        <v>874.9</v>
      </c>
      <c r="L32" s="24">
        <f t="shared" si="2"/>
        <v>1732.9</v>
      </c>
      <c r="M32" s="16">
        <f t="shared" si="3"/>
        <v>4.9156272927366164E-2</v>
      </c>
      <c r="N32" s="16">
        <f t="shared" si="3"/>
        <v>4.1547619047619021E-2</v>
      </c>
    </row>
    <row r="33" spans="9:12">
      <c r="I33" s="13">
        <v>2025</v>
      </c>
      <c r="L33" s="73">
        <f>_xlfn.FORECAST.ETS(I33,$L$25:$L$32,$I$25:$I$32,1,1)</f>
        <v>1809.9647440736978</v>
      </c>
    </row>
    <row r="34" spans="9:12">
      <c r="I34" s="13">
        <v>2026</v>
      </c>
      <c r="L34" s="73">
        <f t="shared" ref="L34:L37" si="4">_xlfn.FORECAST.ETS(I34,$L$25:$L$32,$I$25:$I$32,1,1)</f>
        <v>1886.9904509485459</v>
      </c>
    </row>
    <row r="35" spans="9:12">
      <c r="I35" s="13">
        <v>2027</v>
      </c>
      <c r="L35" s="73">
        <f t="shared" si="4"/>
        <v>1964.0161578233938</v>
      </c>
    </row>
    <row r="36" spans="9:12">
      <c r="I36" s="13">
        <v>2028</v>
      </c>
      <c r="L36" s="73">
        <f t="shared" si="4"/>
        <v>2041.0418646982419</v>
      </c>
    </row>
    <row r="37" spans="9:12">
      <c r="I37" s="13">
        <v>2029</v>
      </c>
      <c r="L37" s="73">
        <f t="shared" si="4"/>
        <v>2118.0675715730899</v>
      </c>
    </row>
    <row r="41" spans="9:12">
      <c r="J41" s="98" t="s">
        <v>114</v>
      </c>
      <c r="K41" s="98"/>
    </row>
    <row r="42" spans="9:12">
      <c r="J42" s="13"/>
      <c r="K42" s="13">
        <v>2019</v>
      </c>
    </row>
    <row r="43" spans="9:12">
      <c r="J43" s="13" t="s">
        <v>16</v>
      </c>
      <c r="K43" s="25">
        <v>0.22</v>
      </c>
    </row>
    <row r="44" spans="9:12">
      <c r="J44" s="13" t="s">
        <v>17</v>
      </c>
      <c r="K44" s="25">
        <v>0.36</v>
      </c>
    </row>
    <row r="45" spans="9:12">
      <c r="J45" s="13" t="s">
        <v>18</v>
      </c>
      <c r="K45" s="25">
        <v>0.25</v>
      </c>
    </row>
    <row r="46" spans="9:12">
      <c r="J46" s="13" t="s">
        <v>19</v>
      </c>
      <c r="K46" s="25">
        <v>0.23</v>
      </c>
    </row>
    <row r="47" spans="9:12">
      <c r="J47" s="13" t="s">
        <v>20</v>
      </c>
      <c r="K47" s="25">
        <v>0.04</v>
      </c>
    </row>
    <row r="59" spans="10:11">
      <c r="J59" s="98" t="s">
        <v>115</v>
      </c>
      <c r="K59" s="98"/>
    </row>
    <row r="60" spans="10:11">
      <c r="J60" s="13"/>
      <c r="K60" s="13">
        <v>2019</v>
      </c>
    </row>
    <row r="61" spans="10:11">
      <c r="J61" s="13" t="s">
        <v>21</v>
      </c>
      <c r="K61" s="25">
        <v>0.41</v>
      </c>
    </row>
    <row r="62" spans="10:11">
      <c r="J62" s="13" t="s">
        <v>22</v>
      </c>
      <c r="K62" s="25">
        <v>0.34</v>
      </c>
    </row>
    <row r="63" spans="10:11">
      <c r="J63" s="13" t="s">
        <v>23</v>
      </c>
      <c r="K63" s="25">
        <v>0.25</v>
      </c>
    </row>
    <row r="75" spans="10:12">
      <c r="J75" s="99" t="s">
        <v>24</v>
      </c>
      <c r="K75" s="99"/>
      <c r="L75" s="99"/>
    </row>
    <row r="76" spans="10:12">
      <c r="J76" s="13" t="s">
        <v>7</v>
      </c>
      <c r="K76" s="100">
        <v>0.36399999999999999</v>
      </c>
      <c r="L76" s="100"/>
    </row>
    <row r="77" spans="10:12">
      <c r="J77" s="13" t="s">
        <v>25</v>
      </c>
      <c r="K77" s="100">
        <v>0.34799999999999998</v>
      </c>
      <c r="L77" s="100"/>
    </row>
    <row r="78" spans="10:12">
      <c r="J78" s="13" t="s">
        <v>26</v>
      </c>
      <c r="K78" s="100">
        <v>0.33100000000000002</v>
      </c>
      <c r="L78" s="100"/>
    </row>
    <row r="79" spans="10:12">
      <c r="J79" s="13" t="s">
        <v>27</v>
      </c>
      <c r="K79" s="100">
        <v>0.32800000000000001</v>
      </c>
      <c r="L79" s="100"/>
    </row>
    <row r="80" spans="10:12">
      <c r="J80" s="13" t="s">
        <v>28</v>
      </c>
      <c r="K80" s="100">
        <v>0.317</v>
      </c>
      <c r="L80" s="100"/>
    </row>
  </sheetData>
  <mergeCells count="10">
    <mergeCell ref="K76:L76"/>
    <mergeCell ref="K77:L77"/>
    <mergeCell ref="K78:L78"/>
    <mergeCell ref="K79:L79"/>
    <mergeCell ref="K80:L80"/>
    <mergeCell ref="J6:M6"/>
    <mergeCell ref="I23:N23"/>
    <mergeCell ref="J41:K41"/>
    <mergeCell ref="J59:K59"/>
    <mergeCell ref="J75:L7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91CB-73D1-CB40-ACBF-7F195E902115}">
  <dimension ref="A1:Q42"/>
  <sheetViews>
    <sheetView topLeftCell="B8" zoomScale="125" workbookViewId="0">
      <selection activeCell="K42" sqref="K42"/>
    </sheetView>
  </sheetViews>
  <sheetFormatPr baseColWidth="10" defaultRowHeight="16"/>
  <sheetData>
    <row r="1" spans="1:17">
      <c r="A1" t="s">
        <v>33</v>
      </c>
    </row>
    <row r="6" spans="1:17">
      <c r="K6" t="s">
        <v>36</v>
      </c>
    </row>
    <row r="7" spans="1:17">
      <c r="K7" t="s">
        <v>37</v>
      </c>
    </row>
    <row r="8" spans="1:17">
      <c r="K8" t="s">
        <v>38</v>
      </c>
    </row>
    <row r="9" spans="1:17">
      <c r="K9" t="s">
        <v>39</v>
      </c>
    </row>
    <row r="10" spans="1:17">
      <c r="K10" t="s">
        <v>50</v>
      </c>
      <c r="Q10" t="s">
        <v>34</v>
      </c>
    </row>
    <row r="11" spans="1:17">
      <c r="Q11" t="s">
        <v>35</v>
      </c>
    </row>
    <row r="16" spans="1:17">
      <c r="K16" t="s">
        <v>74</v>
      </c>
    </row>
    <row r="18" spans="11:11">
      <c r="K18" s="3" t="s">
        <v>51</v>
      </c>
    </row>
    <row r="19" spans="11:11">
      <c r="K19" s="3" t="s">
        <v>52</v>
      </c>
    </row>
    <row r="20" spans="11:11">
      <c r="K20" s="3" t="s">
        <v>53</v>
      </c>
    </row>
    <row r="21" spans="11:11">
      <c r="K21" s="3" t="s">
        <v>54</v>
      </c>
    </row>
    <row r="22" spans="11:11">
      <c r="K22" s="3" t="s">
        <v>55</v>
      </c>
    </row>
    <row r="23" spans="11:11">
      <c r="K23" s="3" t="s">
        <v>56</v>
      </c>
    </row>
    <row r="24" spans="11:11">
      <c r="K24" s="3" t="s">
        <v>57</v>
      </c>
    </row>
    <row r="25" spans="11:11">
      <c r="K25" s="3" t="s">
        <v>58</v>
      </c>
    </row>
    <row r="26" spans="11:11">
      <c r="K26" s="3" t="s">
        <v>59</v>
      </c>
    </row>
    <row r="27" spans="11:11">
      <c r="K27" s="3" t="s">
        <v>60</v>
      </c>
    </row>
    <row r="28" spans="11:11">
      <c r="K28" s="3" t="s">
        <v>61</v>
      </c>
    </row>
    <row r="29" spans="11:11">
      <c r="K29" s="3" t="s">
        <v>62</v>
      </c>
    </row>
    <row r="30" spans="11:11">
      <c r="K30" s="3" t="s">
        <v>63</v>
      </c>
    </row>
    <row r="31" spans="11:11">
      <c r="K31" s="3" t="s">
        <v>64</v>
      </c>
    </row>
    <row r="32" spans="11:11">
      <c r="K32" s="3" t="s">
        <v>65</v>
      </c>
    </row>
    <row r="33" spans="11:11">
      <c r="K33" s="3" t="s">
        <v>66</v>
      </c>
    </row>
    <row r="34" spans="11:11">
      <c r="K34" s="3" t="s">
        <v>67</v>
      </c>
    </row>
    <row r="35" spans="11:11">
      <c r="K35" s="3" t="s">
        <v>68</v>
      </c>
    </row>
    <row r="36" spans="11:11">
      <c r="K36" s="3" t="s">
        <v>69</v>
      </c>
    </row>
    <row r="37" spans="11:11">
      <c r="K37" s="3" t="s">
        <v>70</v>
      </c>
    </row>
    <row r="38" spans="11:11">
      <c r="K38" s="3" t="s">
        <v>71</v>
      </c>
    </row>
    <row r="39" spans="11:11">
      <c r="K39" s="3" t="s">
        <v>72</v>
      </c>
    </row>
    <row r="42" spans="11:11">
      <c r="K42" t="s">
        <v>73</v>
      </c>
    </row>
  </sheetData>
  <hyperlinks>
    <hyperlink ref="K18" r:id="rId1" display="https://www.nrn.com/sponsored-content/restaurant-takeout-and-delivery-are-taking-bite-out-dine-traffic" xr:uid="{19EAB6D3-2085-CD44-B4A8-BE19D54AE6A8}"/>
    <hyperlink ref="K19" r:id="rId2" display="http://www.mintel.com/press-centre/food-and-drink/9-in-10-us-food-delivery-service-users-say-it-makes-their-lives-easier" xr:uid="{4B17AE31-29B6-7948-94EC-FD8956F3B56B}"/>
    <hyperlink ref="K20" r:id="rId3" display="https://www.statista.com/statistics/705571/average-price-paid-per-food-order-in-the-us/" xr:uid="{8F87EFC0-60A5-8248-8C93-EA051EA652DF}"/>
    <hyperlink ref="K21" r:id="rId4" display="https://www.restaurantbusinessonline.com/consumer-trends/stats-are-consumers-are-upping-restaurant-delivery" xr:uid="{3898AB95-732B-1743-B5ED-027E7FFE39BD}"/>
    <hyperlink ref="K22" r:id="rId5" display="https://www.nrn.com/sponsored-content/restaurant-takeout-and-delivery-are-taking-bite-out-dine-traffic" xr:uid="{48E165C3-E9AB-9B45-BCA4-AC2A26330A8A}"/>
    <hyperlink ref="K23" r:id="rId6" display="https://hospitalitytech.com/70-consumers-prefer-order-direct-restaurants-not-third-party-services" xr:uid="{32A63975-2281-8844-9FFE-C0A8819EE532}"/>
    <hyperlink ref="K24" r:id="rId7" display="http://www.mintel.com/press-centre/food-and-drink/9-in-10-us-food-delivery-service-users-say-it-makes-their-lives-easier" xr:uid="{825779D0-6CA9-B447-BB52-E6019B281444}"/>
    <hyperlink ref="K25" r:id="rId8" display="https://www.restaurantbusinessonline.com/consumer-trends/4-foodservice-trends-driven-millennials" xr:uid="{1D8AD005-B369-1645-86F5-5F19F1FDFE48}"/>
    <hyperlink ref="K26" r:id="rId9" display="https://www.nrn.com/sponsored-content/restaurant-takeout-and-delivery-are-taking-bite-out-dine-traffic" xr:uid="{EDCDA269-8646-EF4C-834A-9CF9516395EB}"/>
    <hyperlink ref="K27" r:id="rId10" display="http://www.mintel.com/press-centre/food-and-drink/9-in-10-us-food-delivery-service-users-say-it-makes-their-lives-easier" xr:uid="{C6541439-5590-E24D-A226-E21950B52E7F}"/>
    <hyperlink ref="K28" r:id="rId11" display="https://www.nrn.com/sponsored-content/restaurant-takeout-and-delivery-are-taking-bite-out-dine-traffic" xr:uid="{F5C4D466-2CD4-5F46-842A-81E9083D32F1}"/>
    <hyperlink ref="K29" r:id="rId12" display="http://www.mintel.com/press-centre/food-and-drink/9-in-10-us-food-delivery-service-users-say-it-makes-their-lives-easier" xr:uid="{AAF09B90-14FA-C348-B045-6598E652EDF0}"/>
    <hyperlink ref="K30" r:id="rId13" display="http://www.mintel.com/press-centre/food-and-drink/9-in-10-us-food-delivery-service-users-say-it-makes-their-lives-easier" xr:uid="{22386816-C9A9-6B4B-96C0-ABD6F322A642}"/>
    <hyperlink ref="K31" r:id="rId14" display="https://www.restaurantbusinessonline.com/consumer-trends/stats-are-consumers-are-upping-restaurant-delivery" xr:uid="{312D5380-AB54-134A-B1D4-12A2EB9B4E48}"/>
    <hyperlink ref="K32" r:id="rId15" display="https://www.businessinsider.com/mobile-orderings-major-fast-food-impact-2016-4" xr:uid="{F7B7B9A4-0A84-9643-9E08-5AF9EE40AED4}"/>
    <hyperlink ref="K33" r:id="rId16" display="https://www.businessinsider.com/mobile-orderings-major-fast-food-impact-2016-4" xr:uid="{B002F456-A60D-BC4D-B6CE-7584FBD8F6B8}"/>
    <hyperlink ref="K34" r:id="rId17" display="https://www.nrn.com/sponsored-content/restaurant-takeout-and-delivery-are-taking-bite-out-dine-traffic" xr:uid="{74363B2F-2AF4-DE40-A562-4E14E1D739DE}"/>
    <hyperlink ref="K35" r:id="rId18" location="3eea18dc393e" display="https://www.forbes.com/sites/andriacheng/2018/06/26/millennials-are-ordering-food-for-delivery-more-but-are-they-killing-the-kitchen-too/ - 3eea18dc393e" xr:uid="{090B4F52-05A1-424C-87C7-C66984F29883}"/>
    <hyperlink ref="K36" r:id="rId19" display="https://hospitalitytech.com/70-consumers-prefer-order-direct-restaurants-not-third-party-services" xr:uid="{2FD8C578-ABDC-FA4D-9A92-9429EBAF0084}"/>
    <hyperlink ref="K37" r:id="rId20" display="http://www.pmq.com/December-2015/The-2016-Pizza-Power-Report-A-state-of-the-industry-analysis/" xr:uid="{6DE1437B-10B7-0549-9753-109BC95657C0}"/>
    <hyperlink ref="K38" r:id="rId21" display="https://www.qsrmagazine.com/outside-insights/mobile-ordering-races-38-billion-future" xr:uid="{D9947694-1F50-8547-89CA-91C8E096C369}"/>
    <hyperlink ref="K39" r:id="rId22" display="https://www.npd.com/wps/portal/npd/us/news/press-releases/2018/in-a-slow-market-us-restaurant-operators-step-it-up-by-offering-customers-digitally-enabled-convenience/" xr:uid="{8DDBD359-2EF2-9E45-A0F3-BBB0DEB31707}"/>
  </hyperlinks>
  <pageMargins left="0.7" right="0.7" top="0.75" bottom="0.75" header="0.3" footer="0.3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3261-FE42-3F40-84B0-53D8DF95665E}">
  <dimension ref="A1:L10"/>
  <sheetViews>
    <sheetView workbookViewId="0"/>
  </sheetViews>
  <sheetFormatPr baseColWidth="10" defaultRowHeight="16"/>
  <cols>
    <col min="8" max="8" width="12.33203125" customWidth="1"/>
    <col min="11" max="11" width="30.5" bestFit="1" customWidth="1"/>
  </cols>
  <sheetData>
    <row r="1" spans="1:12">
      <c r="A1" t="s">
        <v>40</v>
      </c>
    </row>
    <row r="4" spans="1:12">
      <c r="K4" s="99" t="s">
        <v>116</v>
      </c>
      <c r="L4" s="99"/>
    </row>
    <row r="5" spans="1:12">
      <c r="K5" s="13"/>
      <c r="L5" s="13">
        <v>2018</v>
      </c>
    </row>
    <row r="6" spans="1:12">
      <c r="K6" s="13" t="s">
        <v>41</v>
      </c>
      <c r="L6" s="25">
        <v>0.43</v>
      </c>
    </row>
    <row r="7" spans="1:12">
      <c r="K7" s="13" t="s">
        <v>42</v>
      </c>
      <c r="L7" s="25">
        <v>0.3</v>
      </c>
    </row>
    <row r="8" spans="1:12">
      <c r="K8" s="13" t="s">
        <v>43</v>
      </c>
      <c r="L8" s="25">
        <v>0.28000000000000003</v>
      </c>
    </row>
    <row r="9" spans="1:12">
      <c r="K9" s="13" t="s">
        <v>44</v>
      </c>
      <c r="L9" s="25">
        <v>0.25</v>
      </c>
    </row>
    <row r="10" spans="1:12">
      <c r="K10" s="13" t="s">
        <v>45</v>
      </c>
      <c r="L10" s="25">
        <v>0.24</v>
      </c>
    </row>
  </sheetData>
  <mergeCells count="1">
    <mergeCell ref="K4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6AD6-41B2-1447-B2CD-38729358C988}">
  <dimension ref="A1:L17"/>
  <sheetViews>
    <sheetView zoomScale="75" workbookViewId="0"/>
  </sheetViews>
  <sheetFormatPr baseColWidth="10" defaultRowHeight="16"/>
  <sheetData>
    <row r="1" spans="1:12">
      <c r="A1" t="s">
        <v>159</v>
      </c>
    </row>
    <row r="5" spans="1:12">
      <c r="L5" t="s">
        <v>160</v>
      </c>
    </row>
    <row r="6" spans="1:12">
      <c r="K6" s="13">
        <v>2016</v>
      </c>
      <c r="L6" s="74">
        <v>2.5</v>
      </c>
    </row>
    <row r="7" spans="1:12">
      <c r="K7" s="13">
        <v>2017</v>
      </c>
      <c r="L7" s="74">
        <v>2.7</v>
      </c>
    </row>
    <row r="8" spans="1:12">
      <c r="K8" s="13">
        <v>2018</v>
      </c>
      <c r="L8" s="74">
        <v>2.9</v>
      </c>
    </row>
    <row r="9" spans="1:12">
      <c r="K9" s="13">
        <v>2019</v>
      </c>
      <c r="L9" s="74">
        <v>3.2</v>
      </c>
    </row>
    <row r="10" spans="1:12">
      <c r="K10" s="13">
        <v>2020</v>
      </c>
      <c r="L10" s="74">
        <v>3.5</v>
      </c>
    </row>
    <row r="11" spans="1:12">
      <c r="K11" s="13">
        <v>2021</v>
      </c>
      <c r="L11" s="74">
        <v>3.8</v>
      </c>
    </row>
    <row r="12" spans="1:12">
      <c r="K12" s="14">
        <v>2022</v>
      </c>
      <c r="L12" s="75">
        <f>_xlfn.FORECAST.ETS(K12,$L$6:$L$11,$K$6:$K$11,1,1)</f>
        <v>4.065480534521889</v>
      </c>
    </row>
    <row r="13" spans="1:12">
      <c r="K13" s="14">
        <v>2023</v>
      </c>
      <c r="L13" s="75">
        <f t="shared" ref="L13:L17" si="0">_xlfn.FORECAST.ETS(K13,$L$6:$L$11,$K$6:$K$11,1,1)</f>
        <v>4.3344068806969789</v>
      </c>
    </row>
    <row r="14" spans="1:12">
      <c r="K14" s="14">
        <v>2024</v>
      </c>
      <c r="L14" s="75">
        <f t="shared" si="0"/>
        <v>4.6033332268720697</v>
      </c>
    </row>
    <row r="15" spans="1:12">
      <c r="K15" s="14">
        <v>2025</v>
      </c>
      <c r="L15" s="75">
        <f t="shared" si="0"/>
        <v>4.8722595730471596</v>
      </c>
    </row>
    <row r="16" spans="1:12">
      <c r="K16" s="14">
        <v>2026</v>
      </c>
      <c r="L16" s="75">
        <f t="shared" si="0"/>
        <v>5.1411859192222504</v>
      </c>
    </row>
    <row r="17" spans="11:12">
      <c r="K17" s="14">
        <v>2027</v>
      </c>
      <c r="L17" s="75">
        <f t="shared" si="0"/>
        <v>5.4101122653973404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7A29-C237-214B-BB79-393641E3F54F}">
  <dimension ref="A1:L35"/>
  <sheetViews>
    <sheetView workbookViewId="0"/>
  </sheetViews>
  <sheetFormatPr baseColWidth="10" defaultRowHeight="16"/>
  <cols>
    <col min="11" max="11" width="11.5" bestFit="1" customWidth="1"/>
    <col min="12" max="12" width="21.5" bestFit="1" customWidth="1"/>
  </cols>
  <sheetData>
    <row r="1" spans="1:12">
      <c r="A1" s="3" t="s">
        <v>46</v>
      </c>
    </row>
    <row r="3" spans="1:12">
      <c r="J3" s="13"/>
      <c r="K3" s="13" t="s">
        <v>119</v>
      </c>
    </row>
    <row r="4" spans="1:12">
      <c r="J4" s="13">
        <v>2012</v>
      </c>
      <c r="K4" s="16">
        <v>0.53100000000000003</v>
      </c>
    </row>
    <row r="5" spans="1:12">
      <c r="J5" s="13">
        <v>2013</v>
      </c>
      <c r="K5" s="16">
        <v>0.53200000000000003</v>
      </c>
      <c r="L5" s="2"/>
    </row>
    <row r="6" spans="1:12">
      <c r="J6" s="13">
        <v>2014</v>
      </c>
      <c r="K6" s="16">
        <v>0.53500000000000003</v>
      </c>
      <c r="L6" s="2"/>
    </row>
    <row r="7" spans="1:12">
      <c r="J7" s="13">
        <v>2015</v>
      </c>
      <c r="K7" s="16">
        <v>0.53700000000000003</v>
      </c>
      <c r="L7" s="2"/>
    </row>
    <row r="8" spans="1:12">
      <c r="J8" s="13">
        <v>2016</v>
      </c>
      <c r="K8" s="16">
        <v>0.54100000000000004</v>
      </c>
      <c r="L8" s="2"/>
    </row>
    <row r="9" spans="1:12">
      <c r="J9" s="13">
        <v>2017</v>
      </c>
      <c r="K9" s="16">
        <v>0.54600000000000004</v>
      </c>
      <c r="L9" s="2"/>
    </row>
    <row r="10" spans="1:12">
      <c r="J10" s="13">
        <v>2018</v>
      </c>
      <c r="K10" s="16">
        <v>0.54900000000000004</v>
      </c>
      <c r="L10" s="2"/>
    </row>
    <row r="11" spans="1:12">
      <c r="J11" s="13">
        <v>2019</v>
      </c>
      <c r="K11" s="16">
        <v>0.55400000000000005</v>
      </c>
      <c r="L11" s="2"/>
    </row>
    <row r="12" spans="1:12">
      <c r="J12" s="13">
        <v>2020</v>
      </c>
      <c r="K12" s="16">
        <v>0.55578571428571399</v>
      </c>
      <c r="L12" s="2"/>
    </row>
    <row r="25" spans="10:11">
      <c r="J25" s="13"/>
      <c r="K25" s="13" t="s">
        <v>120</v>
      </c>
    </row>
    <row r="26" spans="10:11">
      <c r="J26" s="13">
        <v>2011</v>
      </c>
      <c r="K26" s="16">
        <v>0.58399999999999996</v>
      </c>
    </row>
    <row r="27" spans="10:11">
      <c r="J27" s="13">
        <v>2012</v>
      </c>
      <c r="K27" s="16">
        <v>0.58599999999999997</v>
      </c>
    </row>
    <row r="28" spans="10:11">
      <c r="J28" s="13">
        <v>2013</v>
      </c>
      <c r="K28" s="16">
        <v>0.58599999999999997</v>
      </c>
    </row>
    <row r="29" spans="10:11">
      <c r="J29" s="13">
        <v>2014</v>
      </c>
      <c r="K29" s="16">
        <v>0.59</v>
      </c>
    </row>
    <row r="30" spans="10:11">
      <c r="J30" s="13">
        <v>2015</v>
      </c>
      <c r="K30" s="16">
        <v>0.59299999999999997</v>
      </c>
    </row>
    <row r="31" spans="10:11">
      <c r="J31" s="13">
        <v>2016</v>
      </c>
      <c r="K31" s="16">
        <v>0.59699999999999998</v>
      </c>
    </row>
    <row r="32" spans="10:11">
      <c r="J32" s="13">
        <v>2017</v>
      </c>
      <c r="K32" s="16">
        <v>0.60099999999999998</v>
      </c>
    </row>
    <row r="33" spans="10:11">
      <c r="J33" s="13">
        <v>2018</v>
      </c>
      <c r="K33" s="16">
        <v>0.60399999999999998</v>
      </c>
    </row>
    <row r="34" spans="10:11">
      <c r="J34" s="13">
        <v>2019</v>
      </c>
      <c r="K34" s="16">
        <v>0.60799999999999998</v>
      </c>
    </row>
    <row r="35" spans="10:11">
      <c r="J35" s="19"/>
      <c r="K35" s="28"/>
    </row>
  </sheetData>
  <hyperlinks>
    <hyperlink ref="A1" r:id="rId1" xr:uid="{29DED506-347A-4D48-96AF-9E31C89D3E45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E1AC-786C-F344-918A-82F2E32CA048}">
  <dimension ref="A1:E19"/>
  <sheetViews>
    <sheetView workbookViewId="0"/>
  </sheetViews>
  <sheetFormatPr baseColWidth="10" defaultRowHeight="16"/>
  <sheetData>
    <row r="1" spans="1:5">
      <c r="A1" t="s">
        <v>47</v>
      </c>
    </row>
    <row r="7" spans="1:5">
      <c r="C7" s="99" t="s">
        <v>117</v>
      </c>
      <c r="D7" s="99"/>
      <c r="E7" s="99"/>
    </row>
    <row r="8" spans="1:5">
      <c r="C8" s="13"/>
      <c r="D8" s="13" t="s">
        <v>48</v>
      </c>
      <c r="E8" s="13" t="s">
        <v>49</v>
      </c>
    </row>
    <row r="9" spans="1:5">
      <c r="C9" s="13">
        <v>2010</v>
      </c>
      <c r="D9" s="16">
        <v>0.86599999999999999</v>
      </c>
      <c r="E9" s="16">
        <v>0.876</v>
      </c>
    </row>
    <row r="10" spans="1:5">
      <c r="C10" s="13">
        <v>2011</v>
      </c>
      <c r="D10" s="16">
        <v>0.871</v>
      </c>
      <c r="E10" s="16">
        <v>0.88</v>
      </c>
    </row>
    <row r="11" spans="1:5">
      <c r="C11" s="13">
        <v>2012</v>
      </c>
      <c r="D11" s="16">
        <v>0.873</v>
      </c>
      <c r="E11" s="16">
        <v>0.88</v>
      </c>
    </row>
    <row r="12" spans="1:5">
      <c r="C12" s="13">
        <v>2013</v>
      </c>
      <c r="D12" s="16">
        <v>0.876</v>
      </c>
      <c r="E12" s="16">
        <v>0.88600000000000001</v>
      </c>
    </row>
    <row r="13" spans="1:5">
      <c r="C13" s="13">
        <v>2014</v>
      </c>
      <c r="D13" s="16">
        <v>0.877</v>
      </c>
      <c r="E13" s="16">
        <v>0.88900000000000001</v>
      </c>
    </row>
    <row r="14" spans="1:5">
      <c r="C14" s="13">
        <v>2015</v>
      </c>
      <c r="D14" s="16">
        <v>0.88</v>
      </c>
      <c r="E14" s="16">
        <v>0.88800000000000001</v>
      </c>
    </row>
    <row r="15" spans="1:5">
      <c r="C15" s="13">
        <v>2016</v>
      </c>
      <c r="D15" s="16">
        <v>0.88500000000000001</v>
      </c>
      <c r="E15" s="16">
        <v>0.89600000000000002</v>
      </c>
    </row>
    <row r="16" spans="1:5">
      <c r="C16" s="13">
        <v>2017</v>
      </c>
      <c r="D16" s="16">
        <v>0.89100000000000001</v>
      </c>
      <c r="E16" s="16">
        <v>0.9</v>
      </c>
    </row>
    <row r="17" spans="3:5">
      <c r="C17" s="13">
        <v>2018</v>
      </c>
      <c r="D17" s="16">
        <v>0.89400000000000002</v>
      </c>
      <c r="E17" s="16">
        <v>0.90200000000000002</v>
      </c>
    </row>
    <row r="18" spans="3:5">
      <c r="C18" s="13">
        <v>2019</v>
      </c>
      <c r="D18" s="16">
        <v>0.89588888888888896</v>
      </c>
      <c r="E18" s="16">
        <v>0.90505555555555595</v>
      </c>
    </row>
    <row r="19" spans="3:5">
      <c r="C19" s="13">
        <v>2020</v>
      </c>
      <c r="D19" s="16">
        <v>0.89922222222222203</v>
      </c>
      <c r="E19" s="16">
        <v>0.90835555555555603</v>
      </c>
    </row>
  </sheetData>
  <mergeCells count="1">
    <mergeCell ref="C7:E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6615-56B9-424E-831D-81A7613F79CC}">
  <sheetPr>
    <outlinePr summaryBelow="0"/>
  </sheetPr>
  <dimension ref="A1:AMK144"/>
  <sheetViews>
    <sheetView showGridLines="0" zoomScaleNormal="100" workbookViewId="0">
      <pane xSplit="3" ySplit="9" topLeftCell="D10" activePane="bottomRight" state="frozen"/>
      <selection pane="topRight"/>
      <selection pane="bottomLeft"/>
      <selection pane="bottomRight" activeCell="C4" sqref="C4"/>
    </sheetView>
  </sheetViews>
  <sheetFormatPr baseColWidth="10" defaultColWidth="8.83203125" defaultRowHeight="15" outlineLevelRow="3" outlineLevelCol="1"/>
  <cols>
    <col min="1" max="1" width="1" style="37" customWidth="1" collapsed="1"/>
    <col min="2" max="2" width="2" style="37" customWidth="1" collapsed="1"/>
    <col min="3" max="3" width="50.6640625" style="37" customWidth="1" collapsed="1"/>
    <col min="4" max="10" width="12.6640625" style="37" customWidth="1" outlineLevel="1"/>
    <col min="11" max="11" width="10.6640625" style="37" customWidth="1" outlineLevel="1" collapsed="1"/>
    <col min="12" max="12" width="2.6640625" style="37" customWidth="1"/>
    <col min="13" max="19" width="14.6640625" style="37" customWidth="1" collapsed="1"/>
    <col min="20" max="20" width="2" style="37" customWidth="1" collapsed="1"/>
    <col min="21" max="1025" width="14.6640625" style="37" customWidth="1" collapsed="1"/>
    <col min="1026" max="16384" width="8.83203125" style="37"/>
  </cols>
  <sheetData>
    <row r="1" spans="1:42" ht="6.5" customHeight="1">
      <c r="A1" s="38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ht="39.75" customHeight="1">
      <c r="A2" s="41"/>
      <c r="U2" s="40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ht="18.75" customHeight="1">
      <c r="A3" s="41"/>
      <c r="C3" s="64" t="s">
        <v>153</v>
      </c>
      <c r="U3" s="40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2" ht="21">
      <c r="A4" s="41"/>
      <c r="C4" s="62" t="s">
        <v>152</v>
      </c>
      <c r="D4" s="63" t="s">
        <v>151</v>
      </c>
      <c r="E4" s="47"/>
      <c r="F4" s="47"/>
      <c r="G4" s="47"/>
      <c r="H4" s="47"/>
      <c r="I4" s="47"/>
      <c r="J4" s="47"/>
      <c r="K4" s="47"/>
      <c r="U4" s="40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2">
      <c r="A5" s="41"/>
      <c r="C5" s="62" t="s">
        <v>150</v>
      </c>
      <c r="D5" s="101" t="s">
        <v>149</v>
      </c>
      <c r="E5" s="101" t="s">
        <v>148</v>
      </c>
      <c r="F5" s="101" t="s">
        <v>147</v>
      </c>
      <c r="G5" s="101" t="s">
        <v>146</v>
      </c>
      <c r="H5" s="101" t="s">
        <v>145</v>
      </c>
      <c r="I5" s="101" t="s">
        <v>144</v>
      </c>
      <c r="J5" s="101" t="s">
        <v>143</v>
      </c>
      <c r="K5" s="101" t="s">
        <v>142</v>
      </c>
      <c r="M5" s="61" t="s">
        <v>141</v>
      </c>
      <c r="N5" s="61" t="s">
        <v>140</v>
      </c>
      <c r="O5" s="61" t="s">
        <v>139</v>
      </c>
      <c r="P5" s="61" t="s">
        <v>138</v>
      </c>
      <c r="Q5" s="61" t="s">
        <v>137</v>
      </c>
      <c r="R5" s="61" t="s">
        <v>136</v>
      </c>
      <c r="S5" s="61" t="s">
        <v>135</v>
      </c>
      <c r="U5" s="40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</row>
    <row r="6" spans="1:42">
      <c r="A6" s="41"/>
      <c r="C6" s="60" t="s">
        <v>134</v>
      </c>
      <c r="D6" s="102"/>
      <c r="E6" s="102"/>
      <c r="F6" s="102"/>
      <c r="G6" s="102"/>
      <c r="H6" s="102"/>
      <c r="I6" s="102"/>
      <c r="J6" s="102"/>
      <c r="K6" s="102"/>
      <c r="U6" s="40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</row>
    <row r="7" spans="1:42">
      <c r="A7" s="41"/>
      <c r="D7" s="47"/>
      <c r="E7" s="47"/>
      <c r="F7" s="47"/>
      <c r="G7" s="47"/>
      <c r="H7" s="47"/>
      <c r="I7" s="47"/>
      <c r="J7" s="47"/>
      <c r="K7" s="47"/>
      <c r="U7" s="40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</row>
    <row r="8" spans="1:42">
      <c r="A8" s="41"/>
      <c r="D8" s="47"/>
      <c r="E8" s="47"/>
      <c r="F8" s="47"/>
      <c r="G8" s="47"/>
      <c r="H8" s="47"/>
      <c r="I8" s="47"/>
      <c r="J8" s="47"/>
      <c r="K8" s="47"/>
      <c r="M8" s="59" t="s">
        <v>133</v>
      </c>
      <c r="N8" s="59" t="s">
        <v>133</v>
      </c>
      <c r="O8" s="59" t="s">
        <v>132</v>
      </c>
      <c r="P8" s="59" t="s">
        <v>132</v>
      </c>
      <c r="Q8" s="59" t="s">
        <v>132</v>
      </c>
      <c r="R8" s="59" t="s">
        <v>132</v>
      </c>
      <c r="S8" s="59" t="s">
        <v>131</v>
      </c>
      <c r="U8" s="40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</row>
    <row r="9" spans="1:42">
      <c r="A9" s="41"/>
      <c r="D9" s="47"/>
      <c r="E9" s="47"/>
      <c r="F9" s="47"/>
      <c r="G9" s="47"/>
      <c r="H9" s="47"/>
      <c r="I9" s="47"/>
      <c r="J9" s="47"/>
      <c r="K9" s="47"/>
      <c r="U9" s="40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</row>
    <row r="10" spans="1:42">
      <c r="A10" s="41">
        <v>1</v>
      </c>
      <c r="C10" s="47" t="str">
        <f>IF(SUBTOTAL(109,A10)=A10,"Gross Profit","Gross Profit")</f>
        <v>Gross Profit</v>
      </c>
      <c r="D10" s="54" t="str">
        <f t="shared" ref="D10:D41" si="0">IF(COUNT(M10:S10)&gt;0,MEDIAN(M10:S10),"")</f>
        <v/>
      </c>
      <c r="E10" s="54" t="str">
        <f t="shared" ref="E10:E41" si="1">IF(COUNT(M10:S10)&gt;0,AVERAGE(M10:S10),"")</f>
        <v/>
      </c>
      <c r="F10" s="54" t="str">
        <f t="shared" ref="F10:F41" si="2">IF(COUNT(M10:S10)&gt;0,MIN(M10:S10),"")</f>
        <v/>
      </c>
      <c r="G10" s="54" t="str">
        <f t="shared" ref="G10:G41" si="3">IF(COUNT(M10:S10)&gt;0,MAX(M10:S10),"")</f>
        <v/>
      </c>
      <c r="H10" s="54" t="str">
        <f t="shared" ref="H10:H41" si="4">IF(COUNT(M10:S10)&gt;0,QUARTILE(M10:S10,1),"")</f>
        <v/>
      </c>
      <c r="I10" s="54" t="str">
        <f t="shared" ref="I10:I41" si="5">IF(COUNT(M10:S10)&gt;0,QUARTILE(M10:S10,3),"")</f>
        <v/>
      </c>
      <c r="J10" s="54" t="str">
        <f t="shared" ref="J10:J41" si="6">IF(COUNT(M10:S10)&gt;1,STDEV(M10:S10),"")</f>
        <v/>
      </c>
      <c r="K10" s="46" t="str">
        <f t="shared" ref="K10:K41" si="7">IF(COUNT(M10:S10)&gt;1,STDEV(M10:S10)/AVERAGE(M10:S10),"")</f>
        <v/>
      </c>
      <c r="L10" s="54"/>
      <c r="M10" s="54" t="str">
        <f>IF(SUBTOTAL(109,A10)=A10,"",409719.026303999)</f>
        <v/>
      </c>
      <c r="N10" s="54" t="str">
        <f>IF(SUBTOTAL(109,A10)=A10,"",315886.8176833)</f>
        <v/>
      </c>
      <c r="O10" s="54" t="str">
        <f>IF(SUBTOTAL(109,A10)=A10,"",235277.2001742)</f>
        <v/>
      </c>
      <c r="P10" s="54" t="str">
        <f>IF(SUBTOTAL(109,A10)=A10,"",151787.675397743)</f>
        <v/>
      </c>
      <c r="Q10" s="54" t="str">
        <f>IF(SUBTOTAL(109,A10)=A10,"",94277.679740575)</f>
        <v/>
      </c>
      <c r="R10" s="54" t="str">
        <f>IF(SUBTOTAL(109,A10)=A10,"",43516.760717815)</f>
        <v/>
      </c>
      <c r="S10" s="54" t="str">
        <f>IF(SUBTOTAL(109,A10)=A10,"","")</f>
        <v/>
      </c>
      <c r="U10" s="40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</row>
    <row r="11" spans="1:42" outlineLevel="1">
      <c r="A11" s="41">
        <v>1</v>
      </c>
      <c r="C11" s="45" t="str">
        <f>IF(SUBTOTAL(109,A11)=A11,"    Revenue","    Total Revenue")</f>
        <v xml:space="preserve">    Revenue</v>
      </c>
      <c r="D11" s="50" t="str">
        <f t="shared" si="0"/>
        <v/>
      </c>
      <c r="E11" s="50" t="str">
        <f t="shared" si="1"/>
        <v/>
      </c>
      <c r="F11" s="50" t="str">
        <f t="shared" si="2"/>
        <v/>
      </c>
      <c r="G11" s="50" t="str">
        <f t="shared" si="3"/>
        <v/>
      </c>
      <c r="H11" s="50" t="str">
        <f t="shared" si="4"/>
        <v/>
      </c>
      <c r="I11" s="50" t="str">
        <f t="shared" si="5"/>
        <v/>
      </c>
      <c r="J11" s="50" t="str">
        <f t="shared" si="6"/>
        <v/>
      </c>
      <c r="K11" s="49" t="str">
        <f t="shared" si="7"/>
        <v/>
      </c>
      <c r="L11" s="48"/>
      <c r="M11" s="48" t="str">
        <f>IF(SUBTOTAL(109,A11)=A11,"",784862.109432)</f>
        <v/>
      </c>
      <c r="N11" s="48" t="str">
        <f>IF(SUBTOTAL(109,A11)=A11,"",511666.7232521)</f>
        <v/>
      </c>
      <c r="O11" s="48" t="str">
        <f>IF(SUBTOTAL(109,A11)=A11,"",320671.6517654)</f>
        <v/>
      </c>
      <c r="P11" s="48" t="str">
        <f>IF(SUBTOTAL(109,A11)=A11,"",184321.925769119)</f>
        <v/>
      </c>
      <c r="Q11" s="48" t="str">
        <f>IF(SUBTOTAL(109,A11)=A11,"",116739.842649149)</f>
        <v/>
      </c>
      <c r="R11" s="48" t="str">
        <f>IF(SUBTOTAL(109,A11)=A11,"",55310.9857465549)</f>
        <v/>
      </c>
      <c r="S11" s="48" t="str">
        <f>IF(SUBTOTAL(109,A11)=A11,"","")</f>
        <v/>
      </c>
      <c r="U11" s="40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</row>
    <row r="12" spans="1:42" outlineLevel="2">
      <c r="A12" s="41">
        <v>1</v>
      </c>
      <c r="C12" s="45" t="str">
        <f>"        Business Revenue"</f>
        <v xml:space="preserve">        Business Revenue</v>
      </c>
      <c r="D12" s="50">
        <f t="shared" si="0"/>
        <v>229078.83978741002</v>
      </c>
      <c r="E12" s="50">
        <f t="shared" si="1"/>
        <v>318343.03336182149</v>
      </c>
      <c r="F12" s="50">
        <f t="shared" si="2"/>
        <v>50736.143395244995</v>
      </c>
      <c r="G12" s="50">
        <f t="shared" si="3"/>
        <v>803153.13739199995</v>
      </c>
      <c r="H12" s="50">
        <f t="shared" si="4"/>
        <v>125572.095675003</v>
      </c>
      <c r="I12" s="50">
        <f t="shared" si="5"/>
        <v>437475.75407535001</v>
      </c>
      <c r="J12" s="50">
        <f t="shared" si="6"/>
        <v>283254.6125929039</v>
      </c>
      <c r="K12" s="49">
        <f t="shared" si="7"/>
        <v>0.88977795305155338</v>
      </c>
      <c r="L12" s="48"/>
      <c r="M12" s="48">
        <v>803153.13739199995</v>
      </c>
      <c r="N12" s="48">
        <v>486292.02350960003</v>
      </c>
      <c r="O12" s="48">
        <v>291026.94577260001</v>
      </c>
      <c r="P12" s="48">
        <v>167130.73380222003</v>
      </c>
      <c r="Q12" s="48">
        <v>111719.21629926399</v>
      </c>
      <c r="R12" s="48">
        <v>50736.143395244995</v>
      </c>
      <c r="S12" s="48" t="s">
        <v>130</v>
      </c>
      <c r="U12" s="40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</row>
    <row r="13" spans="1:42" outlineLevel="2">
      <c r="A13" s="41">
        <v>1</v>
      </c>
      <c r="C13" s="45" t="str">
        <f>"        Sales Return and Allowances/Discounts"</f>
        <v xml:space="preserve">        Sales Return and Allowances/Discounts</v>
      </c>
      <c r="D13" s="50">
        <f t="shared" si="0"/>
        <v>-48382.719119999994</v>
      </c>
      <c r="E13" s="50">
        <f t="shared" si="1"/>
        <v>-48382.719119999994</v>
      </c>
      <c r="F13" s="50">
        <f t="shared" si="2"/>
        <v>-48382.719119999994</v>
      </c>
      <c r="G13" s="50">
        <f t="shared" si="3"/>
        <v>-48382.719119999994</v>
      </c>
      <c r="H13" s="50">
        <f t="shared" si="4"/>
        <v>-48382.719119999994</v>
      </c>
      <c r="I13" s="50">
        <f t="shared" si="5"/>
        <v>-48382.719119999994</v>
      </c>
      <c r="J13" s="50" t="str">
        <f t="shared" si="6"/>
        <v/>
      </c>
      <c r="K13" s="49" t="str">
        <f t="shared" si="7"/>
        <v/>
      </c>
      <c r="L13" s="48"/>
      <c r="M13" s="48">
        <v>-48382.719119999994</v>
      </c>
      <c r="N13" s="48" t="s">
        <v>130</v>
      </c>
      <c r="O13" s="48" t="s">
        <v>130</v>
      </c>
      <c r="P13" s="48" t="s">
        <v>130</v>
      </c>
      <c r="Q13" s="48" t="s">
        <v>130</v>
      </c>
      <c r="R13" s="48" t="s">
        <v>130</v>
      </c>
      <c r="S13" s="48" t="s">
        <v>130</v>
      </c>
      <c r="U13" s="40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</row>
    <row r="14" spans="1:42" outlineLevel="2">
      <c r="A14" s="41">
        <v>1</v>
      </c>
      <c r="C14" s="45" t="str">
        <f>"        Other Revenue"</f>
        <v xml:space="preserve">        Other Revenue</v>
      </c>
      <c r="D14" s="50">
        <f t="shared" si="0"/>
        <v>21282.945854699501</v>
      </c>
      <c r="E14" s="50">
        <f t="shared" si="1"/>
        <v>18649.626260565667</v>
      </c>
      <c r="F14" s="50">
        <f t="shared" si="2"/>
        <v>4574.8423513099997</v>
      </c>
      <c r="G14" s="50">
        <f t="shared" si="3"/>
        <v>30091.691159999995</v>
      </c>
      <c r="H14" s="50">
        <f t="shared" si="4"/>
        <v>8063.2677541385001</v>
      </c>
      <c r="I14" s="50">
        <f t="shared" si="5"/>
        <v>28577.204430225</v>
      </c>
      <c r="J14" s="50">
        <f t="shared" si="6"/>
        <v>11687.732475249351</v>
      </c>
      <c r="K14" s="49">
        <f t="shared" si="7"/>
        <v>0.62670062723792341</v>
      </c>
      <c r="L14" s="48"/>
      <c r="M14" s="48">
        <v>30091.691159999995</v>
      </c>
      <c r="N14" s="48">
        <v>25374.699742500001</v>
      </c>
      <c r="O14" s="48">
        <v>29644.705992799998</v>
      </c>
      <c r="P14" s="48">
        <v>17191.191966899001</v>
      </c>
      <c r="Q14" s="48">
        <v>5020.6263498850003</v>
      </c>
      <c r="R14" s="48">
        <v>4574.8423513099997</v>
      </c>
      <c r="S14" s="48" t="s">
        <v>130</v>
      </c>
      <c r="U14" s="40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</row>
    <row r="15" spans="1:42" outlineLevel="2">
      <c r="A15" s="41">
        <v>1</v>
      </c>
      <c r="C15" s="58" t="str">
        <f>"        Total Revenue"</f>
        <v xml:space="preserve">        Total Revenue</v>
      </c>
      <c r="D15" s="56">
        <f t="shared" si="0"/>
        <v>252496.78876725951</v>
      </c>
      <c r="E15" s="56">
        <f t="shared" si="1"/>
        <v>328928.87310238724</v>
      </c>
      <c r="F15" s="56">
        <f t="shared" si="2"/>
        <v>55310.985746554994</v>
      </c>
      <c r="G15" s="56">
        <f t="shared" si="3"/>
        <v>784862.10943199997</v>
      </c>
      <c r="H15" s="56">
        <f t="shared" si="4"/>
        <v>133635.36342914149</v>
      </c>
      <c r="I15" s="56">
        <f t="shared" si="5"/>
        <v>463917.95538042503</v>
      </c>
      <c r="J15" s="56">
        <f t="shared" si="6"/>
        <v>276455.61007667828</v>
      </c>
      <c r="K15" s="55">
        <f t="shared" si="7"/>
        <v>0.84047231083488572</v>
      </c>
      <c r="L15" s="57"/>
      <c r="M15" s="57">
        <v>784862.10943199997</v>
      </c>
      <c r="N15" s="57">
        <v>511666.72325210006</v>
      </c>
      <c r="O15" s="57">
        <v>320671.65176540002</v>
      </c>
      <c r="P15" s="57">
        <v>184321.92576911903</v>
      </c>
      <c r="Q15" s="57">
        <v>116739.842649149</v>
      </c>
      <c r="R15" s="57">
        <v>55310.985746554994</v>
      </c>
      <c r="S15" s="57" t="s">
        <v>130</v>
      </c>
      <c r="U15" s="40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</row>
    <row r="16" spans="1:42" outlineLevel="1">
      <c r="A16" s="41">
        <v>1</v>
      </c>
      <c r="C16" s="45" t="str">
        <f>IF(SUBTOTAL(109,A16)=A16,"    Cost of Revenue","    Cost of Revenue")</f>
        <v xml:space="preserve">    Cost of Revenue</v>
      </c>
      <c r="D16" s="50" t="str">
        <f t="shared" si="0"/>
        <v/>
      </c>
      <c r="E16" s="50" t="str">
        <f t="shared" si="1"/>
        <v/>
      </c>
      <c r="F16" s="50" t="str">
        <f t="shared" si="2"/>
        <v/>
      </c>
      <c r="G16" s="50" t="str">
        <f t="shared" si="3"/>
        <v/>
      </c>
      <c r="H16" s="50" t="str">
        <f t="shared" si="4"/>
        <v/>
      </c>
      <c r="I16" s="50" t="str">
        <f t="shared" si="5"/>
        <v/>
      </c>
      <c r="J16" s="50" t="str">
        <f t="shared" si="6"/>
        <v/>
      </c>
      <c r="K16" s="49" t="str">
        <f t="shared" si="7"/>
        <v/>
      </c>
      <c r="L16" s="48"/>
      <c r="M16" s="48" t="str">
        <f>IF(SUBTOTAL(109,A16)=A16,"",375143.083127999)</f>
        <v/>
      </c>
      <c r="N16" s="48" t="str">
        <f>IF(SUBTOTAL(109,A16)=A16,"",195779.9055688)</f>
        <v/>
      </c>
      <c r="O16" s="48" t="str">
        <f>IF(SUBTOTAL(109,A16)=A16,"",85394.4515911999)</f>
        <v/>
      </c>
      <c r="P16" s="48" t="str">
        <f>IF(SUBTOTAL(109,A16)=A16,"",32534.250371376)</f>
        <v/>
      </c>
      <c r="Q16" s="48" t="str">
        <f>IF(SUBTOTAL(109,A16)=A16,"",22462.162908574)</f>
        <v/>
      </c>
      <c r="R16" s="48" t="str">
        <f>IF(SUBTOTAL(109,A16)=A16,"",11794.22502874)</f>
        <v/>
      </c>
      <c r="S16" s="48" t="str">
        <f>IF(SUBTOTAL(109,A16)=A16,"","")</f>
        <v/>
      </c>
      <c r="U16" s="40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</row>
    <row r="17" spans="1:42" outlineLevel="2">
      <c r="A17" s="41">
        <v>1</v>
      </c>
      <c r="C17" s="45" t="str">
        <f>"        Cost of Goods and Services"</f>
        <v xml:space="preserve">        Cost of Goods and Services</v>
      </c>
      <c r="D17" s="50">
        <f t="shared" si="0"/>
        <v>41108.350705764497</v>
      </c>
      <c r="E17" s="50">
        <f t="shared" si="1"/>
        <v>96146.603957913161</v>
      </c>
      <c r="F17" s="50">
        <f t="shared" si="2"/>
        <v>2482.5755069499996</v>
      </c>
      <c r="G17" s="50">
        <f t="shared" si="3"/>
        <v>328058.43695999996</v>
      </c>
      <c r="H17" s="50">
        <f t="shared" si="4"/>
        <v>6863.5485191822509</v>
      </c>
      <c r="I17" s="50">
        <f t="shared" si="5"/>
        <v>136782.05923545</v>
      </c>
      <c r="J17" s="50">
        <f t="shared" si="6"/>
        <v>128463.74917100326</v>
      </c>
      <c r="K17" s="49">
        <f t="shared" si="7"/>
        <v>1.3361236266570213</v>
      </c>
      <c r="L17" s="48"/>
      <c r="M17" s="48">
        <v>328058.43695999996</v>
      </c>
      <c r="N17" s="48">
        <v>160142.549486</v>
      </c>
      <c r="O17" s="48">
        <v>66700.588483799991</v>
      </c>
      <c r="P17" s="48">
        <v>15516.112927729002</v>
      </c>
      <c r="Q17" s="48">
        <v>3979.3603830000002</v>
      </c>
      <c r="R17" s="48">
        <v>2482.5755069499996</v>
      </c>
      <c r="S17" s="48" t="s">
        <v>130</v>
      </c>
      <c r="U17" s="40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</row>
    <row r="18" spans="1:42" outlineLevel="2">
      <c r="A18" s="41">
        <v>1</v>
      </c>
      <c r="C18" s="45" t="str">
        <f>"        Staff Cost, Cost of Revenue"</f>
        <v xml:space="preserve">        Staff Cost, Cost of Revenue</v>
      </c>
      <c r="D18" s="50">
        <f t="shared" si="0"/>
        <v>3065.3895621724996</v>
      </c>
      <c r="E18" s="50">
        <f t="shared" si="1"/>
        <v>3065.3895621725001</v>
      </c>
      <c r="F18" s="50">
        <f t="shared" si="2"/>
        <v>64.996219589000006</v>
      </c>
      <c r="G18" s="50">
        <f t="shared" si="3"/>
        <v>6065.7829047559999</v>
      </c>
      <c r="H18" s="50">
        <f t="shared" si="4"/>
        <v>1565.1928908807499</v>
      </c>
      <c r="I18" s="50">
        <f t="shared" si="5"/>
        <v>4565.5862334642497</v>
      </c>
      <c r="J18" s="50">
        <f t="shared" si="6"/>
        <v>4243.1969575355288</v>
      </c>
      <c r="K18" s="49">
        <f t="shared" si="7"/>
        <v>1.3842276394156878</v>
      </c>
      <c r="L18" s="48"/>
      <c r="M18" s="48" t="s">
        <v>130</v>
      </c>
      <c r="N18" s="48" t="s">
        <v>130</v>
      </c>
      <c r="O18" s="48" t="s">
        <v>130</v>
      </c>
      <c r="P18" s="48">
        <v>6065.7829047559999</v>
      </c>
      <c r="Q18" s="48">
        <v>64.996219589000006</v>
      </c>
      <c r="R18" s="48" t="s">
        <v>130</v>
      </c>
      <c r="S18" s="48" t="s">
        <v>130</v>
      </c>
      <c r="U18" s="40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</row>
    <row r="19" spans="1:42" outlineLevel="2">
      <c r="A19" s="41">
        <v>1</v>
      </c>
      <c r="C19" s="45" t="str">
        <f>"        Other Cost of Revenue"</f>
        <v xml:space="preserve">        Other Cost of Revenue</v>
      </c>
      <c r="D19" s="50">
        <f t="shared" si="0"/>
        <v>18555.834706692498</v>
      </c>
      <c r="E19" s="50">
        <f t="shared" si="1"/>
        <v>23349.612620810996</v>
      </c>
      <c r="F19" s="50">
        <f t="shared" si="2"/>
        <v>9311.6495217899992</v>
      </c>
      <c r="G19" s="50">
        <f t="shared" si="3"/>
        <v>47084.646167999999</v>
      </c>
      <c r="H19" s="50">
        <f t="shared" si="4"/>
        <v>12818.7174806645</v>
      </c>
      <c r="I19" s="50">
        <f t="shared" si="5"/>
        <v>31401.482838950003</v>
      </c>
      <c r="J19" s="50">
        <f t="shared" si="6"/>
        <v>14907.015729861105</v>
      </c>
      <c r="K19" s="49">
        <f t="shared" si="7"/>
        <v>0.63842668278679748</v>
      </c>
      <c r="L19" s="48"/>
      <c r="M19" s="48">
        <v>47084.646167999999</v>
      </c>
      <c r="N19" s="48">
        <v>35637.356082800005</v>
      </c>
      <c r="O19" s="48">
        <v>18693.8631074</v>
      </c>
      <c r="P19" s="48">
        <v>10952.354538891001</v>
      </c>
      <c r="Q19" s="48">
        <v>18417.806305984999</v>
      </c>
      <c r="R19" s="48">
        <v>9311.6495217899992</v>
      </c>
      <c r="S19" s="48" t="s">
        <v>130</v>
      </c>
      <c r="U19" s="40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</row>
    <row r="20" spans="1:42" outlineLevel="2">
      <c r="A20" s="41">
        <v>1</v>
      </c>
      <c r="C20" s="58" t="str">
        <f>"        Total Cost of Revenue"</f>
        <v xml:space="preserve">        Total Cost of Revenue</v>
      </c>
      <c r="D20" s="56">
        <f t="shared" si="0"/>
        <v>58964.350981287993</v>
      </c>
      <c r="E20" s="56">
        <f t="shared" si="1"/>
        <v>120518.01309944833</v>
      </c>
      <c r="F20" s="56">
        <f t="shared" si="2"/>
        <v>11794.22502874</v>
      </c>
      <c r="G20" s="56">
        <f t="shared" si="3"/>
        <v>375143.08312799997</v>
      </c>
      <c r="H20" s="56">
        <f t="shared" si="4"/>
        <v>24980.184774274501</v>
      </c>
      <c r="I20" s="56">
        <f t="shared" si="5"/>
        <v>168183.5420744</v>
      </c>
      <c r="J20" s="56">
        <f t="shared" si="6"/>
        <v>142062.59019954974</v>
      </c>
      <c r="K20" s="55">
        <f t="shared" si="7"/>
        <v>1.1787664478199071</v>
      </c>
      <c r="L20" s="57"/>
      <c r="M20" s="57">
        <v>375143.08312799997</v>
      </c>
      <c r="N20" s="57">
        <v>195779.90556879999</v>
      </c>
      <c r="O20" s="57">
        <v>85394.451591199992</v>
      </c>
      <c r="P20" s="57">
        <v>32534.250371376002</v>
      </c>
      <c r="Q20" s="57">
        <v>22462.162908573999</v>
      </c>
      <c r="R20" s="57">
        <v>11794.22502874</v>
      </c>
      <c r="S20" s="57" t="s">
        <v>130</v>
      </c>
      <c r="U20" s="40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</row>
    <row r="21" spans="1:42" outlineLevel="1">
      <c r="A21" s="41">
        <v>1</v>
      </c>
      <c r="C21" s="47" t="str">
        <f>"    Total Gross Profit"</f>
        <v xml:space="preserve">    Total Gross Profit</v>
      </c>
      <c r="D21" s="56">
        <f t="shared" si="0"/>
        <v>193532.4377859715</v>
      </c>
      <c r="E21" s="56">
        <f t="shared" si="1"/>
        <v>208410.8600029388</v>
      </c>
      <c r="F21" s="56">
        <f t="shared" si="2"/>
        <v>43516.760717814999</v>
      </c>
      <c r="G21" s="56">
        <f t="shared" si="3"/>
        <v>409719.02630399994</v>
      </c>
      <c r="H21" s="56">
        <f t="shared" si="4"/>
        <v>108655.17865486699</v>
      </c>
      <c r="I21" s="56">
        <f t="shared" si="5"/>
        <v>295734.41330602497</v>
      </c>
      <c r="J21" s="56">
        <f t="shared" si="6"/>
        <v>138723.09929041515</v>
      </c>
      <c r="K21" s="55">
        <f t="shared" si="7"/>
        <v>0.6656231795620392</v>
      </c>
      <c r="L21" s="56"/>
      <c r="M21" s="56">
        <v>409719.02630399994</v>
      </c>
      <c r="N21" s="56">
        <v>315886.8176833</v>
      </c>
      <c r="O21" s="56">
        <v>235277.2001742</v>
      </c>
      <c r="P21" s="56">
        <v>151787.67539774301</v>
      </c>
      <c r="Q21" s="56">
        <v>94277.679740574997</v>
      </c>
      <c r="R21" s="56">
        <v>43516.760717814999</v>
      </c>
      <c r="S21" s="56" t="s">
        <v>130</v>
      </c>
      <c r="U21" s="40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</row>
    <row r="22" spans="1:42">
      <c r="A22" s="41">
        <v>1</v>
      </c>
      <c r="C22" s="47" t="str">
        <f>IF(SUBTOTAL(109,A22)=A22,"Operating (Income)/Expenses","Operating (Income)/Expenses")</f>
        <v>Operating (Income)/Expenses</v>
      </c>
      <c r="D22" s="54" t="str">
        <f t="shared" si="0"/>
        <v/>
      </c>
      <c r="E22" s="54" t="str">
        <f t="shared" si="1"/>
        <v/>
      </c>
      <c r="F22" s="54" t="str">
        <f t="shared" si="2"/>
        <v/>
      </c>
      <c r="G22" s="54" t="str">
        <f t="shared" si="3"/>
        <v/>
      </c>
      <c r="H22" s="54" t="str">
        <f t="shared" si="4"/>
        <v/>
      </c>
      <c r="I22" s="54" t="str">
        <f t="shared" si="5"/>
        <v/>
      </c>
      <c r="J22" s="54" t="str">
        <f t="shared" si="6"/>
        <v/>
      </c>
      <c r="K22" s="46" t="str">
        <f t="shared" si="7"/>
        <v/>
      </c>
      <c r="L22" s="54"/>
      <c r="M22" s="54" t="str">
        <f>IF(SUBTOTAL(109,A22)=A22,"",581536.682496)</f>
        <v/>
      </c>
      <c r="N22" s="54" t="str">
        <f>IF(SUBTOTAL(109,A22)=A22,"",509411.1943861)</f>
        <v/>
      </c>
      <c r="O22" s="54" t="str">
        <f>IF(SUBTOTAL(109,A22)=A22,"",318238.1311242)</f>
        <v/>
      </c>
      <c r="P22" s="54" t="str">
        <f>IF(SUBTOTAL(109,A22)=A22,"",289818.625520819)</f>
        <v/>
      </c>
      <c r="Q22" s="54" t="str">
        <f>IF(SUBTOTAL(109,A22)=A22,"",204097.414683687)</f>
        <v/>
      </c>
      <c r="R22" s="54" t="str">
        <f>IF(SUBTOTAL(109,A22)=A22,"",80059.7411479249)</f>
        <v/>
      </c>
      <c r="S22" s="54" t="str">
        <f>IF(SUBTOTAL(109,A22)=A22,"","")</f>
        <v/>
      </c>
      <c r="U22" s="40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</row>
    <row r="23" spans="1:42" outlineLevel="1">
      <c r="A23" s="41">
        <v>1</v>
      </c>
      <c r="C23" s="45" t="str">
        <f>IF(SUBTOTAL(109,A23)=A23,"    Selling, General and Administrative Expenses","    Selling, General and Administrative Expenses")</f>
        <v xml:space="preserve">    Selling, General and Administrative Expenses</v>
      </c>
      <c r="D23" s="50" t="str">
        <f t="shared" si="0"/>
        <v/>
      </c>
      <c r="E23" s="50" t="str">
        <f t="shared" si="1"/>
        <v/>
      </c>
      <c r="F23" s="50" t="str">
        <f t="shared" si="2"/>
        <v/>
      </c>
      <c r="G23" s="50" t="str">
        <f t="shared" si="3"/>
        <v/>
      </c>
      <c r="H23" s="50" t="str">
        <f t="shared" si="4"/>
        <v/>
      </c>
      <c r="I23" s="50" t="str">
        <f t="shared" si="5"/>
        <v/>
      </c>
      <c r="J23" s="50" t="str">
        <f t="shared" si="6"/>
        <v/>
      </c>
      <c r="K23" s="49" t="str">
        <f t="shared" si="7"/>
        <v/>
      </c>
      <c r="L23" s="48"/>
      <c r="M23" s="48" t="str">
        <f>IF(SUBTOTAL(109,A23)=A23,"",509670.643607999)</f>
        <v/>
      </c>
      <c r="N23" s="48" t="str">
        <f>IF(SUBTOTAL(109,A23)=A23,"",450880.2203134)</f>
        <v/>
      </c>
      <c r="O23" s="48" t="str">
        <f>IF(SUBTOTAL(109,A23)=A23,"",244568.824440599)</f>
        <v/>
      </c>
      <c r="P23" s="48" t="str">
        <f>IF(SUBTOTAL(109,A23)=A23,"",276118.475763369)</f>
        <v/>
      </c>
      <c r="Q23" s="48" t="str">
        <f>IF(SUBTOTAL(109,A23)=A23,"",190421.679500777)</f>
        <v/>
      </c>
      <c r="R23" s="48" t="str">
        <f>IF(SUBTOTAL(109,A23)=A23,"",77125.7882760749)</f>
        <v/>
      </c>
      <c r="S23" s="48" t="str">
        <f>IF(SUBTOTAL(109,A23)=A23,"","")</f>
        <v/>
      </c>
      <c r="U23" s="40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</row>
    <row r="24" spans="1:42" outlineLevel="2">
      <c r="A24" s="41">
        <v>1</v>
      </c>
      <c r="C24" s="45" t="str">
        <f>IF(SUBTOTAL(109,A24)=A24,"        Staff Costs","        Staff Costs")</f>
        <v xml:space="preserve">        Staff Costs</v>
      </c>
      <c r="D24" s="50" t="str">
        <f t="shared" si="0"/>
        <v/>
      </c>
      <c r="E24" s="50" t="str">
        <f t="shared" si="1"/>
        <v/>
      </c>
      <c r="F24" s="50" t="str">
        <f t="shared" si="2"/>
        <v/>
      </c>
      <c r="G24" s="50" t="str">
        <f t="shared" si="3"/>
        <v/>
      </c>
      <c r="H24" s="50" t="str">
        <f t="shared" si="4"/>
        <v/>
      </c>
      <c r="I24" s="50" t="str">
        <f t="shared" si="5"/>
        <v/>
      </c>
      <c r="J24" s="50" t="str">
        <f t="shared" si="6"/>
        <v/>
      </c>
      <c r="K24" s="49" t="str">
        <f t="shared" si="7"/>
        <v/>
      </c>
      <c r="L24" s="48"/>
      <c r="M24" s="48" t="str">
        <f>IF(SUBTOTAL(109,A24)=A24,"",179606.093903999)</f>
        <v/>
      </c>
      <c r="N24" s="48" t="str">
        <f>IF(SUBTOTAL(109,A24)=A24,"",182359.5088161)</f>
        <v/>
      </c>
      <c r="O24" s="48" t="str">
        <f>IF(SUBTOTAL(109,A24)=A24,"",46568.7359066)</f>
        <v/>
      </c>
      <c r="P24" s="48" t="str">
        <f>IF(SUBTOTAL(109,A24)=A24,"",74961.450988658)</f>
        <v/>
      </c>
      <c r="Q24" s="48" t="str">
        <f>IF(SUBTOTAL(109,A24)=A24,"",76921.03620339)</f>
        <v/>
      </c>
      <c r="R24" s="48" t="str">
        <f>IF(SUBTOTAL(109,A24)=A24,"",33913.0434893249)</f>
        <v/>
      </c>
      <c r="S24" s="48" t="str">
        <f>IF(SUBTOTAL(109,A24)=A24,"","")</f>
        <v/>
      </c>
      <c r="U24" s="40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</row>
    <row r="25" spans="1:42" outlineLevel="3">
      <c r="A25" s="41">
        <v>1</v>
      </c>
      <c r="C25" s="45" t="str">
        <f>"            Stock-Based Compensation"</f>
        <v xml:space="preserve">            Stock-Based Compensation</v>
      </c>
      <c r="D25" s="50">
        <f t="shared" si="0"/>
        <v>18887.1217454</v>
      </c>
      <c r="E25" s="50">
        <f t="shared" si="1"/>
        <v>28585.764518751999</v>
      </c>
      <c r="F25" s="50">
        <f t="shared" si="2"/>
        <v>3977.4311330599999</v>
      </c>
      <c r="G25" s="50">
        <f t="shared" si="3"/>
        <v>78379.62809350001</v>
      </c>
      <c r="H25" s="50">
        <f t="shared" si="4"/>
        <v>16707.282564191497</v>
      </c>
      <c r="I25" s="50">
        <f t="shared" si="5"/>
        <v>31273.741604872503</v>
      </c>
      <c r="J25" s="50">
        <f t="shared" si="6"/>
        <v>26323.546033995626</v>
      </c>
      <c r="K25" s="49">
        <f t="shared" si="7"/>
        <v>0.92086206113982438</v>
      </c>
      <c r="L25" s="48"/>
      <c r="M25" s="48">
        <v>20297.140704000001</v>
      </c>
      <c r="N25" s="48">
        <v>78379.62809350001</v>
      </c>
      <c r="O25" s="48">
        <v>17477.102786799998</v>
      </c>
      <c r="P25" s="48">
        <v>34932.608571830002</v>
      </c>
      <c r="Q25" s="48">
        <v>16450.675823321999</v>
      </c>
      <c r="R25" s="48">
        <v>3977.4311330599999</v>
      </c>
      <c r="S25" s="48" t="s">
        <v>130</v>
      </c>
      <c r="U25" s="40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</row>
    <row r="26" spans="1:42" outlineLevel="3">
      <c r="A26" s="41">
        <v>1</v>
      </c>
      <c r="C26" s="45" t="str">
        <f>"            Other Staff Costs"</f>
        <v xml:space="preserve">            Other Staff Costs</v>
      </c>
      <c r="D26" s="50">
        <f t="shared" si="0"/>
        <v>50249.601398448001</v>
      </c>
      <c r="E26" s="50">
        <f t="shared" si="1"/>
        <v>70469.213699260174</v>
      </c>
      <c r="F26" s="50">
        <f t="shared" si="2"/>
        <v>29091.633119799997</v>
      </c>
      <c r="G26" s="50">
        <f t="shared" si="3"/>
        <v>159308.95319999999</v>
      </c>
      <c r="H26" s="50">
        <f t="shared" si="4"/>
        <v>32458.919871405746</v>
      </c>
      <c r="I26" s="50">
        <f t="shared" si="5"/>
        <v>93102.500636967015</v>
      </c>
      <c r="J26" s="50">
        <f t="shared" si="6"/>
        <v>51763.180742419761</v>
      </c>
      <c r="K26" s="49">
        <f t="shared" si="7"/>
        <v>0.73455028125229671</v>
      </c>
      <c r="L26" s="48"/>
      <c r="M26" s="48">
        <v>159308.95319999999</v>
      </c>
      <c r="N26" s="48">
        <v>103979.88072260001</v>
      </c>
      <c r="O26" s="48">
        <v>29091.633119799997</v>
      </c>
      <c r="P26" s="48">
        <v>40028.842416827996</v>
      </c>
      <c r="Q26" s="48">
        <v>60470.360380068007</v>
      </c>
      <c r="R26" s="48">
        <v>29935.612356264995</v>
      </c>
      <c r="S26" s="48" t="s">
        <v>130</v>
      </c>
      <c r="U26" s="40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</row>
    <row r="27" spans="1:42" outlineLevel="3">
      <c r="A27" s="41">
        <v>1</v>
      </c>
      <c r="C27" s="58" t="str">
        <f>"            Total Staff Costs"</f>
        <v xml:space="preserve">            Total Staff Costs</v>
      </c>
      <c r="D27" s="56">
        <f t="shared" si="0"/>
        <v>75941.243596023996</v>
      </c>
      <c r="E27" s="56">
        <f t="shared" si="1"/>
        <v>99054.978218012155</v>
      </c>
      <c r="F27" s="56">
        <f t="shared" si="2"/>
        <v>33913.043489324991</v>
      </c>
      <c r="G27" s="56">
        <f t="shared" si="3"/>
        <v>182359.50881609999</v>
      </c>
      <c r="H27" s="56">
        <f t="shared" si="4"/>
        <v>53666.914677114502</v>
      </c>
      <c r="I27" s="56">
        <f t="shared" si="5"/>
        <v>153934.8294788475</v>
      </c>
      <c r="J27" s="56">
        <f t="shared" si="6"/>
        <v>65569.526141420676</v>
      </c>
      <c r="K27" s="55">
        <f t="shared" si="7"/>
        <v>0.6619508410481636</v>
      </c>
      <c r="L27" s="57"/>
      <c r="M27" s="57">
        <v>179606.09390399998</v>
      </c>
      <c r="N27" s="57">
        <v>182359.50881609999</v>
      </c>
      <c r="O27" s="57">
        <v>46568.735906599999</v>
      </c>
      <c r="P27" s="57">
        <v>74961.450988658005</v>
      </c>
      <c r="Q27" s="57">
        <v>76921.036203390002</v>
      </c>
      <c r="R27" s="57">
        <v>33913.043489324991</v>
      </c>
      <c r="S27" s="57" t="s">
        <v>130</v>
      </c>
      <c r="U27" s="40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</row>
    <row r="28" spans="1:42" outlineLevel="2">
      <c r="A28" s="41">
        <v>1</v>
      </c>
      <c r="C28" s="45" t="str">
        <f>"        General and Administrative Expenses"</f>
        <v xml:space="preserve">        General and Administrative Expenses</v>
      </c>
      <c r="D28" s="50">
        <f t="shared" si="0"/>
        <v>20620.513295871002</v>
      </c>
      <c r="E28" s="50">
        <f t="shared" si="1"/>
        <v>23213.626449947496</v>
      </c>
      <c r="F28" s="50">
        <f t="shared" si="2"/>
        <v>6791.9017612600001</v>
      </c>
      <c r="G28" s="50">
        <f t="shared" si="3"/>
        <v>46376.606375999996</v>
      </c>
      <c r="H28" s="50">
        <f t="shared" si="4"/>
        <v>15404.200252612251</v>
      </c>
      <c r="I28" s="50">
        <f t="shared" si="5"/>
        <v>28560.224373335503</v>
      </c>
      <c r="J28" s="50">
        <f t="shared" si="6"/>
        <v>13868.712436861368</v>
      </c>
      <c r="K28" s="49">
        <f t="shared" si="7"/>
        <v>0.59743842551979787</v>
      </c>
      <c r="L28" s="48"/>
      <c r="M28" s="48">
        <v>46376.606375999996</v>
      </c>
      <c r="N28" s="48">
        <v>30675.192577600003</v>
      </c>
      <c r="O28" s="48">
        <v>19025.706831200001</v>
      </c>
      <c r="P28" s="48">
        <v>22215.319760542003</v>
      </c>
      <c r="Q28" s="48">
        <v>14197.031393083</v>
      </c>
      <c r="R28" s="48">
        <v>6791.9017612600001</v>
      </c>
      <c r="S28" s="48" t="s">
        <v>130</v>
      </c>
      <c r="U28" s="40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</row>
    <row r="29" spans="1:42" outlineLevel="2">
      <c r="A29" s="41">
        <v>1</v>
      </c>
      <c r="C29" s="45" t="str">
        <f>"        Legal, Accounting, Auditing and Consulting Fees"</f>
        <v xml:space="preserve">        Legal, Accounting, Auditing and Consulting Fees</v>
      </c>
      <c r="D29" s="50">
        <f t="shared" si="0"/>
        <v>22611.095902037996</v>
      </c>
      <c r="E29" s="50">
        <f t="shared" si="1"/>
        <v>21370.857148182666</v>
      </c>
      <c r="F29" s="50">
        <f t="shared" si="2"/>
        <v>5154.995023255</v>
      </c>
      <c r="G29" s="50">
        <f t="shared" si="3"/>
        <v>32592.392113700003</v>
      </c>
      <c r="H29" s="50">
        <f t="shared" si="4"/>
        <v>16384.443304367749</v>
      </c>
      <c r="I29" s="50">
        <f t="shared" si="5"/>
        <v>28862.777607699994</v>
      </c>
      <c r="J29" s="50">
        <f t="shared" si="6"/>
        <v>10216.364038504056</v>
      </c>
      <c r="K29" s="49">
        <f t="shared" si="7"/>
        <v>0.47805120626024283</v>
      </c>
      <c r="L29" s="48"/>
      <c r="M29" s="48">
        <v>30445.711055999996</v>
      </c>
      <c r="N29" s="48">
        <v>32592.392113700003</v>
      </c>
      <c r="O29" s="48">
        <v>24113.977262799996</v>
      </c>
      <c r="P29" s="48">
        <v>21108.214541276</v>
      </c>
      <c r="Q29" s="48">
        <v>14809.852892065001</v>
      </c>
      <c r="R29" s="48">
        <v>5154.995023255</v>
      </c>
      <c r="S29" s="48" t="s">
        <v>130</v>
      </c>
      <c r="U29" s="40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</row>
    <row r="30" spans="1:42" outlineLevel="2">
      <c r="A30" s="41">
        <v>1</v>
      </c>
      <c r="C30" s="45" t="str">
        <f>"        Telecommunication Expense"</f>
        <v xml:space="preserve">        Telecommunication Expense</v>
      </c>
      <c r="D30" s="50">
        <f t="shared" si="0"/>
        <v>2568.9967058500001</v>
      </c>
      <c r="E30" s="50">
        <f t="shared" si="1"/>
        <v>2377.7005045913334</v>
      </c>
      <c r="F30" s="50">
        <f t="shared" si="2"/>
        <v>821.77232021499992</v>
      </c>
      <c r="G30" s="50">
        <f t="shared" si="3"/>
        <v>3658.2055919999998</v>
      </c>
      <c r="H30" s="50">
        <f t="shared" si="4"/>
        <v>1953.2020907229999</v>
      </c>
      <c r="I30" s="50">
        <f t="shared" si="5"/>
        <v>2817.4700399267504</v>
      </c>
      <c r="J30" s="50">
        <f t="shared" si="6"/>
        <v>978.34293850397478</v>
      </c>
      <c r="K30" s="49">
        <f t="shared" si="7"/>
        <v>0.41146600953938361</v>
      </c>
      <c r="L30" s="48"/>
      <c r="M30" s="48">
        <v>3658.2055919999998</v>
      </c>
      <c r="N30" s="48">
        <v>2593.8581959000003</v>
      </c>
      <c r="O30" s="48">
        <v>2544.1352158</v>
      </c>
      <c r="P30" s="48">
        <v>2892.0073212690004</v>
      </c>
      <c r="Q30" s="48">
        <v>1756.2243823639999</v>
      </c>
      <c r="R30" s="48">
        <v>821.77232021499992</v>
      </c>
      <c r="S30" s="48" t="s">
        <v>130</v>
      </c>
      <c r="U30" s="40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</row>
    <row r="31" spans="1:42" outlineLevel="2">
      <c r="A31" s="41">
        <v>1</v>
      </c>
      <c r="C31" s="45" t="str">
        <f>"        Rent Expense"</f>
        <v xml:space="preserve">        Rent Expense</v>
      </c>
      <c r="D31" s="50">
        <f t="shared" si="0"/>
        <v>8153.7280320045002</v>
      </c>
      <c r="E31" s="50">
        <f t="shared" si="1"/>
        <v>9339.8156238760002</v>
      </c>
      <c r="F31" s="50">
        <f t="shared" si="2"/>
        <v>1693.9926988599998</v>
      </c>
      <c r="G31" s="50">
        <f t="shared" si="3"/>
        <v>18645.047855999997</v>
      </c>
      <c r="H31" s="50">
        <f t="shared" si="4"/>
        <v>5053.6697780925006</v>
      </c>
      <c r="I31" s="50">
        <f t="shared" si="5"/>
        <v>13567.4920812</v>
      </c>
      <c r="J31" s="50">
        <f t="shared" si="6"/>
        <v>6426.7234768214257</v>
      </c>
      <c r="K31" s="49">
        <f t="shared" si="7"/>
        <v>0.68809960877518384</v>
      </c>
      <c r="L31" s="48"/>
      <c r="M31" s="48">
        <v>18645.047855999997</v>
      </c>
      <c r="N31" s="48">
        <v>14660.937629</v>
      </c>
      <c r="O31" s="48">
        <v>10287.1554378</v>
      </c>
      <c r="P31" s="48">
        <v>6020.3006262090003</v>
      </c>
      <c r="Q31" s="48">
        <v>4731.4594953870001</v>
      </c>
      <c r="R31" s="48">
        <v>1693.9926988599998</v>
      </c>
      <c r="S31" s="48" t="s">
        <v>130</v>
      </c>
      <c r="U31" s="40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</row>
    <row r="32" spans="1:42" outlineLevel="2">
      <c r="A32" s="41">
        <v>1</v>
      </c>
      <c r="C32" s="45" t="str">
        <f>"        Selling and Marketing Expenses"</f>
        <v xml:space="preserve">        Selling and Marketing Expenses</v>
      </c>
      <c r="D32" s="50">
        <f t="shared" si="0"/>
        <v>145475.14815590752</v>
      </c>
      <c r="E32" s="50">
        <f t="shared" si="1"/>
        <v>136107.29403909383</v>
      </c>
      <c r="F32" s="50">
        <f t="shared" si="2"/>
        <v>28750.082983159995</v>
      </c>
      <c r="G32" s="50">
        <f t="shared" si="3"/>
        <v>230938.97882399996</v>
      </c>
      <c r="H32" s="50">
        <f t="shared" si="4"/>
        <v>94011.834797465999</v>
      </c>
      <c r="I32" s="50">
        <f t="shared" si="5"/>
        <v>178229.04386717879</v>
      </c>
      <c r="J32" s="50">
        <f t="shared" si="6"/>
        <v>73193.325167298084</v>
      </c>
      <c r="K32" s="49">
        <f t="shared" si="7"/>
        <v>0.53776195966598905</v>
      </c>
      <c r="L32" s="48"/>
      <c r="M32" s="48">
        <v>230938.97882399996</v>
      </c>
      <c r="N32" s="48">
        <v>187998.33098110004</v>
      </c>
      <c r="O32" s="48">
        <v>142029.1137864</v>
      </c>
      <c r="P32" s="48">
        <v>148921.182525415</v>
      </c>
      <c r="Q32" s="48">
        <v>78006.075134487997</v>
      </c>
      <c r="R32" s="48">
        <v>28750.082983159995</v>
      </c>
      <c r="S32" s="48" t="s">
        <v>130</v>
      </c>
      <c r="U32" s="40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</row>
    <row r="33" spans="1:42" outlineLevel="2">
      <c r="A33" s="41">
        <v>1</v>
      </c>
      <c r="C33" s="58" t="str">
        <f>"        Total Selling, General and Administrative Expenses"</f>
        <v xml:space="preserve">        Total Selling, General and Administrative Expenses</v>
      </c>
      <c r="D33" s="56">
        <f t="shared" si="0"/>
        <v>260343.6501019845</v>
      </c>
      <c r="E33" s="56">
        <f t="shared" si="1"/>
        <v>291464.27198370348</v>
      </c>
      <c r="F33" s="56">
        <f t="shared" si="2"/>
        <v>77125.788276074993</v>
      </c>
      <c r="G33" s="56">
        <f t="shared" si="3"/>
        <v>509670.64360799995</v>
      </c>
      <c r="H33" s="56">
        <f t="shared" si="4"/>
        <v>203958.46573573275</v>
      </c>
      <c r="I33" s="56">
        <f t="shared" si="5"/>
        <v>407189.78417589224</v>
      </c>
      <c r="J33" s="56">
        <f t="shared" si="6"/>
        <v>162242.24650500691</v>
      </c>
      <c r="K33" s="55">
        <f t="shared" si="7"/>
        <v>0.55664540082661762</v>
      </c>
      <c r="L33" s="57"/>
      <c r="M33" s="57">
        <v>509670.64360799995</v>
      </c>
      <c r="N33" s="57">
        <v>450880.22031340003</v>
      </c>
      <c r="O33" s="57">
        <v>244568.82444059997</v>
      </c>
      <c r="P33" s="57">
        <v>276118.475763369</v>
      </c>
      <c r="Q33" s="57">
        <v>190421.67950077701</v>
      </c>
      <c r="R33" s="57">
        <v>77125.788276074993</v>
      </c>
      <c r="S33" s="57" t="s">
        <v>130</v>
      </c>
      <c r="U33" s="40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2" outlineLevel="1">
      <c r="A34" s="41">
        <v>1</v>
      </c>
      <c r="C34" s="45" t="str">
        <f>IF(SUBTOTAL(109,A34)=A34,"    Depreciation, Amortization and Depletion","    Depreciation, Amortization and Depletion")</f>
        <v xml:space="preserve">    Depreciation, Amortization and Depletion</v>
      </c>
      <c r="D34" s="50" t="str">
        <f t="shared" si="0"/>
        <v/>
      </c>
      <c r="E34" s="50" t="str">
        <f t="shared" si="1"/>
        <v/>
      </c>
      <c r="F34" s="50" t="str">
        <f t="shared" si="2"/>
        <v/>
      </c>
      <c r="G34" s="50" t="str">
        <f t="shared" si="3"/>
        <v/>
      </c>
      <c r="H34" s="50" t="str">
        <f t="shared" si="4"/>
        <v/>
      </c>
      <c r="I34" s="50" t="str">
        <f t="shared" si="5"/>
        <v/>
      </c>
      <c r="J34" s="50" t="str">
        <f t="shared" si="6"/>
        <v/>
      </c>
      <c r="K34" s="49" t="str">
        <f t="shared" si="7"/>
        <v/>
      </c>
      <c r="L34" s="48"/>
      <c r="M34" s="48" t="str">
        <f>IF(SUBTOTAL(109,A34)=A34,"",47556.6726959999)</f>
        <v/>
      </c>
      <c r="N34" s="48" t="str">
        <f>IF(SUBTOTAL(109,A34)=A34,"",42516.7191241)</f>
        <v/>
      </c>
      <c r="O34" s="48" t="str">
        <f>IF(SUBTOTAL(109,A34)=A34,"",29534.0914181999)</f>
        <v/>
      </c>
      <c r="P34" s="48" t="str">
        <f>IF(SUBTOTAL(109,A34)=A34,"",10435.409616869)</f>
        <v/>
      </c>
      <c r="Q34" s="48" t="str">
        <f>IF(SUBTOTAL(109,A34)=A34,"",14718.327603256)</f>
        <v/>
      </c>
      <c r="R34" s="48" t="str">
        <f>IF(SUBTOTAL(109,A34)=A34,"",3329.57185637999)</f>
        <v/>
      </c>
      <c r="S34" s="48" t="str">
        <f>IF(SUBTOTAL(109,A34)=A34,"","")</f>
        <v/>
      </c>
      <c r="U34" s="40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</row>
    <row r="35" spans="1:42" outlineLevel="2">
      <c r="A35" s="41">
        <v>1</v>
      </c>
      <c r="C35" s="45" t="str">
        <f>IF(SUBTOTAL(109,A35)=A35,"        Depreciation and Amortization","        Depreciation and Amortization")</f>
        <v xml:space="preserve">        Depreciation and Amortization</v>
      </c>
      <c r="D35" s="50" t="str">
        <f t="shared" si="0"/>
        <v/>
      </c>
      <c r="E35" s="50" t="str">
        <f t="shared" si="1"/>
        <v/>
      </c>
      <c r="F35" s="50" t="str">
        <f t="shared" si="2"/>
        <v/>
      </c>
      <c r="G35" s="50" t="str">
        <f t="shared" si="3"/>
        <v/>
      </c>
      <c r="H35" s="50" t="str">
        <f t="shared" si="4"/>
        <v/>
      </c>
      <c r="I35" s="50" t="str">
        <f t="shared" si="5"/>
        <v/>
      </c>
      <c r="J35" s="50" t="str">
        <f t="shared" si="6"/>
        <v/>
      </c>
      <c r="K35" s="49" t="str">
        <f t="shared" si="7"/>
        <v/>
      </c>
      <c r="L35" s="48"/>
      <c r="M35" s="48" t="str">
        <f>IF(SUBTOTAL(109,A35)=A35,"",47556.6726959999)</f>
        <v/>
      </c>
      <c r="N35" s="48" t="str">
        <f>IF(SUBTOTAL(109,A35)=A35,"",42516.7191241)</f>
        <v/>
      </c>
      <c r="O35" s="48" t="str">
        <f>IF(SUBTOTAL(109,A35)=A35,"",29534.0914181999)</f>
        <v/>
      </c>
      <c r="P35" s="48" t="str">
        <f>IF(SUBTOTAL(109,A35)=A35,"",10435.409616869)</f>
        <v/>
      </c>
      <c r="Q35" s="48" t="str">
        <f>IF(SUBTOTAL(109,A35)=A35,"",14718.327603256)</f>
        <v/>
      </c>
      <c r="R35" s="48" t="str">
        <f>IF(SUBTOTAL(109,A35)=A35,"",3329.57185637999)</f>
        <v/>
      </c>
      <c r="S35" s="48" t="str">
        <f>IF(SUBTOTAL(109,A35)=A35,"","")</f>
        <v/>
      </c>
      <c r="U35" s="40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</row>
    <row r="36" spans="1:42" outlineLevel="3">
      <c r="A36" s="41">
        <v>1</v>
      </c>
      <c r="C36" s="45" t="str">
        <f>"            Depreciation"</f>
        <v xml:space="preserve">            Depreciation</v>
      </c>
      <c r="D36" s="50">
        <f t="shared" si="0"/>
        <v>10123.4800919845</v>
      </c>
      <c r="E36" s="50">
        <f t="shared" si="1"/>
        <v>9906.5706807674997</v>
      </c>
      <c r="F36" s="50">
        <f t="shared" si="2"/>
        <v>3329.5718563799996</v>
      </c>
      <c r="G36" s="50">
        <f t="shared" si="3"/>
        <v>16166.908583999999</v>
      </c>
      <c r="H36" s="50">
        <f t="shared" si="4"/>
        <v>6186.1295345250001</v>
      </c>
      <c r="I36" s="50">
        <f t="shared" si="5"/>
        <v>13647.59810665925</v>
      </c>
      <c r="J36" s="50">
        <f t="shared" si="6"/>
        <v>5102.6395064133912</v>
      </c>
      <c r="K36" s="49">
        <f t="shared" si="7"/>
        <v>0.51507627319710092</v>
      </c>
      <c r="L36" s="48"/>
      <c r="M36" s="48">
        <v>16166.908583999999</v>
      </c>
      <c r="N36" s="48">
        <v>9811.550567100001</v>
      </c>
      <c r="O36" s="48">
        <v>4977.6558569999997</v>
      </c>
      <c r="P36" s="48">
        <v>10435.409616869001</v>
      </c>
      <c r="Q36" s="48">
        <v>14718.327603256001</v>
      </c>
      <c r="R36" s="48">
        <v>3329.5718563799996</v>
      </c>
      <c r="S36" s="48" t="s">
        <v>130</v>
      </c>
      <c r="U36" s="40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</row>
    <row r="37" spans="1:42" outlineLevel="3">
      <c r="A37" s="41">
        <v>1</v>
      </c>
      <c r="C37" s="45" t="str">
        <f>"            Amortization"</f>
        <v xml:space="preserve">            Amortization</v>
      </c>
      <c r="D37" s="50">
        <f t="shared" si="0"/>
        <v>31389.764111999997</v>
      </c>
      <c r="E37" s="50">
        <f t="shared" si="1"/>
        <v>29550.456076733331</v>
      </c>
      <c r="F37" s="50">
        <f t="shared" si="2"/>
        <v>24556.435561199996</v>
      </c>
      <c r="G37" s="50">
        <f t="shared" si="3"/>
        <v>32705.168557000005</v>
      </c>
      <c r="H37" s="50">
        <f t="shared" si="4"/>
        <v>27973.099836599999</v>
      </c>
      <c r="I37" s="50">
        <f t="shared" si="5"/>
        <v>32047.466334500001</v>
      </c>
      <c r="J37" s="50">
        <f t="shared" si="6"/>
        <v>4374.6717471894162</v>
      </c>
      <c r="K37" s="49">
        <f t="shared" si="7"/>
        <v>0.14804075225877245</v>
      </c>
      <c r="L37" s="48"/>
      <c r="M37" s="48">
        <v>31389.764111999997</v>
      </c>
      <c r="N37" s="48">
        <v>32705.168557000005</v>
      </c>
      <c r="O37" s="48">
        <v>24556.435561199996</v>
      </c>
      <c r="P37" s="48" t="s">
        <v>130</v>
      </c>
      <c r="Q37" s="48" t="s">
        <v>130</v>
      </c>
      <c r="R37" s="48" t="s">
        <v>130</v>
      </c>
      <c r="S37" s="48" t="s">
        <v>130</v>
      </c>
      <c r="U37" s="40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</row>
    <row r="38" spans="1:42" outlineLevel="3">
      <c r="A38" s="41">
        <v>1</v>
      </c>
      <c r="C38" s="58" t="str">
        <f>"            Total Depreciation and Amortization"</f>
        <v xml:space="preserve">            Total Depreciation and Amortization</v>
      </c>
      <c r="D38" s="56">
        <f t="shared" si="0"/>
        <v>22126.209510728</v>
      </c>
      <c r="E38" s="56">
        <f t="shared" si="1"/>
        <v>24681.798719134167</v>
      </c>
      <c r="F38" s="56">
        <f t="shared" si="2"/>
        <v>3329.5718563799996</v>
      </c>
      <c r="G38" s="56">
        <f t="shared" si="3"/>
        <v>47556.672695999994</v>
      </c>
      <c r="H38" s="56">
        <f t="shared" si="4"/>
        <v>11506.139113465752</v>
      </c>
      <c r="I38" s="56">
        <f t="shared" si="5"/>
        <v>39271.062197624997</v>
      </c>
      <c r="J38" s="56">
        <f t="shared" si="6"/>
        <v>18016.863993908406</v>
      </c>
      <c r="K38" s="55">
        <f t="shared" si="7"/>
        <v>0.72996559930379479</v>
      </c>
      <c r="L38" s="57"/>
      <c r="M38" s="57">
        <v>47556.672695999994</v>
      </c>
      <c r="N38" s="57">
        <v>42516.719124099996</v>
      </c>
      <c r="O38" s="57">
        <v>29534.091418199998</v>
      </c>
      <c r="P38" s="57">
        <v>10435.409616869001</v>
      </c>
      <c r="Q38" s="57">
        <v>14718.327603256001</v>
      </c>
      <c r="R38" s="57">
        <v>3329.5718563799996</v>
      </c>
      <c r="S38" s="57" t="s">
        <v>130</v>
      </c>
      <c r="U38" s="40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</row>
    <row r="39" spans="1:42" outlineLevel="2">
      <c r="A39" s="41">
        <v>1</v>
      </c>
      <c r="C39" s="58" t="str">
        <f>"        Total Depreciation, Amortization and Depletion"</f>
        <v xml:space="preserve">        Total Depreciation, Amortization and Depletion</v>
      </c>
      <c r="D39" s="56">
        <f t="shared" si="0"/>
        <v>22126.209510728</v>
      </c>
      <c r="E39" s="56">
        <f t="shared" si="1"/>
        <v>24681.798719134167</v>
      </c>
      <c r="F39" s="56">
        <f t="shared" si="2"/>
        <v>3329.5718563799996</v>
      </c>
      <c r="G39" s="56">
        <f t="shared" si="3"/>
        <v>47556.672695999994</v>
      </c>
      <c r="H39" s="56">
        <f t="shared" si="4"/>
        <v>11506.139113465752</v>
      </c>
      <c r="I39" s="56">
        <f t="shared" si="5"/>
        <v>39271.062197624997</v>
      </c>
      <c r="J39" s="56">
        <f t="shared" si="6"/>
        <v>18016.863993908406</v>
      </c>
      <c r="K39" s="55">
        <f t="shared" si="7"/>
        <v>0.72996559930379479</v>
      </c>
      <c r="L39" s="57"/>
      <c r="M39" s="57">
        <v>47556.672695999994</v>
      </c>
      <c r="N39" s="57">
        <v>42516.719124099996</v>
      </c>
      <c r="O39" s="57">
        <v>29534.091418199998</v>
      </c>
      <c r="P39" s="57">
        <v>10435.409616869001</v>
      </c>
      <c r="Q39" s="57">
        <v>14718.327603256001</v>
      </c>
      <c r="R39" s="57">
        <v>3329.5718563799996</v>
      </c>
      <c r="S39" s="57" t="s">
        <v>130</v>
      </c>
      <c r="U39" s="40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</row>
    <row r="40" spans="1:42" outlineLevel="1">
      <c r="A40" s="41">
        <v>1</v>
      </c>
      <c r="C40" s="45" t="str">
        <f>"    Taxes Other Than Income Taxes"</f>
        <v xml:space="preserve">    Taxes Other Than Income Taxes</v>
      </c>
      <c r="D40" s="50">
        <f t="shared" si="0"/>
        <v>1800.4189422049997</v>
      </c>
      <c r="E40" s="50">
        <f t="shared" si="1"/>
        <v>2966.910937479</v>
      </c>
      <c r="F40" s="50">
        <f t="shared" si="2"/>
        <v>76.934300738000005</v>
      </c>
      <c r="G40" s="50">
        <f t="shared" si="3"/>
        <v>6992.1394846000003</v>
      </c>
      <c r="H40" s="50">
        <f t="shared" si="4"/>
        <v>662.106632547</v>
      </c>
      <c r="I40" s="50">
        <f t="shared" si="5"/>
        <v>5586.7683048999997</v>
      </c>
      <c r="J40" s="50">
        <f t="shared" si="6"/>
        <v>3079.3896812786556</v>
      </c>
      <c r="K40" s="49">
        <f t="shared" si="7"/>
        <v>1.0379110617642029</v>
      </c>
      <c r="L40" s="48"/>
      <c r="M40" s="48">
        <v>6490.3647599999995</v>
      </c>
      <c r="N40" s="48">
        <v>6992.1394846000003</v>
      </c>
      <c r="O40" s="48">
        <v>2875.9789395999996</v>
      </c>
      <c r="P40" s="48">
        <v>641.18919512600007</v>
      </c>
      <c r="Q40" s="48">
        <v>76.934300738000005</v>
      </c>
      <c r="R40" s="48">
        <v>724.85894480999991</v>
      </c>
      <c r="S40" s="48" t="s">
        <v>130</v>
      </c>
      <c r="U40" s="40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</row>
    <row r="41" spans="1:42" outlineLevel="1">
      <c r="A41" s="41">
        <v>1</v>
      </c>
      <c r="C41" s="45" t="str">
        <f>IF(SUBTOTAL(109,A41)=A41,"    Provision Expense/Write-Back","    Provision Expense/Write-Back")</f>
        <v xml:space="preserve">    Provision Expense/Write-Back</v>
      </c>
      <c r="D41" s="50" t="str">
        <f t="shared" si="0"/>
        <v/>
      </c>
      <c r="E41" s="50" t="str">
        <f t="shared" si="1"/>
        <v/>
      </c>
      <c r="F41" s="50" t="str">
        <f t="shared" si="2"/>
        <v/>
      </c>
      <c r="G41" s="50" t="str">
        <f t="shared" si="3"/>
        <v/>
      </c>
      <c r="H41" s="50" t="str">
        <f t="shared" si="4"/>
        <v/>
      </c>
      <c r="I41" s="50" t="str">
        <f t="shared" si="5"/>
        <v/>
      </c>
      <c r="J41" s="50" t="str">
        <f t="shared" si="6"/>
        <v/>
      </c>
      <c r="K41" s="49" t="str">
        <f t="shared" si="7"/>
        <v/>
      </c>
      <c r="L41" s="48"/>
      <c r="M41" s="48" t="str">
        <f>IF(SUBTOTAL(109,A41)=A41,"","")</f>
        <v/>
      </c>
      <c r="N41" s="48" t="str">
        <f>IF(SUBTOTAL(109,A41)=A41,"","")</f>
        <v/>
      </c>
      <c r="O41" s="48" t="str">
        <f>IF(SUBTOTAL(109,A41)=A41,"",6636.874476)</f>
        <v/>
      </c>
      <c r="P41" s="48" t="str">
        <f>IF(SUBTOTAL(109,A41)=A41,"","")</f>
        <v/>
      </c>
      <c r="Q41" s="48" t="str">
        <f>IF(SUBTOTAL(109,A41)=A41,"","")</f>
        <v/>
      </c>
      <c r="R41" s="48" t="str">
        <f>IF(SUBTOTAL(109,A41)=A41,"",-719.548622869999)</f>
        <v/>
      </c>
      <c r="S41" s="48" t="str">
        <f>IF(SUBTOTAL(109,A41)=A41,"","")</f>
        <v/>
      </c>
      <c r="U41" s="40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</row>
    <row r="42" spans="1:42" outlineLevel="2">
      <c r="A42" s="41">
        <v>1</v>
      </c>
      <c r="C42" s="45" t="str">
        <f>"        Provision for Doubtful Accounts"</f>
        <v xml:space="preserve">        Provision for Doubtful Accounts</v>
      </c>
      <c r="D42" s="50">
        <f t="shared" ref="D42:D73" si="8">IF(COUNT(M42:S42)&gt;0,MEDIAN(M42:S42),"")</f>
        <v>6636.874476</v>
      </c>
      <c r="E42" s="50">
        <f t="shared" ref="E42:E73" si="9">IF(COUNT(M42:S42)&gt;0,AVERAGE(M42:S42),"")</f>
        <v>6636.874476</v>
      </c>
      <c r="F42" s="50">
        <f t="shared" ref="F42:F73" si="10">IF(COUNT(M42:S42)&gt;0,MIN(M42:S42),"")</f>
        <v>6636.874476</v>
      </c>
      <c r="G42" s="50">
        <f t="shared" ref="G42:G73" si="11">IF(COUNT(M42:S42)&gt;0,MAX(M42:S42),"")</f>
        <v>6636.874476</v>
      </c>
      <c r="H42" s="50">
        <f t="shared" ref="H42:H73" si="12">IF(COUNT(M42:S42)&gt;0,QUARTILE(M42:S42,1),"")</f>
        <v>6636.874476</v>
      </c>
      <c r="I42" s="50">
        <f t="shared" ref="I42:I73" si="13">IF(COUNT(M42:S42)&gt;0,QUARTILE(M42:S42,3),"")</f>
        <v>6636.874476</v>
      </c>
      <c r="J42" s="50" t="str">
        <f t="shared" ref="J42:J73" si="14">IF(COUNT(M42:S42)&gt;1,STDEV(M42:S42),"")</f>
        <v/>
      </c>
      <c r="K42" s="49" t="str">
        <f t="shared" ref="K42:K73" si="15">IF(COUNT(M42:S42)&gt;1,STDEV(M42:S42)/AVERAGE(M42:S42),"")</f>
        <v/>
      </c>
      <c r="L42" s="48"/>
      <c r="M42" s="48" t="s">
        <v>130</v>
      </c>
      <c r="N42" s="48" t="s">
        <v>130</v>
      </c>
      <c r="O42" s="48">
        <v>6636.874476</v>
      </c>
      <c r="P42" s="48" t="s">
        <v>130</v>
      </c>
      <c r="Q42" s="48" t="s">
        <v>130</v>
      </c>
      <c r="R42" s="48" t="s">
        <v>130</v>
      </c>
      <c r="S42" s="48" t="s">
        <v>130</v>
      </c>
      <c r="U42" s="40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</row>
    <row r="43" spans="1:42" outlineLevel="2">
      <c r="A43" s="41">
        <v>1</v>
      </c>
      <c r="C43" s="45" t="str">
        <f>"        Other Provision Expense/Write-Back"</f>
        <v xml:space="preserve">        Other Provision Expense/Write-Back</v>
      </c>
      <c r="D43" s="50">
        <f t="shared" si="8"/>
        <v>-719.54862286999992</v>
      </c>
      <c r="E43" s="50">
        <f t="shared" si="9"/>
        <v>-719.54862286999992</v>
      </c>
      <c r="F43" s="50">
        <f t="shared" si="10"/>
        <v>-719.54862286999992</v>
      </c>
      <c r="G43" s="50">
        <f t="shared" si="11"/>
        <v>-719.54862286999992</v>
      </c>
      <c r="H43" s="50">
        <f t="shared" si="12"/>
        <v>-719.54862286999992</v>
      </c>
      <c r="I43" s="50">
        <f t="shared" si="13"/>
        <v>-719.54862286999992</v>
      </c>
      <c r="J43" s="50" t="str">
        <f t="shared" si="14"/>
        <v/>
      </c>
      <c r="K43" s="49" t="str">
        <f t="shared" si="15"/>
        <v/>
      </c>
      <c r="L43" s="48"/>
      <c r="M43" s="48" t="s">
        <v>130</v>
      </c>
      <c r="N43" s="48" t="s">
        <v>130</v>
      </c>
      <c r="O43" s="48" t="s">
        <v>130</v>
      </c>
      <c r="P43" s="48" t="s">
        <v>130</v>
      </c>
      <c r="Q43" s="48" t="s">
        <v>130</v>
      </c>
      <c r="R43" s="48">
        <v>-719.54862286999992</v>
      </c>
      <c r="S43" s="48" t="s">
        <v>130</v>
      </c>
      <c r="U43" s="40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</row>
    <row r="44" spans="1:42" outlineLevel="2">
      <c r="A44" s="41">
        <v>1</v>
      </c>
      <c r="C44" s="58" t="str">
        <f>"        Total Provision Expense/Write-Back"</f>
        <v xml:space="preserve">        Total Provision Expense/Write-Back</v>
      </c>
      <c r="D44" s="56">
        <f t="shared" si="8"/>
        <v>2958.6629265649999</v>
      </c>
      <c r="E44" s="56">
        <f t="shared" si="9"/>
        <v>2958.6629265649999</v>
      </c>
      <c r="F44" s="56">
        <f t="shared" si="10"/>
        <v>-719.54862286999992</v>
      </c>
      <c r="G44" s="56">
        <f t="shared" si="11"/>
        <v>6636.874476</v>
      </c>
      <c r="H44" s="56">
        <f t="shared" si="12"/>
        <v>1119.5571518475001</v>
      </c>
      <c r="I44" s="56">
        <f t="shared" si="13"/>
        <v>4797.7687012824999</v>
      </c>
      <c r="J44" s="56">
        <f t="shared" si="14"/>
        <v>5201.7766584883329</v>
      </c>
      <c r="K44" s="55">
        <f t="shared" si="15"/>
        <v>1.7581511607094704</v>
      </c>
      <c r="L44" s="57"/>
      <c r="M44" s="57" t="s">
        <v>130</v>
      </c>
      <c r="N44" s="57" t="s">
        <v>130</v>
      </c>
      <c r="O44" s="57">
        <v>6636.874476</v>
      </c>
      <c r="P44" s="57" t="s">
        <v>130</v>
      </c>
      <c r="Q44" s="57" t="s">
        <v>130</v>
      </c>
      <c r="R44" s="57">
        <v>-719.54862286999992</v>
      </c>
      <c r="S44" s="57" t="s">
        <v>130</v>
      </c>
      <c r="U44" s="40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</row>
    <row r="45" spans="1:42" outlineLevel="1">
      <c r="A45" s="41">
        <v>1</v>
      </c>
      <c r="C45" s="45" t="str">
        <f>IF(SUBTOTAL(109,A45)=A45,"    Other (Income)/Expense, Operating","    Other (Income)/Expense, Operating")</f>
        <v xml:space="preserve">    Other (Income)/Expense, Operating</v>
      </c>
      <c r="D45" s="50" t="str">
        <f t="shared" si="8"/>
        <v/>
      </c>
      <c r="E45" s="50" t="str">
        <f t="shared" si="9"/>
        <v/>
      </c>
      <c r="F45" s="50" t="str">
        <f t="shared" si="10"/>
        <v/>
      </c>
      <c r="G45" s="50" t="str">
        <f t="shared" si="11"/>
        <v/>
      </c>
      <c r="H45" s="50" t="str">
        <f t="shared" si="12"/>
        <v/>
      </c>
      <c r="I45" s="50" t="str">
        <f t="shared" si="13"/>
        <v/>
      </c>
      <c r="J45" s="50" t="str">
        <f t="shared" si="14"/>
        <v/>
      </c>
      <c r="K45" s="49" t="str">
        <f t="shared" si="15"/>
        <v/>
      </c>
      <c r="L45" s="48"/>
      <c r="M45" s="48" t="str">
        <f>IF(SUBTOTAL(109,A45)=A45,"",17819.001432)</f>
        <v/>
      </c>
      <c r="N45" s="48" t="str">
        <f>IF(SUBTOTAL(109,A45)=A45,"",9022.115464)</f>
        <v/>
      </c>
      <c r="O45" s="48" t="str">
        <f>IF(SUBTOTAL(109,A45)=A45,"",34622.3618498)</f>
        <v/>
      </c>
      <c r="P45" s="48" t="str">
        <f>IF(SUBTOTAL(109,A45)=A45,"",2623.550945455)</f>
        <v/>
      </c>
      <c r="Q45" s="48" t="str">
        <f>IF(SUBTOTAL(109,A45)=A45,"",-1119.526721084)</f>
        <v/>
      </c>
      <c r="R45" s="48" t="str">
        <f>IF(SUBTOTAL(109,A45)=A45,"",-400.92930647)</f>
        <v/>
      </c>
      <c r="S45" s="48" t="str">
        <f>IF(SUBTOTAL(109,A45)=A45,"","")</f>
        <v/>
      </c>
      <c r="U45" s="40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</row>
    <row r="46" spans="1:42" outlineLevel="2">
      <c r="A46" s="41">
        <v>1</v>
      </c>
      <c r="C46" s="45" t="str">
        <f>"        Other Income, Operating"</f>
        <v xml:space="preserve">        Other Income, Operating</v>
      </c>
      <c r="D46" s="50">
        <f t="shared" si="8"/>
        <v>-1921.0042617949998</v>
      </c>
      <c r="E46" s="50">
        <f t="shared" si="9"/>
        <v>-2563.185652599167</v>
      </c>
      <c r="F46" s="50">
        <f t="shared" si="10"/>
        <v>-5300.4928351000008</v>
      </c>
      <c r="G46" s="50">
        <f t="shared" si="11"/>
        <v>-1314.5487823950002</v>
      </c>
      <c r="H46" s="50">
        <f t="shared" si="12"/>
        <v>-3227.0465034825002</v>
      </c>
      <c r="I46" s="50">
        <f t="shared" si="13"/>
        <v>-1425.0034582974999</v>
      </c>
      <c r="J46" s="50">
        <f t="shared" si="14"/>
        <v>1584.328069337259</v>
      </c>
      <c r="K46" s="49">
        <f t="shared" si="15"/>
        <v>-0.61810898002284398</v>
      </c>
      <c r="L46" s="48"/>
      <c r="M46" s="48">
        <v>-2124.1193759999996</v>
      </c>
      <c r="N46" s="48">
        <v>-5300.4928351000008</v>
      </c>
      <c r="O46" s="48">
        <v>-1327.3748951999999</v>
      </c>
      <c r="P46" s="48">
        <v>-1314.5487823950002</v>
      </c>
      <c r="Q46" s="48">
        <v>-3594.6888793100002</v>
      </c>
      <c r="R46" s="48">
        <v>-1717.88914759</v>
      </c>
      <c r="S46" s="48" t="s">
        <v>130</v>
      </c>
      <c r="U46" s="40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</row>
    <row r="47" spans="1:42" outlineLevel="2">
      <c r="A47" s="41">
        <v>1</v>
      </c>
      <c r="C47" s="45" t="str">
        <f>"        Other Expenses, Operating"</f>
        <v xml:space="preserve">        Other Expenses, Operating</v>
      </c>
      <c r="D47" s="50">
        <f t="shared" si="8"/>
        <v>9130.3540134750001</v>
      </c>
      <c r="E47" s="50">
        <f t="shared" si="9"/>
        <v>12990.947929882665</v>
      </c>
      <c r="F47" s="50">
        <f t="shared" si="10"/>
        <v>1316.95984112</v>
      </c>
      <c r="G47" s="50">
        <f t="shared" si="11"/>
        <v>35949.736744999995</v>
      </c>
      <c r="H47" s="50">
        <f t="shared" si="12"/>
        <v>2840.8965506320001</v>
      </c>
      <c r="I47" s="50">
        <f t="shared" si="13"/>
        <v>18537.992680775002</v>
      </c>
      <c r="J47" s="50">
        <f t="shared" si="14"/>
        <v>13461.276460903151</v>
      </c>
      <c r="K47" s="49">
        <f t="shared" si="15"/>
        <v>1.036204327317686</v>
      </c>
      <c r="L47" s="48"/>
      <c r="M47" s="48">
        <v>19943.120808</v>
      </c>
      <c r="N47" s="48">
        <v>14322.6082991</v>
      </c>
      <c r="O47" s="48">
        <v>35949.736744999995</v>
      </c>
      <c r="P47" s="48">
        <v>3938.0997278500004</v>
      </c>
      <c r="Q47" s="48">
        <v>2475.162158226</v>
      </c>
      <c r="R47" s="48">
        <v>1316.95984112</v>
      </c>
      <c r="S47" s="48" t="s">
        <v>130</v>
      </c>
      <c r="U47" s="40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</row>
    <row r="48" spans="1:42" outlineLevel="2">
      <c r="A48" s="41">
        <v>1</v>
      </c>
      <c r="C48" s="58" t="str">
        <f>"        Total Other (Income)/Expense, Operating"</f>
        <v xml:space="preserve">        Total Other (Income)/Expense, Operating</v>
      </c>
      <c r="D48" s="56">
        <f t="shared" si="8"/>
        <v>5822.8332047274998</v>
      </c>
      <c r="E48" s="56">
        <f t="shared" si="9"/>
        <v>10427.762277283498</v>
      </c>
      <c r="F48" s="56">
        <f t="shared" si="10"/>
        <v>-1119.526721084</v>
      </c>
      <c r="G48" s="56">
        <f t="shared" si="11"/>
        <v>34622.3618498</v>
      </c>
      <c r="H48" s="56">
        <f t="shared" si="12"/>
        <v>355.19075651125007</v>
      </c>
      <c r="I48" s="56">
        <f t="shared" si="13"/>
        <v>15619.77994</v>
      </c>
      <c r="J48" s="56">
        <f t="shared" si="14"/>
        <v>13809.352387567185</v>
      </c>
      <c r="K48" s="55">
        <f t="shared" si="15"/>
        <v>1.3242872267667971</v>
      </c>
      <c r="L48" s="57"/>
      <c r="M48" s="57">
        <v>17819.001432000001</v>
      </c>
      <c r="N48" s="57">
        <v>9022.1154640000004</v>
      </c>
      <c r="O48" s="57">
        <v>34622.3618498</v>
      </c>
      <c r="P48" s="57">
        <v>2623.5509454550001</v>
      </c>
      <c r="Q48" s="57">
        <v>-1119.526721084</v>
      </c>
      <c r="R48" s="57">
        <v>-400.92930646999997</v>
      </c>
      <c r="S48" s="57" t="s">
        <v>130</v>
      </c>
      <c r="U48" s="40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</row>
    <row r="49" spans="1:42" outlineLevel="1">
      <c r="A49" s="41">
        <v>1</v>
      </c>
      <c r="C49" s="47" t="str">
        <f>"    Total Operating (Income)/Expenses"</f>
        <v xml:space="preserve">    Total Operating (Income)/Expenses</v>
      </c>
      <c r="D49" s="56">
        <f t="shared" si="8"/>
        <v>304028.37832250947</v>
      </c>
      <c r="E49" s="56">
        <f t="shared" si="9"/>
        <v>330526.96489312185</v>
      </c>
      <c r="F49" s="56">
        <f t="shared" si="10"/>
        <v>80059.741147924986</v>
      </c>
      <c r="G49" s="56">
        <f t="shared" si="11"/>
        <v>581536.68249599996</v>
      </c>
      <c r="H49" s="56">
        <f t="shared" si="12"/>
        <v>225527.71739296999</v>
      </c>
      <c r="I49" s="56">
        <f t="shared" si="13"/>
        <v>461617.92857062502</v>
      </c>
      <c r="J49" s="56">
        <f t="shared" si="14"/>
        <v>187366.96163358705</v>
      </c>
      <c r="K49" s="55">
        <f t="shared" si="15"/>
        <v>0.56687345219829022</v>
      </c>
      <c r="L49" s="56"/>
      <c r="M49" s="56">
        <v>581536.68249599996</v>
      </c>
      <c r="N49" s="56">
        <v>509411.19438610005</v>
      </c>
      <c r="O49" s="56">
        <v>318238.13112420001</v>
      </c>
      <c r="P49" s="56">
        <v>289818.62552081898</v>
      </c>
      <c r="Q49" s="56">
        <v>204097.41468368701</v>
      </c>
      <c r="R49" s="56">
        <v>80059.741147924986</v>
      </c>
      <c r="S49" s="56" t="s">
        <v>130</v>
      </c>
      <c r="U49" s="40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</row>
    <row r="50" spans="1:42">
      <c r="A50" s="41">
        <v>1</v>
      </c>
      <c r="C50" s="47" t="str">
        <f>"Total Operating Profit/(Loss)"</f>
        <v>Total Operating Profit/(Loss)</v>
      </c>
      <c r="D50" s="54">
        <f t="shared" si="8"/>
        <v>-123925.34253309402</v>
      </c>
      <c r="E50" s="54">
        <f t="shared" si="9"/>
        <v>-122116.10489018301</v>
      </c>
      <c r="F50" s="54">
        <f t="shared" si="10"/>
        <v>-193524.37670280001</v>
      </c>
      <c r="G50" s="54">
        <f t="shared" si="11"/>
        <v>-36542.980430110001</v>
      </c>
      <c r="H50" s="54">
        <f t="shared" si="12"/>
        <v>-163370.97967476898</v>
      </c>
      <c r="I50" s="54">
        <f t="shared" si="13"/>
        <v>-89675.631948277995</v>
      </c>
      <c r="J50" s="54">
        <f t="shared" si="14"/>
        <v>58016.817861511547</v>
      </c>
      <c r="K50" s="46">
        <f t="shared" si="15"/>
        <v>-0.47509554872950716</v>
      </c>
      <c r="L50" s="54"/>
      <c r="M50" s="54">
        <v>-171817.65619199997</v>
      </c>
      <c r="N50" s="54">
        <v>-193524.37670280001</v>
      </c>
      <c r="O50" s="54">
        <v>-82960.930949999994</v>
      </c>
      <c r="P50" s="54">
        <v>-138030.95012307604</v>
      </c>
      <c r="Q50" s="54">
        <v>-109819.73494311199</v>
      </c>
      <c r="R50" s="54">
        <v>-36542.980430110001</v>
      </c>
      <c r="S50" s="54" t="s">
        <v>130</v>
      </c>
      <c r="U50" s="40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</row>
    <row r="51" spans="1:42">
      <c r="A51" s="41">
        <v>1</v>
      </c>
      <c r="C51" s="47" t="str">
        <f>IF(SUBTOTAL(109,A51)=A51,"Non-Operating Income/(Expenses)","Non-Operating Income/(Expenses), Total")</f>
        <v>Non-Operating Income/(Expenses)</v>
      </c>
      <c r="D51" s="54" t="str">
        <f t="shared" si="8"/>
        <v/>
      </c>
      <c r="E51" s="54" t="str">
        <f t="shared" si="9"/>
        <v/>
      </c>
      <c r="F51" s="54" t="str">
        <f t="shared" si="10"/>
        <v/>
      </c>
      <c r="G51" s="54" t="str">
        <f t="shared" si="11"/>
        <v/>
      </c>
      <c r="H51" s="54" t="str">
        <f t="shared" si="12"/>
        <v/>
      </c>
      <c r="I51" s="54" t="str">
        <f t="shared" si="13"/>
        <v/>
      </c>
      <c r="J51" s="54" t="str">
        <f t="shared" si="14"/>
        <v/>
      </c>
      <c r="K51" s="46" t="str">
        <f t="shared" si="15"/>
        <v/>
      </c>
      <c r="L51" s="54"/>
      <c r="M51" s="54" t="str">
        <f>IF(SUBTOTAL(109,A51)=A51,"",-179134.067376)</f>
        <v/>
      </c>
      <c r="N51" s="54" t="str">
        <f>IF(SUBTOTAL(109,A51)=A51,"",-171758.5231459)</f>
        <v/>
      </c>
      <c r="O51" s="54" t="str">
        <f>IF(SUBTOTAL(109,A51)=A51,"",-139484.9785706)</f>
        <v/>
      </c>
      <c r="P51" s="54" t="str">
        <f>IF(SUBTOTAL(109,A51)=A51,"",-135579.344377006)</f>
        <v/>
      </c>
      <c r="Q51" s="54" t="str">
        <f>IF(SUBTOTAL(109,A51)=A51,"",-15478.385436409)</f>
        <v/>
      </c>
      <c r="R51" s="54" t="str">
        <f>IF(SUBTOTAL(109,A51)=A51,"",-11934.94856015)</f>
        <v/>
      </c>
      <c r="S51" s="54" t="str">
        <f>IF(SUBTOTAL(109,A51)=A51,"","")</f>
        <v/>
      </c>
      <c r="U51" s="40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</row>
    <row r="52" spans="1:42" outlineLevel="1">
      <c r="A52" s="41">
        <v>1</v>
      </c>
      <c r="C52" s="45" t="str">
        <f>IF(SUBTOTAL(109,A52)=A52,"    Net Finance (Income)/Expense","    Total Net Finance (Income)/Expense")</f>
        <v xml:space="preserve">    Net Finance (Income)/Expense</v>
      </c>
      <c r="D52" s="50" t="str">
        <f t="shared" si="8"/>
        <v/>
      </c>
      <c r="E52" s="50" t="str">
        <f t="shared" si="9"/>
        <v/>
      </c>
      <c r="F52" s="50" t="str">
        <f t="shared" si="10"/>
        <v/>
      </c>
      <c r="G52" s="50" t="str">
        <f t="shared" si="11"/>
        <v/>
      </c>
      <c r="H52" s="50" t="str">
        <f t="shared" si="12"/>
        <v/>
      </c>
      <c r="I52" s="50" t="str">
        <f t="shared" si="13"/>
        <v/>
      </c>
      <c r="J52" s="50" t="str">
        <f t="shared" si="14"/>
        <v/>
      </c>
      <c r="K52" s="49" t="str">
        <f t="shared" si="15"/>
        <v/>
      </c>
      <c r="L52" s="48"/>
      <c r="M52" s="48" t="str">
        <f>IF(SUBTOTAL(109,A52)=A52,"",-7670.43107999999)</f>
        <v/>
      </c>
      <c r="N52" s="48" t="str">
        <f>IF(SUBTOTAL(109,A52)=A52,"",24246.9353095)</f>
        <v/>
      </c>
      <c r="O52" s="48" t="str">
        <f>IF(SUBTOTAL(109,A52)=A52,"",36613.4241925999)</f>
        <v/>
      </c>
      <c r="P52" s="48" t="str">
        <f>IF(SUBTOTAL(109,A52)=A52,"",46830.107045405)</f>
        <v/>
      </c>
      <c r="Q52" s="48" t="str">
        <f>IF(SUBTOTAL(109,A52)=A52,"",13413.097397632)</f>
        <v/>
      </c>
      <c r="R52" s="48" t="str">
        <f>IF(SUBTOTAL(109,A52)=A52,"",6789.24660028999)</f>
        <v/>
      </c>
      <c r="S52" s="48" t="str">
        <f>IF(SUBTOTAL(109,A52)=A52,"","")</f>
        <v/>
      </c>
      <c r="U52" s="40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</row>
    <row r="53" spans="1:42" outlineLevel="2">
      <c r="A53" s="41">
        <v>1</v>
      </c>
      <c r="C53" s="45" t="str">
        <f>IF(SUBTOTAL(109,A53)=A53,"        Net Interest (Income)/Expense","        Net Interest (Income)/Expense")</f>
        <v xml:space="preserve">        Net Interest (Income)/Expense</v>
      </c>
      <c r="D53" s="50" t="str">
        <f t="shared" si="8"/>
        <v/>
      </c>
      <c r="E53" s="50" t="str">
        <f t="shared" si="9"/>
        <v/>
      </c>
      <c r="F53" s="50" t="str">
        <f t="shared" si="10"/>
        <v/>
      </c>
      <c r="G53" s="50" t="str">
        <f t="shared" si="11"/>
        <v/>
      </c>
      <c r="H53" s="50" t="str">
        <f t="shared" si="12"/>
        <v/>
      </c>
      <c r="I53" s="50" t="str">
        <f t="shared" si="13"/>
        <v/>
      </c>
      <c r="J53" s="50" t="str">
        <f t="shared" si="14"/>
        <v/>
      </c>
      <c r="K53" s="49" t="str">
        <f t="shared" si="15"/>
        <v/>
      </c>
      <c r="L53" s="48"/>
      <c r="M53" s="48" t="str">
        <f>IF(SUBTOTAL(109,A53)=A53,"",-3304.18569599999)</f>
        <v/>
      </c>
      <c r="N53" s="48" t="str">
        <f>IF(SUBTOTAL(109,A53)=A53,"",20186.9833507)</f>
        <v/>
      </c>
      <c r="O53" s="48" t="str">
        <f>IF(SUBTOTAL(109,A53)=A53,"",36613.4241925999)</f>
        <v/>
      </c>
      <c r="P53" s="48" t="str">
        <f>IF(SUBTOTAL(109,A53)=A53,"",12414.443395597)</f>
        <v/>
      </c>
      <c r="Q53" s="48" t="str">
        <f>IF(SUBTOTAL(109,A53)=A53,"",10712.438151036)</f>
        <v/>
      </c>
      <c r="R53" s="48" t="str">
        <f>IF(SUBTOTAL(109,A53)=A53,"",5436.442086075)</f>
        <v/>
      </c>
      <c r="S53" s="48" t="str">
        <f>IF(SUBTOTAL(109,A53)=A53,"","")</f>
        <v/>
      </c>
      <c r="U53" s="40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</row>
    <row r="54" spans="1:42" outlineLevel="3">
      <c r="A54" s="41">
        <v>1</v>
      </c>
      <c r="C54" s="45" t="str">
        <f>"            Interest Expense Net of Capitalized Interest"</f>
        <v xml:space="preserve">            Interest Expense Net of Capitalized Interest</v>
      </c>
      <c r="D54" s="50">
        <f t="shared" si="8"/>
        <v>12372.507173638001</v>
      </c>
      <c r="E54" s="50">
        <f t="shared" si="9"/>
        <v>15897.349251935166</v>
      </c>
      <c r="F54" s="50">
        <f t="shared" si="10"/>
        <v>3186.1790639999999</v>
      </c>
      <c r="G54" s="50">
        <f t="shared" si="11"/>
        <v>37608.955364000001</v>
      </c>
      <c r="H54" s="50">
        <f t="shared" si="12"/>
        <v>6848.3232742332502</v>
      </c>
      <c r="I54" s="50">
        <f t="shared" si="13"/>
        <v>21720.890364837003</v>
      </c>
      <c r="J54" s="50">
        <f t="shared" si="14"/>
        <v>12976.609903440258</v>
      </c>
      <c r="K54" s="49">
        <f t="shared" si="15"/>
        <v>0.81627507188726012</v>
      </c>
      <c r="L54" s="48"/>
      <c r="M54" s="48">
        <v>3186.1790639999999</v>
      </c>
      <c r="N54" s="48">
        <v>24359.711752800002</v>
      </c>
      <c r="O54" s="48">
        <v>37608.955364000001</v>
      </c>
      <c r="P54" s="48">
        <v>13804.426200948003</v>
      </c>
      <c r="Q54" s="48">
        <v>10940.588146328</v>
      </c>
      <c r="R54" s="48">
        <v>5484.2349835350005</v>
      </c>
      <c r="S54" s="48" t="s">
        <v>130</v>
      </c>
      <c r="U54" s="40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</row>
    <row r="55" spans="1:42" outlineLevel="3">
      <c r="A55" s="41">
        <v>1</v>
      </c>
      <c r="C55" s="45" t="str">
        <f>"            Interest Income"</f>
        <v xml:space="preserve">            Interest Income</v>
      </c>
      <c r="D55" s="50">
        <f t="shared" si="8"/>
        <v>1192.7569883755</v>
      </c>
      <c r="E55" s="50">
        <f t="shared" si="9"/>
        <v>2220.7583386004999</v>
      </c>
      <c r="F55" s="50">
        <f t="shared" si="10"/>
        <v>47.792897459999999</v>
      </c>
      <c r="G55" s="50">
        <f t="shared" si="11"/>
        <v>6490.3647599999995</v>
      </c>
      <c r="H55" s="50">
        <f t="shared" si="12"/>
        <v>419.99528931899999</v>
      </c>
      <c r="I55" s="50">
        <f t="shared" si="13"/>
        <v>3477.0420029127504</v>
      </c>
      <c r="J55" s="50">
        <f t="shared" si="14"/>
        <v>2566.0616726244057</v>
      </c>
      <c r="K55" s="49">
        <f t="shared" si="15"/>
        <v>1.1554889282737142</v>
      </c>
      <c r="L55" s="48"/>
      <c r="M55" s="48">
        <v>6490.3647599999995</v>
      </c>
      <c r="N55" s="48">
        <v>4172.7284021000005</v>
      </c>
      <c r="O55" s="48">
        <v>995.53117139999995</v>
      </c>
      <c r="P55" s="48">
        <v>1389.982805351</v>
      </c>
      <c r="Q55" s="48">
        <v>228.149995292</v>
      </c>
      <c r="R55" s="48">
        <v>47.792897459999999</v>
      </c>
      <c r="S55" s="48" t="s">
        <v>130</v>
      </c>
      <c r="U55" s="40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</row>
    <row r="56" spans="1:42" outlineLevel="3">
      <c r="A56" s="41">
        <v>1</v>
      </c>
      <c r="C56" s="58" t="str">
        <f>"            Total Net Interest (Income)/Expense"</f>
        <v xml:space="preserve">            Total Net Interest (Income)/Expense</v>
      </c>
      <c r="D56" s="56">
        <f t="shared" si="8"/>
        <v>11563.440773316501</v>
      </c>
      <c r="E56" s="56">
        <f t="shared" si="9"/>
        <v>13676.590913334665</v>
      </c>
      <c r="F56" s="56">
        <f t="shared" si="10"/>
        <v>-3304.1856959999996</v>
      </c>
      <c r="G56" s="56">
        <f t="shared" si="11"/>
        <v>36613.424192599996</v>
      </c>
      <c r="H56" s="56">
        <f t="shared" si="12"/>
        <v>6755.4411023152497</v>
      </c>
      <c r="I56" s="56">
        <f t="shared" si="13"/>
        <v>18243.848361924254</v>
      </c>
      <c r="J56" s="56">
        <f t="shared" si="14"/>
        <v>13675.595602938894</v>
      </c>
      <c r="K56" s="55">
        <f t="shared" si="15"/>
        <v>0.9999272252564928</v>
      </c>
      <c r="L56" s="57"/>
      <c r="M56" s="57">
        <v>-3304.1856959999996</v>
      </c>
      <c r="N56" s="57">
        <v>20186.983350700004</v>
      </c>
      <c r="O56" s="57">
        <v>36613.424192599996</v>
      </c>
      <c r="P56" s="57">
        <v>12414.443395597002</v>
      </c>
      <c r="Q56" s="57">
        <v>10712.438151036</v>
      </c>
      <c r="R56" s="57">
        <v>5436.4420860749997</v>
      </c>
      <c r="S56" s="57" t="s">
        <v>130</v>
      </c>
      <c r="U56" s="40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</row>
    <row r="57" spans="1:42" outlineLevel="2">
      <c r="A57" s="41">
        <v>1</v>
      </c>
      <c r="C57" s="45" t="str">
        <f>IF(SUBTOTAL(109,A57)=A57,"        Other Finance (Income)/Expenses","        Other Finance (Income)/Expenses")</f>
        <v xml:space="preserve">        Other Finance (Income)/Expenses</v>
      </c>
      <c r="D57" s="50" t="str">
        <f t="shared" si="8"/>
        <v/>
      </c>
      <c r="E57" s="50" t="str">
        <f t="shared" si="9"/>
        <v/>
      </c>
      <c r="F57" s="50" t="str">
        <f t="shared" si="10"/>
        <v/>
      </c>
      <c r="G57" s="50" t="str">
        <f t="shared" si="11"/>
        <v/>
      </c>
      <c r="H57" s="50" t="str">
        <f t="shared" si="12"/>
        <v/>
      </c>
      <c r="I57" s="50" t="str">
        <f t="shared" si="13"/>
        <v/>
      </c>
      <c r="J57" s="50" t="str">
        <f t="shared" si="14"/>
        <v/>
      </c>
      <c r="K57" s="49" t="str">
        <f t="shared" si="15"/>
        <v/>
      </c>
      <c r="L57" s="48"/>
      <c r="M57" s="48" t="str">
        <f>IF(SUBTOTAL(109,A57)=A57,"",-4366.245384)</f>
        <v/>
      </c>
      <c r="N57" s="48" t="str">
        <f>IF(SUBTOTAL(109,A57)=A57,"",4059.9519588)</f>
        <v/>
      </c>
      <c r="O57" s="48" t="str">
        <f>IF(SUBTOTAL(109,A57)=A57,"",0)</f>
        <v/>
      </c>
      <c r="P57" s="48" t="str">
        <f>IF(SUBTOTAL(109,A57)=A57,"",34415.663649808)</f>
        <v/>
      </c>
      <c r="Q57" s="48" t="str">
        <f>IF(SUBTOTAL(109,A57)=A57,"",2700.659246596)</f>
        <v/>
      </c>
      <c r="R57" s="48" t="str">
        <f>IF(SUBTOTAL(109,A57)=A57,"",1352.804514215)</f>
        <v/>
      </c>
      <c r="S57" s="48" t="str">
        <f>IF(SUBTOTAL(109,A57)=A57,"","")</f>
        <v/>
      </c>
      <c r="U57" s="40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</row>
    <row r="58" spans="1:42" outlineLevel="3">
      <c r="A58" s="41">
        <v>1</v>
      </c>
      <c r="C58" s="45" t="str">
        <f>"            Other Finance Income"</f>
        <v xml:space="preserve">            Other Finance Income</v>
      </c>
      <c r="D58" s="50">
        <f t="shared" si="8"/>
        <v>791.89271621700004</v>
      </c>
      <c r="E58" s="50">
        <f t="shared" si="9"/>
        <v>3701.7701679124002</v>
      </c>
      <c r="F58" s="50">
        <f t="shared" si="10"/>
        <v>0</v>
      </c>
      <c r="G58" s="50">
        <f t="shared" si="11"/>
        <v>13350.712739345001</v>
      </c>
      <c r="H58" s="50">
        <f t="shared" si="12"/>
        <v>0</v>
      </c>
      <c r="I58" s="50">
        <f t="shared" si="13"/>
        <v>4366.2453839999998</v>
      </c>
      <c r="J58" s="50">
        <f t="shared" si="14"/>
        <v>5688.0842907690976</v>
      </c>
      <c r="K58" s="49">
        <f t="shared" si="15"/>
        <v>1.5365849398415981</v>
      </c>
      <c r="L58" s="48"/>
      <c r="M58" s="48">
        <v>4366.2453839999998</v>
      </c>
      <c r="N58" s="48">
        <v>0</v>
      </c>
      <c r="O58" s="48" t="s">
        <v>130</v>
      </c>
      <c r="P58" s="48">
        <v>13350.712739345001</v>
      </c>
      <c r="Q58" s="48">
        <v>791.89271621700004</v>
      </c>
      <c r="R58" s="48">
        <v>0</v>
      </c>
      <c r="S58" s="48" t="s">
        <v>130</v>
      </c>
      <c r="U58" s="40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</row>
    <row r="59" spans="1:42" outlineLevel="3">
      <c r="A59" s="41">
        <v>1</v>
      </c>
      <c r="C59" s="45" t="str">
        <f>"            Other Finance Expenses"</f>
        <v xml:space="preserve">            Other Finance Expenses</v>
      </c>
      <c r="D59" s="50">
        <f t="shared" si="8"/>
        <v>2422.678238514</v>
      </c>
      <c r="E59" s="50">
        <f t="shared" si="9"/>
        <v>9445.2808041635017</v>
      </c>
      <c r="F59" s="50">
        <f t="shared" si="10"/>
        <v>0</v>
      </c>
      <c r="G59" s="50">
        <f t="shared" si="11"/>
        <v>47766.376389153003</v>
      </c>
      <c r="H59" s="50">
        <f t="shared" si="12"/>
        <v>338.20112855374998</v>
      </c>
      <c r="I59" s="50">
        <f t="shared" si="13"/>
        <v>3918.1019598032503</v>
      </c>
      <c r="J59" s="50">
        <f t="shared" si="14"/>
        <v>18851.302054275347</v>
      </c>
      <c r="K59" s="49">
        <f t="shared" si="15"/>
        <v>1.9958434741257931</v>
      </c>
      <c r="L59" s="48"/>
      <c r="M59" s="48">
        <v>0</v>
      </c>
      <c r="N59" s="48">
        <v>4059.9519588000003</v>
      </c>
      <c r="O59" s="48">
        <v>0</v>
      </c>
      <c r="P59" s="48">
        <v>47766.376389153003</v>
      </c>
      <c r="Q59" s="48">
        <v>3492.551962813</v>
      </c>
      <c r="R59" s="48">
        <v>1352.8045142149999</v>
      </c>
      <c r="S59" s="48" t="s">
        <v>130</v>
      </c>
      <c r="U59" s="40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</row>
    <row r="60" spans="1:42" outlineLevel="3">
      <c r="A60" s="41">
        <v>1</v>
      </c>
      <c r="C60" s="58" t="str">
        <f>"            Total Other Finance (Income)/Expenses"</f>
        <v xml:space="preserve">            Total Other Finance (Income)/Expenses</v>
      </c>
      <c r="D60" s="56">
        <f t="shared" si="8"/>
        <v>2026.7318804055001</v>
      </c>
      <c r="E60" s="56">
        <f t="shared" si="9"/>
        <v>6360.4723309031679</v>
      </c>
      <c r="F60" s="56">
        <f t="shared" si="10"/>
        <v>-4366.2453839999998</v>
      </c>
      <c r="G60" s="56">
        <f t="shared" si="11"/>
        <v>34415.663649808004</v>
      </c>
      <c r="H60" s="56">
        <f t="shared" si="12"/>
        <v>338.20112855374998</v>
      </c>
      <c r="I60" s="56">
        <f t="shared" si="13"/>
        <v>3720.1287807490003</v>
      </c>
      <c r="J60" s="56">
        <f t="shared" si="14"/>
        <v>14045.46335230403</v>
      </c>
      <c r="K60" s="55">
        <f t="shared" si="15"/>
        <v>2.2082421904521699</v>
      </c>
      <c r="L60" s="57"/>
      <c r="M60" s="57">
        <v>-4366.2453839999998</v>
      </c>
      <c r="N60" s="57">
        <v>4059.9519588000003</v>
      </c>
      <c r="O60" s="57">
        <v>0</v>
      </c>
      <c r="P60" s="57">
        <v>34415.663649808004</v>
      </c>
      <c r="Q60" s="57">
        <v>2700.6592465960002</v>
      </c>
      <c r="R60" s="57">
        <v>1352.8045142149999</v>
      </c>
      <c r="S60" s="57" t="s">
        <v>130</v>
      </c>
      <c r="U60" s="40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</row>
    <row r="61" spans="1:42" outlineLevel="2">
      <c r="A61" s="41">
        <v>1</v>
      </c>
      <c r="C61" s="58" t="str">
        <f>"        Total Net Finance (Income)/Expense"</f>
        <v xml:space="preserve">        Total Net Finance (Income)/Expense</v>
      </c>
      <c r="D61" s="56">
        <f t="shared" si="8"/>
        <v>18830.016353565999</v>
      </c>
      <c r="E61" s="56">
        <f t="shared" si="9"/>
        <v>20037.06324423783</v>
      </c>
      <c r="F61" s="56">
        <f t="shared" si="10"/>
        <v>-7670.4310799999994</v>
      </c>
      <c r="G61" s="56">
        <f t="shared" si="11"/>
        <v>46830.107045404999</v>
      </c>
      <c r="H61" s="56">
        <f t="shared" si="12"/>
        <v>8445.2092996254996</v>
      </c>
      <c r="I61" s="56">
        <f t="shared" si="13"/>
        <v>33521.801971825</v>
      </c>
      <c r="J61" s="56">
        <f t="shared" si="14"/>
        <v>19987.259803804311</v>
      </c>
      <c r="K61" s="55">
        <f t="shared" si="15"/>
        <v>0.99751443413506014</v>
      </c>
      <c r="L61" s="57"/>
      <c r="M61" s="57">
        <v>-7670.4310799999994</v>
      </c>
      <c r="N61" s="57">
        <v>24246.935309500001</v>
      </c>
      <c r="O61" s="57">
        <v>36613.424192599996</v>
      </c>
      <c r="P61" s="57">
        <v>46830.107045404999</v>
      </c>
      <c r="Q61" s="57">
        <v>13413.097397632</v>
      </c>
      <c r="R61" s="57">
        <v>6789.2466002899992</v>
      </c>
      <c r="S61" s="57" t="s">
        <v>130</v>
      </c>
      <c r="U61" s="40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</row>
    <row r="62" spans="1:42" outlineLevel="1">
      <c r="A62" s="41">
        <v>1</v>
      </c>
      <c r="C62" s="45" t="str">
        <f>IF(SUBTOTAL(109,A62)=A62,"    Net Investment Income","    Net Investment Income")</f>
        <v xml:space="preserve">    Net Investment Income</v>
      </c>
      <c r="D62" s="50" t="str">
        <f t="shared" si="8"/>
        <v/>
      </c>
      <c r="E62" s="50" t="str">
        <f t="shared" si="9"/>
        <v/>
      </c>
      <c r="F62" s="50" t="str">
        <f t="shared" si="10"/>
        <v/>
      </c>
      <c r="G62" s="50" t="str">
        <f t="shared" si="11"/>
        <v/>
      </c>
      <c r="H62" s="50" t="str">
        <f t="shared" si="12"/>
        <v/>
      </c>
      <c r="I62" s="50" t="str">
        <f t="shared" si="13"/>
        <v/>
      </c>
      <c r="J62" s="50" t="str">
        <f t="shared" si="14"/>
        <v/>
      </c>
      <c r="K62" s="49" t="str">
        <f t="shared" si="15"/>
        <v/>
      </c>
      <c r="L62" s="48"/>
      <c r="M62" s="48" t="str">
        <f>IF(SUBTOTAL(109,A62)=A62,"",-73282.1184719999)</f>
        <v/>
      </c>
      <c r="N62" s="48" t="str">
        <f>IF(SUBTOTAL(109,A62)=A62,"",-80296.8276296)</f>
        <v/>
      </c>
      <c r="O62" s="48" t="str">
        <f>IF(SUBTOTAL(109,A62)=A62,"",-1327.37489519999)</f>
        <v/>
      </c>
      <c r="P62" s="48" t="str">
        <f>IF(SUBTOTAL(109,A62)=A62,"",2690.110377475)</f>
        <v/>
      </c>
      <c r="Q62" s="48" t="str">
        <f>IF(SUBTOTAL(109,A62)=A62,"",-2349.149079431)</f>
        <v/>
      </c>
      <c r="R62" s="48" t="str">
        <f>IF(SUBTOTAL(109,A62)=A62,"",-5663.45834901)</f>
        <v/>
      </c>
      <c r="S62" s="48" t="str">
        <f>IF(SUBTOTAL(109,A62)=A62,"","")</f>
        <v/>
      </c>
      <c r="U62" s="40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</row>
    <row r="63" spans="1:42" outlineLevel="2">
      <c r="A63" s="41">
        <v>1</v>
      </c>
      <c r="C63" s="45" t="str">
        <f>"        Gain/(Loss) on Investments and Other Financial Instruments"</f>
        <v xml:space="preserve">        Gain/(Loss) on Investments and Other Financial Instruments</v>
      </c>
      <c r="D63" s="50">
        <f t="shared" si="8"/>
        <v>-1443.230350967</v>
      </c>
      <c r="E63" s="50">
        <f t="shared" si="9"/>
        <v>-1443.230350967</v>
      </c>
      <c r="F63" s="50">
        <f t="shared" si="10"/>
        <v>-2886.4607019340001</v>
      </c>
      <c r="G63" s="50">
        <f t="shared" si="11"/>
        <v>0</v>
      </c>
      <c r="H63" s="50">
        <f t="shared" si="12"/>
        <v>-2164.8455264505001</v>
      </c>
      <c r="I63" s="50">
        <f t="shared" si="13"/>
        <v>-721.61517548350002</v>
      </c>
      <c r="J63" s="50">
        <f t="shared" si="14"/>
        <v>2041.0359359660133</v>
      </c>
      <c r="K63" s="49">
        <f t="shared" si="15"/>
        <v>-1.4142135623730949</v>
      </c>
      <c r="L63" s="48"/>
      <c r="M63" s="48" t="s">
        <v>130</v>
      </c>
      <c r="N63" s="48" t="s">
        <v>130</v>
      </c>
      <c r="O63" s="48" t="s">
        <v>130</v>
      </c>
      <c r="P63" s="48">
        <v>-2886.4607019340001</v>
      </c>
      <c r="Q63" s="48">
        <v>0</v>
      </c>
      <c r="R63" s="48" t="s">
        <v>130</v>
      </c>
      <c r="S63" s="48" t="s">
        <v>130</v>
      </c>
      <c r="U63" s="40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</row>
    <row r="64" spans="1:42" outlineLevel="2">
      <c r="A64" s="41">
        <v>1</v>
      </c>
      <c r="C64" s="45" t="str">
        <f>"        Fair Value or Unrealized Gain/(Loss) on Financial Assets"</f>
        <v xml:space="preserve">        Fair Value or Unrealized Gain/(Loss) on Financial Assets</v>
      </c>
      <c r="D64" s="50">
        <f t="shared" si="8"/>
        <v>-11835.759482199999</v>
      </c>
      <c r="E64" s="50">
        <f t="shared" si="9"/>
        <v>-20448.2060303</v>
      </c>
      <c r="F64" s="50">
        <f t="shared" si="10"/>
        <v>-49508.8586087</v>
      </c>
      <c r="G64" s="50">
        <f t="shared" si="11"/>
        <v>0</v>
      </c>
      <c r="H64" s="50">
        <f t="shared" si="12"/>
        <v>-30672.309045449998</v>
      </c>
      <c r="I64" s="50">
        <f t="shared" si="13"/>
        <v>-5917.8797410999996</v>
      </c>
      <c r="J64" s="50">
        <f t="shared" si="14"/>
        <v>25853.673759099918</v>
      </c>
      <c r="K64" s="49">
        <f t="shared" si="15"/>
        <v>-1.264349240260497</v>
      </c>
      <c r="L64" s="48"/>
      <c r="M64" s="48">
        <v>0</v>
      </c>
      <c r="N64" s="48">
        <v>-49508.8586087</v>
      </c>
      <c r="O64" s="48">
        <v>-11835.759482199999</v>
      </c>
      <c r="P64" s="48" t="s">
        <v>130</v>
      </c>
      <c r="Q64" s="48" t="s">
        <v>130</v>
      </c>
      <c r="R64" s="48" t="s">
        <v>130</v>
      </c>
      <c r="S64" s="48" t="s">
        <v>130</v>
      </c>
      <c r="U64" s="40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</row>
    <row r="65" spans="1:42" outlineLevel="2">
      <c r="A65" s="41">
        <v>1</v>
      </c>
      <c r="C65" s="45" t="str">
        <f>IF(SUBTOTAL(109,A65)=A65,"        Income from Associates, Joint Ventures and Other Participating Interests","        Income from Associates, Joint Ventures and Other Participating Interests")</f>
        <v xml:space="preserve">        Income from Associates, Joint Ventures and Other Participating Interests</v>
      </c>
      <c r="D65" s="50" t="str">
        <f t="shared" si="8"/>
        <v/>
      </c>
      <c r="E65" s="50" t="str">
        <f t="shared" si="9"/>
        <v/>
      </c>
      <c r="F65" s="50" t="str">
        <f t="shared" si="10"/>
        <v/>
      </c>
      <c r="G65" s="50" t="str">
        <f t="shared" si="11"/>
        <v/>
      </c>
      <c r="H65" s="50" t="str">
        <f t="shared" si="12"/>
        <v/>
      </c>
      <c r="I65" s="50" t="str">
        <f t="shared" si="13"/>
        <v/>
      </c>
      <c r="J65" s="50" t="str">
        <f t="shared" si="14"/>
        <v/>
      </c>
      <c r="K65" s="49" t="str">
        <f t="shared" si="15"/>
        <v/>
      </c>
      <c r="L65" s="48"/>
      <c r="M65" s="48" t="str">
        <f>IF(SUBTOTAL(109,A65)=A65,"",-91101.1199039999)</f>
        <v/>
      </c>
      <c r="N65" s="48" t="str">
        <f>IF(SUBTOTAL(109,A65)=A65,"",-789.4351031)</f>
        <v/>
      </c>
      <c r="O65" s="48" t="str">
        <f>IF(SUBTOTAL(109,A65)=A65,"",-5641.34330459999)</f>
        <v/>
      </c>
      <c r="P65" s="48" t="str">
        <f>IF(SUBTOTAL(109,A65)=A65,"","")</f>
        <v/>
      </c>
      <c r="Q65" s="48" t="str">
        <f>IF(SUBTOTAL(109,A65)=A65,"","")</f>
        <v/>
      </c>
      <c r="R65" s="48" t="str">
        <f>IF(SUBTOTAL(109,A65)=A65,"","")</f>
        <v/>
      </c>
      <c r="S65" s="48" t="str">
        <f>IF(SUBTOTAL(109,A65)=A65,"","")</f>
        <v/>
      </c>
      <c r="U65" s="40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</row>
    <row r="66" spans="1:42" outlineLevel="3">
      <c r="A66" s="41">
        <v>1</v>
      </c>
      <c r="C66" s="45" t="str">
        <f>"            Share of Profit and Interest from Associates"</f>
        <v xml:space="preserve">            Share of Profit and Interest from Associates</v>
      </c>
      <c r="D66" s="50">
        <f t="shared" si="8"/>
        <v>-22267.785981149995</v>
      </c>
      <c r="E66" s="50">
        <f t="shared" si="9"/>
        <v>-22267.785981149995</v>
      </c>
      <c r="F66" s="50">
        <f t="shared" si="10"/>
        <v>-45550.559951999989</v>
      </c>
      <c r="G66" s="50">
        <f t="shared" si="11"/>
        <v>1014.9879897000001</v>
      </c>
      <c r="H66" s="50">
        <f t="shared" si="12"/>
        <v>-33909.172966574988</v>
      </c>
      <c r="I66" s="50">
        <f t="shared" si="13"/>
        <v>-10626.398995724994</v>
      </c>
      <c r="J66" s="50">
        <f t="shared" si="14"/>
        <v>32926.814719243339</v>
      </c>
      <c r="K66" s="49">
        <f t="shared" si="15"/>
        <v>-1.4786748331026878</v>
      </c>
      <c r="L66" s="48"/>
      <c r="M66" s="48">
        <v>-45550.559951999989</v>
      </c>
      <c r="N66" s="48">
        <v>1014.9879897000001</v>
      </c>
      <c r="O66" s="48" t="s">
        <v>130</v>
      </c>
      <c r="P66" s="48" t="s">
        <v>130</v>
      </c>
      <c r="Q66" s="48" t="s">
        <v>130</v>
      </c>
      <c r="R66" s="48" t="s">
        <v>130</v>
      </c>
      <c r="S66" s="48" t="s">
        <v>130</v>
      </c>
      <c r="U66" s="40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</row>
    <row r="67" spans="1:42" outlineLevel="3">
      <c r="A67" s="41">
        <v>1</v>
      </c>
      <c r="C67" s="45" t="str">
        <f>"            Income from Other Participating Interests"</f>
        <v xml:space="preserve">            Income from Other Participating Interests</v>
      </c>
      <c r="D67" s="50">
        <f t="shared" si="8"/>
        <v>-5641.3433045999991</v>
      </c>
      <c r="E67" s="50">
        <f t="shared" si="9"/>
        <v>-17665.442116466664</v>
      </c>
      <c r="F67" s="50">
        <f t="shared" si="10"/>
        <v>-45550.559951999989</v>
      </c>
      <c r="G67" s="50">
        <f t="shared" si="11"/>
        <v>-1804.4230928000002</v>
      </c>
      <c r="H67" s="50">
        <f t="shared" si="12"/>
        <v>-25595.951628299994</v>
      </c>
      <c r="I67" s="50">
        <f t="shared" si="13"/>
        <v>-3722.8831986999994</v>
      </c>
      <c r="J67" s="50">
        <f t="shared" si="14"/>
        <v>24225.303645240732</v>
      </c>
      <c r="K67" s="49">
        <f t="shared" si="15"/>
        <v>-1.3713386557509002</v>
      </c>
      <c r="L67" s="48"/>
      <c r="M67" s="48">
        <v>-45550.559951999989</v>
      </c>
      <c r="N67" s="48">
        <v>-1804.4230928000002</v>
      </c>
      <c r="O67" s="48">
        <v>-5641.3433045999991</v>
      </c>
      <c r="P67" s="48" t="s">
        <v>130</v>
      </c>
      <c r="Q67" s="48" t="s">
        <v>130</v>
      </c>
      <c r="R67" s="48" t="s">
        <v>130</v>
      </c>
      <c r="S67" s="48" t="s">
        <v>130</v>
      </c>
      <c r="U67" s="40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</row>
    <row r="68" spans="1:42" outlineLevel="3">
      <c r="A68" s="41">
        <v>1</v>
      </c>
      <c r="C68" s="58" t="str">
        <f>"            Total Income from Associates, Joint Ventures and Other Participating Interests"</f>
        <v xml:space="preserve">            Total Income from Associates, Joint Ventures and Other Participating Interests</v>
      </c>
      <c r="D68" s="56">
        <f t="shared" si="8"/>
        <v>-5641.3433045999991</v>
      </c>
      <c r="E68" s="56">
        <f t="shared" si="9"/>
        <v>-32510.632770566659</v>
      </c>
      <c r="F68" s="56">
        <f t="shared" si="10"/>
        <v>-91101.119903999977</v>
      </c>
      <c r="G68" s="56">
        <f t="shared" si="11"/>
        <v>-789.43510310000011</v>
      </c>
      <c r="H68" s="56">
        <f t="shared" si="12"/>
        <v>-48371.231604299988</v>
      </c>
      <c r="I68" s="56">
        <f t="shared" si="13"/>
        <v>-3215.3892038499998</v>
      </c>
      <c r="J68" s="56">
        <f t="shared" si="14"/>
        <v>50798.810421098511</v>
      </c>
      <c r="K68" s="55">
        <f t="shared" si="15"/>
        <v>-1.5625291202295195</v>
      </c>
      <c r="L68" s="57"/>
      <c r="M68" s="57">
        <v>-91101.119903999977</v>
      </c>
      <c r="N68" s="57">
        <v>-789.43510310000011</v>
      </c>
      <c r="O68" s="57">
        <v>-5641.3433045999991</v>
      </c>
      <c r="P68" s="57" t="s">
        <v>130</v>
      </c>
      <c r="Q68" s="57" t="s">
        <v>130</v>
      </c>
      <c r="R68" s="57" t="s">
        <v>130</v>
      </c>
      <c r="S68" s="57" t="s">
        <v>130</v>
      </c>
      <c r="U68" s="40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</row>
    <row r="69" spans="1:42" outlineLevel="2">
      <c r="A69" s="41">
        <v>1</v>
      </c>
      <c r="C69" s="45" t="str">
        <f>"        Gain/(Loss) on Foreign Exchange"</f>
        <v xml:space="preserve">        Gain/(Loss) on Foreign Exchange</v>
      </c>
      <c r="D69" s="50">
        <f t="shared" si="8"/>
        <v>130.05552562850016</v>
      </c>
      <c r="E69" s="50">
        <f t="shared" si="9"/>
        <v>-2087.9297853688336</v>
      </c>
      <c r="F69" s="50">
        <f t="shared" si="10"/>
        <v>-30900.745464200001</v>
      </c>
      <c r="G69" s="50">
        <f t="shared" si="11"/>
        <v>17819.001432000001</v>
      </c>
      <c r="H69" s="50">
        <f t="shared" si="12"/>
        <v>-7350.5285952337508</v>
      </c>
      <c r="I69" s="50">
        <f t="shared" si="13"/>
        <v>7636.0970595955005</v>
      </c>
      <c r="J69" s="50">
        <f t="shared" si="14"/>
        <v>16915.475369560612</v>
      </c>
      <c r="K69" s="49">
        <f t="shared" si="15"/>
        <v>-8.1015537438546996</v>
      </c>
      <c r="L69" s="48"/>
      <c r="M69" s="48">
        <v>17819.001432000001</v>
      </c>
      <c r="N69" s="48">
        <v>-30900.745464200001</v>
      </c>
      <c r="O69" s="48">
        <v>9623.4679902000007</v>
      </c>
      <c r="P69" s="48">
        <v>-9329.4137214700004</v>
      </c>
      <c r="Q69" s="48">
        <v>1673.9842677820002</v>
      </c>
      <c r="R69" s="48">
        <v>-1413.8732165249999</v>
      </c>
      <c r="S69" s="48" t="s">
        <v>130</v>
      </c>
      <c r="U69" s="40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</row>
    <row r="70" spans="1:42" outlineLevel="2">
      <c r="A70" s="41">
        <v>1</v>
      </c>
      <c r="C70" s="45" t="str">
        <f>IF(SUBTOTAL(109,A70)=A70,"        Gain/(Loss) on Derivatives","        Gain/(Loss) on Derivatives")</f>
        <v xml:space="preserve">        Gain/(Loss) on Derivatives</v>
      </c>
      <c r="D70" s="50" t="str">
        <f t="shared" si="8"/>
        <v/>
      </c>
      <c r="E70" s="50" t="str">
        <f t="shared" si="9"/>
        <v/>
      </c>
      <c r="F70" s="50" t="str">
        <f t="shared" si="10"/>
        <v/>
      </c>
      <c r="G70" s="50" t="str">
        <f t="shared" si="11"/>
        <v/>
      </c>
      <c r="H70" s="50" t="str">
        <f t="shared" si="12"/>
        <v/>
      </c>
      <c r="I70" s="50" t="str">
        <f t="shared" si="13"/>
        <v/>
      </c>
      <c r="J70" s="50" t="str">
        <f t="shared" si="14"/>
        <v/>
      </c>
      <c r="K70" s="49" t="str">
        <f t="shared" si="15"/>
        <v/>
      </c>
      <c r="L70" s="48"/>
      <c r="M70" s="48" t="str">
        <f>IF(SUBTOTAL(109,A70)=A70,"",0)</f>
        <v/>
      </c>
      <c r="N70" s="48" t="str">
        <f>IF(SUBTOTAL(109,A70)=A70,"",902.2115464)</f>
        <v/>
      </c>
      <c r="O70" s="48" t="str">
        <f>IF(SUBTOTAL(109,A70)=A70,"",6526.2599014)</f>
        <v/>
      </c>
      <c r="P70" s="48" t="str">
        <f>IF(SUBTOTAL(109,A70)=A70,"",14905.984800879)</f>
        <v/>
      </c>
      <c r="Q70" s="48" t="str">
        <f>IF(SUBTOTAL(109,A70)=A70,"",-4023.133347213)</f>
        <v/>
      </c>
      <c r="R70" s="48" t="str">
        <f>IF(SUBTOTAL(109,A70)=A70,"",-4249.58513248499)</f>
        <v/>
      </c>
      <c r="S70" s="48" t="str">
        <f>IF(SUBTOTAL(109,A70)=A70,"","")</f>
        <v/>
      </c>
      <c r="U70" s="40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</row>
    <row r="71" spans="1:42" outlineLevel="3">
      <c r="A71" s="41">
        <v>1</v>
      </c>
      <c r="C71" s="45" t="str">
        <f>"            Unrealized Gain/Loss on Derivatives"</f>
        <v xml:space="preserve">            Unrealized Gain/Loss on Derivatives</v>
      </c>
      <c r="D71" s="50">
        <f t="shared" si="8"/>
        <v>451.10577320000004</v>
      </c>
      <c r="E71" s="50">
        <f t="shared" si="9"/>
        <v>2343.6229614968338</v>
      </c>
      <c r="F71" s="50">
        <f t="shared" si="10"/>
        <v>-4249.5851324849991</v>
      </c>
      <c r="G71" s="50">
        <f t="shared" si="11"/>
        <v>14905.984800879001</v>
      </c>
      <c r="H71" s="50">
        <f t="shared" si="12"/>
        <v>-3017.3500104097502</v>
      </c>
      <c r="I71" s="50">
        <f t="shared" si="13"/>
        <v>5120.24781265</v>
      </c>
      <c r="J71" s="50">
        <f t="shared" si="14"/>
        <v>7305.9373262145973</v>
      </c>
      <c r="K71" s="49">
        <f t="shared" si="15"/>
        <v>3.1173688968930455</v>
      </c>
      <c r="L71" s="48"/>
      <c r="M71" s="48">
        <v>0</v>
      </c>
      <c r="N71" s="48">
        <v>902.21154640000009</v>
      </c>
      <c r="O71" s="48">
        <v>6526.2599013999998</v>
      </c>
      <c r="P71" s="48">
        <v>14905.984800879001</v>
      </c>
      <c r="Q71" s="48">
        <v>-4023.133347213</v>
      </c>
      <c r="R71" s="48">
        <v>-4249.5851324849991</v>
      </c>
      <c r="S71" s="48" t="s">
        <v>130</v>
      </c>
      <c r="U71" s="40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</row>
    <row r="72" spans="1:42" outlineLevel="3">
      <c r="A72" s="41">
        <v>1</v>
      </c>
      <c r="C72" s="58" t="str">
        <f>"            Total Gain/(Loss) on Derivatives"</f>
        <v xml:space="preserve">            Total Gain/(Loss) on Derivatives</v>
      </c>
      <c r="D72" s="56">
        <f t="shared" si="8"/>
        <v>451.10577320000004</v>
      </c>
      <c r="E72" s="56">
        <f t="shared" si="9"/>
        <v>2343.6229614968338</v>
      </c>
      <c r="F72" s="56">
        <f t="shared" si="10"/>
        <v>-4249.5851324849991</v>
      </c>
      <c r="G72" s="56">
        <f t="shared" si="11"/>
        <v>14905.984800879001</v>
      </c>
      <c r="H72" s="56">
        <f t="shared" si="12"/>
        <v>-3017.3500104097502</v>
      </c>
      <c r="I72" s="56">
        <f t="shared" si="13"/>
        <v>5120.24781265</v>
      </c>
      <c r="J72" s="56">
        <f t="shared" si="14"/>
        <v>7305.9373262145973</v>
      </c>
      <c r="K72" s="55">
        <f t="shared" si="15"/>
        <v>3.1173688968930455</v>
      </c>
      <c r="L72" s="57"/>
      <c r="M72" s="57">
        <v>0</v>
      </c>
      <c r="N72" s="57">
        <v>902.21154640000009</v>
      </c>
      <c r="O72" s="57">
        <v>6526.2599013999998</v>
      </c>
      <c r="P72" s="57">
        <v>14905.984800879001</v>
      </c>
      <c r="Q72" s="57">
        <v>-4023.133347213</v>
      </c>
      <c r="R72" s="57">
        <v>-4249.5851324849991</v>
      </c>
      <c r="S72" s="57" t="s">
        <v>130</v>
      </c>
      <c r="U72" s="40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</row>
    <row r="73" spans="1:42" outlineLevel="2">
      <c r="A73" s="41">
        <v>1</v>
      </c>
      <c r="C73" s="58" t="str">
        <f>"        Total Net Investment Income"</f>
        <v xml:space="preserve">        Total Net Investment Income</v>
      </c>
      <c r="D73" s="56">
        <f t="shared" si="8"/>
        <v>-4006.3037142205003</v>
      </c>
      <c r="E73" s="56">
        <f t="shared" si="9"/>
        <v>-26704.803007960993</v>
      </c>
      <c r="F73" s="56">
        <f t="shared" si="10"/>
        <v>-80296.827629599997</v>
      </c>
      <c r="G73" s="56">
        <f t="shared" si="11"/>
        <v>2690.110377475</v>
      </c>
      <c r="H73" s="56">
        <f t="shared" si="12"/>
        <v>-56377.453441252495</v>
      </c>
      <c r="I73" s="56">
        <f t="shared" si="13"/>
        <v>-1582.81844125775</v>
      </c>
      <c r="J73" s="56">
        <f t="shared" si="14"/>
        <v>38950.127786136181</v>
      </c>
      <c r="K73" s="55">
        <f t="shared" si="15"/>
        <v>-1.4585439096676625</v>
      </c>
      <c r="L73" s="57"/>
      <c r="M73" s="57">
        <v>-73282.118471999987</v>
      </c>
      <c r="N73" s="57">
        <v>-80296.827629599997</v>
      </c>
      <c r="O73" s="57">
        <v>-1327.3748951999999</v>
      </c>
      <c r="P73" s="57">
        <v>2690.110377475</v>
      </c>
      <c r="Q73" s="57">
        <v>-2349.1490794310002</v>
      </c>
      <c r="R73" s="57">
        <v>-5663.4583490100003</v>
      </c>
      <c r="S73" s="57" t="s">
        <v>130</v>
      </c>
      <c r="U73" s="40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</row>
    <row r="74" spans="1:42" outlineLevel="1">
      <c r="A74" s="41">
        <v>1</v>
      </c>
      <c r="C74" s="45" t="str">
        <f>IF(SUBTOTAL(109,A74)=A74,"    Irregular (Income)/Expenses","    Irregular (Income)/Expenses")</f>
        <v xml:space="preserve">    Irregular (Income)/Expenses</v>
      </c>
      <c r="D74" s="50" t="str">
        <f t="shared" ref="D74:D101" si="16">IF(COUNT(M74:S74)&gt;0,MEDIAN(M74:S74),"")</f>
        <v/>
      </c>
      <c r="E74" s="50" t="str">
        <f t="shared" ref="E74:E101" si="17">IF(COUNT(M74:S74)&gt;0,AVERAGE(M74:S74),"")</f>
        <v/>
      </c>
      <c r="F74" s="50" t="str">
        <f t="shared" ref="F74:F101" si="18">IF(COUNT(M74:S74)&gt;0,MIN(M74:S74),"")</f>
        <v/>
      </c>
      <c r="G74" s="50" t="str">
        <f t="shared" ref="G74:G101" si="19">IF(COUNT(M74:S74)&gt;0,MAX(M74:S74),"")</f>
        <v/>
      </c>
      <c r="H74" s="50" t="str">
        <f t="shared" ref="H74:H101" si="20">IF(COUNT(M74:S74)&gt;0,QUARTILE(M74:S74,1),"")</f>
        <v/>
      </c>
      <c r="I74" s="50" t="str">
        <f t="shared" ref="I74:I101" si="21">IF(COUNT(M74:S74)&gt;0,QUARTILE(M74:S74,3),"")</f>
        <v/>
      </c>
      <c r="J74" s="50" t="str">
        <f t="shared" ref="J74:J101" si="22">IF(COUNT(M74:S74)&gt;1,STDEV(M74:S74),"")</f>
        <v/>
      </c>
      <c r="K74" s="49" t="str">
        <f t="shared" ref="K74:K101" si="23">IF(COUNT(M74:S74)&gt;1,STDEV(M74:S74)/AVERAGE(M74:S74),"")</f>
        <v/>
      </c>
      <c r="L74" s="48"/>
      <c r="M74" s="48" t="str">
        <f>IF(SUBTOTAL(109,A74)=A74,"",113522.379983999)</f>
        <v/>
      </c>
      <c r="N74" s="48" t="str">
        <f>IF(SUBTOTAL(109,A74)=A74,"",67214.7602068)</f>
        <v/>
      </c>
      <c r="O74" s="48" t="str">
        <f>IF(SUBTOTAL(109,A74)=A74,"",101544.1794828)</f>
        <v/>
      </c>
      <c r="P74" s="48" t="str">
        <f>IF(SUBTOTAL(109,A74)=A74,"",91439.347709076)</f>
        <v/>
      </c>
      <c r="Q74" s="48" t="str">
        <f>IF(SUBTOTAL(109,A74)=A74,"",-283.861040654)</f>
        <v/>
      </c>
      <c r="R74" s="48" t="str">
        <f>IF(SUBTOTAL(109,A74)=A74,"",-517.756389149999)</f>
        <v/>
      </c>
      <c r="S74" s="48" t="str">
        <f>IF(SUBTOTAL(109,A74)=A74,"","")</f>
        <v/>
      </c>
      <c r="U74" s="40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</row>
    <row r="75" spans="1:42" outlineLevel="2">
      <c r="A75" s="41">
        <v>1</v>
      </c>
      <c r="C75" s="45" t="str">
        <f>"        (Gain)/Loss on Disposal of Businesses"</f>
        <v xml:space="preserve">        (Gain)/Loss on Disposal of Businesses</v>
      </c>
      <c r="D75" s="50">
        <f t="shared" si="16"/>
        <v>-1268.7710087999994</v>
      </c>
      <c r="E75" s="50">
        <f t="shared" si="17"/>
        <v>-6075.8163821712487</v>
      </c>
      <c r="F75" s="50">
        <f t="shared" si="18"/>
        <v>-24810.817525999999</v>
      </c>
      <c r="G75" s="50">
        <f t="shared" si="19"/>
        <v>3045.0940149150001</v>
      </c>
      <c r="H75" s="50">
        <f t="shared" si="20"/>
        <v>-10096.923237499999</v>
      </c>
      <c r="I75" s="50">
        <f t="shared" si="21"/>
        <v>2752.3358465287497</v>
      </c>
      <c r="J75" s="50">
        <f t="shared" si="22"/>
        <v>13053.66711819263</v>
      </c>
      <c r="K75" s="49">
        <f t="shared" si="23"/>
        <v>-2.148463070164043</v>
      </c>
      <c r="L75" s="48"/>
      <c r="M75" s="48">
        <v>-5192.291807999999</v>
      </c>
      <c r="N75" s="48">
        <v>-24810.817525999999</v>
      </c>
      <c r="O75" s="48">
        <v>2654.7497903999997</v>
      </c>
      <c r="P75" s="48">
        <v>3045.0940149150001</v>
      </c>
      <c r="Q75" s="48" t="s">
        <v>130</v>
      </c>
      <c r="R75" s="48" t="s">
        <v>130</v>
      </c>
      <c r="S75" s="48" t="s">
        <v>130</v>
      </c>
      <c r="U75" s="40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</row>
    <row r="76" spans="1:42" outlineLevel="2">
      <c r="A76" s="41">
        <v>1</v>
      </c>
      <c r="C76" s="45" t="str">
        <f>"        (Gain)/Loss on Asset Disposals"</f>
        <v xml:space="preserve">        (Gain)/Loss on Asset Disposals</v>
      </c>
      <c r="D76" s="50">
        <f t="shared" si="16"/>
        <v>259.09991415799999</v>
      </c>
      <c r="E76" s="50">
        <f t="shared" si="17"/>
        <v>133.03285015699996</v>
      </c>
      <c r="F76" s="50">
        <f t="shared" si="18"/>
        <v>-570.85960854999996</v>
      </c>
      <c r="G76" s="50">
        <f t="shared" si="19"/>
        <v>663.68744759999993</v>
      </c>
      <c r="H76" s="50">
        <f t="shared" si="20"/>
        <v>-241.489604114</v>
      </c>
      <c r="I76" s="50">
        <f t="shared" si="21"/>
        <v>511.416636375</v>
      </c>
      <c r="J76" s="50">
        <f t="shared" si="22"/>
        <v>504.44743973831959</v>
      </c>
      <c r="K76" s="49">
        <f t="shared" si="23"/>
        <v>3.7919013171783607</v>
      </c>
      <c r="L76" s="48"/>
      <c r="M76" s="48">
        <v>354.01989599999996</v>
      </c>
      <c r="N76" s="48">
        <v>563.88221650000003</v>
      </c>
      <c r="O76" s="48">
        <v>663.68744759999993</v>
      </c>
      <c r="P76" s="48">
        <v>164.17993231600002</v>
      </c>
      <c r="Q76" s="48">
        <v>-376.71278292400001</v>
      </c>
      <c r="R76" s="48">
        <v>-570.85960854999996</v>
      </c>
      <c r="S76" s="48" t="s">
        <v>130</v>
      </c>
      <c r="U76" s="40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</row>
    <row r="77" spans="1:42" outlineLevel="2">
      <c r="A77" s="41">
        <v>1</v>
      </c>
      <c r="C77" s="45" t="str">
        <f>"        Impairment/Write Off/Write Down of Capital Assets"</f>
        <v xml:space="preserve">        Impairment/Write Off/Write Down of Capital Assets</v>
      </c>
      <c r="D77" s="50">
        <f t="shared" si="16"/>
        <v>12777.713577823</v>
      </c>
      <c r="E77" s="50">
        <f t="shared" si="17"/>
        <v>16798.133710363003</v>
      </c>
      <c r="F77" s="50">
        <f t="shared" si="18"/>
        <v>11.948224365</v>
      </c>
      <c r="G77" s="50">
        <f t="shared" si="19"/>
        <v>41625.159461441006</v>
      </c>
      <c r="H77" s="50">
        <f t="shared" si="20"/>
        <v>88.54330432575</v>
      </c>
      <c r="I77" s="50">
        <f t="shared" si="21"/>
        <v>29487.303983860253</v>
      </c>
      <c r="J77" s="50">
        <f t="shared" si="22"/>
        <v>20422.375564381837</v>
      </c>
      <c r="K77" s="49">
        <f t="shared" si="23"/>
        <v>1.215752649461469</v>
      </c>
      <c r="L77" s="48"/>
      <c r="M77" s="48" t="s">
        <v>130</v>
      </c>
      <c r="N77" s="48" t="s">
        <v>130</v>
      </c>
      <c r="O77" s="48">
        <v>25441.352158000002</v>
      </c>
      <c r="P77" s="48">
        <v>41625.159461441006</v>
      </c>
      <c r="Q77" s="48">
        <v>114.074997646</v>
      </c>
      <c r="R77" s="48">
        <v>11.948224365</v>
      </c>
      <c r="S77" s="48" t="s">
        <v>130</v>
      </c>
      <c r="U77" s="40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</row>
    <row r="78" spans="1:42" outlineLevel="2">
      <c r="A78" s="41">
        <v>1</v>
      </c>
      <c r="C78" s="45" t="str">
        <f>"        Goodwill Impairment/Write Off"</f>
        <v xml:space="preserve">        Goodwill Impairment/Write Off</v>
      </c>
      <c r="D78" s="50">
        <f t="shared" si="16"/>
        <v>4792.6714540000003</v>
      </c>
      <c r="E78" s="50">
        <f t="shared" si="17"/>
        <v>5630.4299069407498</v>
      </c>
      <c r="F78" s="50">
        <f t="shared" si="18"/>
        <v>2317.3775581630002</v>
      </c>
      <c r="G78" s="50">
        <f t="shared" si="19"/>
        <v>10618.999161599999</v>
      </c>
      <c r="H78" s="50">
        <f t="shared" si="20"/>
        <v>3962.6376885407503</v>
      </c>
      <c r="I78" s="50">
        <f t="shared" si="21"/>
        <v>6460.4636724000002</v>
      </c>
      <c r="J78" s="50">
        <f t="shared" si="22"/>
        <v>3531.9697102352593</v>
      </c>
      <c r="K78" s="49">
        <f t="shared" si="23"/>
        <v>0.62730018286549061</v>
      </c>
      <c r="L78" s="48"/>
      <c r="M78" s="48">
        <v>5074.2851760000003</v>
      </c>
      <c r="N78" s="48">
        <v>4511.0577320000002</v>
      </c>
      <c r="O78" s="48">
        <v>10618.999161599999</v>
      </c>
      <c r="P78" s="48">
        <v>2317.3775581630002</v>
      </c>
      <c r="Q78" s="48" t="s">
        <v>130</v>
      </c>
      <c r="R78" s="48" t="s">
        <v>130</v>
      </c>
      <c r="S78" s="48" t="s">
        <v>130</v>
      </c>
      <c r="U78" s="40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</row>
    <row r="79" spans="1:42" outlineLevel="2">
      <c r="A79" s="41">
        <v>1</v>
      </c>
      <c r="C79" s="45" t="str">
        <f>"        Impairment/Write Off/Write Down of Other Assets"</f>
        <v xml:space="preserve">        Impairment/Write Off/Write Down of Other Assets</v>
      </c>
      <c r="D79" s="50">
        <f t="shared" si="16"/>
        <v>5074.2851760000003</v>
      </c>
      <c r="E79" s="50">
        <f t="shared" si="17"/>
        <v>5563.6765790146001</v>
      </c>
      <c r="F79" s="50">
        <f t="shared" si="18"/>
        <v>-21.223255376000001</v>
      </c>
      <c r="G79" s="50">
        <f t="shared" si="19"/>
        <v>16465.3607218</v>
      </c>
      <c r="H79" s="50">
        <f t="shared" si="20"/>
        <v>41.154995034999999</v>
      </c>
      <c r="I79" s="50">
        <f t="shared" si="21"/>
        <v>6258.8052576140008</v>
      </c>
      <c r="J79" s="50">
        <f t="shared" si="22"/>
        <v>6731.6189690874389</v>
      </c>
      <c r="K79" s="49">
        <f t="shared" si="23"/>
        <v>1.2099227684222609</v>
      </c>
      <c r="L79" s="48"/>
      <c r="M79" s="48">
        <v>5074.2851760000003</v>
      </c>
      <c r="N79" s="48">
        <v>16465.3607218</v>
      </c>
      <c r="O79" s="48" t="s">
        <v>130</v>
      </c>
      <c r="P79" s="48">
        <v>6258.8052576140008</v>
      </c>
      <c r="Q79" s="48">
        <v>-21.223255376000001</v>
      </c>
      <c r="R79" s="48">
        <v>41.154995034999999</v>
      </c>
      <c r="S79" s="48" t="s">
        <v>130</v>
      </c>
      <c r="U79" s="40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</row>
    <row r="80" spans="1:42" outlineLevel="2">
      <c r="A80" s="41">
        <v>1</v>
      </c>
      <c r="C80" s="45" t="str">
        <f>"        Merger and Acquisition (Income)/Expense"</f>
        <v xml:space="preserve">        Merger and Acquisition (Income)/Expense</v>
      </c>
      <c r="D80" s="50">
        <f t="shared" si="16"/>
        <v>66325.333993849999</v>
      </c>
      <c r="E80" s="50">
        <f t="shared" si="17"/>
        <v>69722.870254081732</v>
      </c>
      <c r="F80" s="50">
        <f t="shared" si="18"/>
        <v>38028.731484627002</v>
      </c>
      <c r="G80" s="50">
        <f t="shared" si="19"/>
        <v>108212.08154399999</v>
      </c>
      <c r="H80" s="50">
        <f t="shared" si="20"/>
        <v>56131.226065056748</v>
      </c>
      <c r="I80" s="50">
        <f t="shared" si="21"/>
        <v>79916.978182874998</v>
      </c>
      <c r="J80" s="50">
        <f t="shared" si="22"/>
        <v>29118.348030096236</v>
      </c>
      <c r="K80" s="49">
        <f t="shared" si="23"/>
        <v>0.41762979527354704</v>
      </c>
      <c r="L80" s="48"/>
      <c r="M80" s="48">
        <v>108212.08154399999</v>
      </c>
      <c r="N80" s="48">
        <v>70485.277062499998</v>
      </c>
      <c r="O80" s="48">
        <v>62165.390925199994</v>
      </c>
      <c r="P80" s="48">
        <v>38028.731484627002</v>
      </c>
      <c r="Q80" s="48" t="s">
        <v>130</v>
      </c>
      <c r="R80" s="48" t="s">
        <v>130</v>
      </c>
      <c r="S80" s="48" t="s">
        <v>130</v>
      </c>
      <c r="U80" s="40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</row>
    <row r="81" spans="1:42" outlineLevel="2">
      <c r="A81" s="41">
        <v>1</v>
      </c>
      <c r="C81" s="58" t="str">
        <f>"        Total Irregular (Income)/Expenses"</f>
        <v xml:space="preserve">        Total Irregular (Income)/Expenses</v>
      </c>
      <c r="D81" s="56">
        <f t="shared" si="16"/>
        <v>79327.053957937998</v>
      </c>
      <c r="E81" s="56">
        <f t="shared" si="17"/>
        <v>62153.17499214533</v>
      </c>
      <c r="F81" s="56">
        <f t="shared" si="18"/>
        <v>-517.7563891499999</v>
      </c>
      <c r="G81" s="56">
        <f t="shared" si="19"/>
        <v>113522.37998399998</v>
      </c>
      <c r="H81" s="56">
        <f t="shared" si="20"/>
        <v>16590.794271209499</v>
      </c>
      <c r="I81" s="56">
        <f t="shared" si="21"/>
        <v>99017.971539368998</v>
      </c>
      <c r="J81" s="56">
        <f t="shared" si="22"/>
        <v>50793.257667389626</v>
      </c>
      <c r="K81" s="55">
        <f t="shared" si="23"/>
        <v>0.81722707928933114</v>
      </c>
      <c r="L81" s="57"/>
      <c r="M81" s="57">
        <v>113522.37998399998</v>
      </c>
      <c r="N81" s="57">
        <v>67214.760206799998</v>
      </c>
      <c r="O81" s="57">
        <v>101544.1794828</v>
      </c>
      <c r="P81" s="57">
        <v>91439.347709075999</v>
      </c>
      <c r="Q81" s="57">
        <v>-283.86104065400002</v>
      </c>
      <c r="R81" s="57">
        <v>-517.7563891499999</v>
      </c>
      <c r="S81" s="57" t="s">
        <v>130</v>
      </c>
      <c r="U81" s="40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</row>
    <row r="82" spans="1:42" outlineLevel="1">
      <c r="A82" s="41">
        <v>1</v>
      </c>
      <c r="C82" s="47" t="str">
        <f>"    Total Non-Operating Income/(Expenses), Total"</f>
        <v xml:space="preserve">    Total Non-Operating Income/(Expenses), Total</v>
      </c>
      <c r="D82" s="56">
        <f t="shared" si="16"/>
        <v>-137532.16147380299</v>
      </c>
      <c r="E82" s="56">
        <f t="shared" si="17"/>
        <v>-108895.04124434416</v>
      </c>
      <c r="F82" s="56">
        <f t="shared" si="18"/>
        <v>-179134.06737599999</v>
      </c>
      <c r="G82" s="56">
        <f t="shared" si="19"/>
        <v>-11934.94856015</v>
      </c>
      <c r="H82" s="56">
        <f t="shared" si="20"/>
        <v>-163690.13700207503</v>
      </c>
      <c r="I82" s="56">
        <f t="shared" si="21"/>
        <v>-45503.625171558262</v>
      </c>
      <c r="J82" s="56">
        <f t="shared" si="22"/>
        <v>75711.380391162413</v>
      </c>
      <c r="K82" s="55">
        <f t="shared" si="23"/>
        <v>-0.69526931186221252</v>
      </c>
      <c r="L82" s="56"/>
      <c r="M82" s="56">
        <v>-179134.06737599999</v>
      </c>
      <c r="N82" s="56">
        <v>-171758.52314590002</v>
      </c>
      <c r="O82" s="56">
        <v>-139484.97857060001</v>
      </c>
      <c r="P82" s="56">
        <v>-135579.344377006</v>
      </c>
      <c r="Q82" s="56">
        <v>-15478.385436409</v>
      </c>
      <c r="R82" s="56">
        <v>-11934.94856015</v>
      </c>
      <c r="S82" s="56" t="s">
        <v>130</v>
      </c>
      <c r="U82" s="40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</row>
    <row r="83" spans="1:42">
      <c r="A83" s="41">
        <v>1</v>
      </c>
      <c r="C83" s="47" t="str">
        <f>"Pretax Income"</f>
        <v>Pretax Income</v>
      </c>
      <c r="D83" s="54">
        <f t="shared" si="16"/>
        <v>-248691.78945794102</v>
      </c>
      <c r="E83" s="54">
        <f t="shared" si="17"/>
        <v>-223828.79729397467</v>
      </c>
      <c r="F83" s="54">
        <f t="shared" si="18"/>
        <v>-366410.66428170004</v>
      </c>
      <c r="G83" s="54">
        <f t="shared" si="19"/>
        <v>-48479.256570744998</v>
      </c>
      <c r="H83" s="54">
        <f t="shared" si="20"/>
        <v>-297453.44633702049</v>
      </c>
      <c r="I83" s="54">
        <f t="shared" si="21"/>
        <v>-149916.91138859076</v>
      </c>
      <c r="J83" s="54">
        <f t="shared" si="22"/>
        <v>118251.93107252788</v>
      </c>
      <c r="K83" s="46">
        <f t="shared" si="23"/>
        <v>-0.528314195948687</v>
      </c>
      <c r="L83" s="54"/>
      <c r="M83" s="54">
        <v>-305401.16361599998</v>
      </c>
      <c r="N83" s="54">
        <v>-366410.66428170004</v>
      </c>
      <c r="O83" s="54">
        <v>-223773.28441579998</v>
      </c>
      <c r="P83" s="54">
        <v>-273610.29450008203</v>
      </c>
      <c r="Q83" s="54">
        <v>-125298.12037952102</v>
      </c>
      <c r="R83" s="54">
        <v>-48479.256570744998</v>
      </c>
      <c r="S83" s="54" t="s">
        <v>130</v>
      </c>
      <c r="U83" s="40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</row>
    <row r="84" spans="1:42">
      <c r="A84" s="41">
        <v>1</v>
      </c>
      <c r="C84" s="47" t="str">
        <f>"Provision for Income Tax"</f>
        <v>Provision for Income Tax</v>
      </c>
      <c r="D84" s="54">
        <f t="shared" si="16"/>
        <v>-1437.1343715805001</v>
      </c>
      <c r="E84" s="54">
        <f t="shared" si="17"/>
        <v>1273.8543297473332</v>
      </c>
      <c r="F84" s="54">
        <f t="shared" si="18"/>
        <v>-12167.603205999998</v>
      </c>
      <c r="G84" s="54">
        <f t="shared" si="19"/>
        <v>21595.213656</v>
      </c>
      <c r="H84" s="54">
        <f t="shared" si="20"/>
        <v>-6123.4303033040005</v>
      </c>
      <c r="I84" s="54">
        <f t="shared" si="21"/>
        <v>6222.2013212474994</v>
      </c>
      <c r="J84" s="54">
        <f t="shared" si="22"/>
        <v>12136.257797505332</v>
      </c>
      <c r="K84" s="46">
        <f t="shared" si="23"/>
        <v>9.5271943691650662</v>
      </c>
      <c r="L84" s="54"/>
      <c r="M84" s="54">
        <v>21595.213656</v>
      </c>
      <c r="N84" s="54">
        <v>8458.2332475000003</v>
      </c>
      <c r="O84" s="54">
        <v>-12167.603205999998</v>
      </c>
      <c r="P84" s="54">
        <v>-2388.3742856510003</v>
      </c>
      <c r="Q84" s="54">
        <v>-7368.4489758550008</v>
      </c>
      <c r="R84" s="54">
        <v>-485.89445751</v>
      </c>
      <c r="S84" s="54" t="s">
        <v>130</v>
      </c>
      <c r="U84" s="40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</row>
    <row r="85" spans="1:42">
      <c r="A85" s="41">
        <v>1</v>
      </c>
      <c r="C85" s="47" t="str">
        <f>"Net Income from Continuing Operations"</f>
        <v>Net Income from Continuing Operations</v>
      </c>
      <c r="D85" s="54">
        <f t="shared" si="16"/>
        <v>-241413.80071211554</v>
      </c>
      <c r="E85" s="54">
        <f t="shared" si="17"/>
        <v>-225102.43036030783</v>
      </c>
      <c r="F85" s="54">
        <f t="shared" si="18"/>
        <v>-374868.89752920001</v>
      </c>
      <c r="G85" s="54">
        <f t="shared" si="19"/>
        <v>-47992.034532749996</v>
      </c>
      <c r="H85" s="54">
        <f t="shared" si="20"/>
        <v>-313052.76300760772</v>
      </c>
      <c r="I85" s="54">
        <f t="shared" si="21"/>
        <v>-141348.67385519948</v>
      </c>
      <c r="J85" s="54">
        <f t="shared" si="22"/>
        <v>124880.44943873523</v>
      </c>
      <c r="K85" s="46">
        <f t="shared" si="23"/>
        <v>-0.55477166212220219</v>
      </c>
      <c r="L85" s="54"/>
      <c r="M85" s="54">
        <v>-326996.37727199995</v>
      </c>
      <c r="N85" s="54">
        <v>-374868.89752920001</v>
      </c>
      <c r="O85" s="54">
        <v>-211605.68120979998</v>
      </c>
      <c r="P85" s="54">
        <v>-271221.92021443107</v>
      </c>
      <c r="Q85" s="54">
        <v>-117929.671403666</v>
      </c>
      <c r="R85" s="54">
        <v>-47992.034532749996</v>
      </c>
      <c r="S85" s="54" t="s">
        <v>130</v>
      </c>
      <c r="U85" s="40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</row>
    <row r="86" spans="1:42">
      <c r="A86" s="41">
        <v>1</v>
      </c>
      <c r="C86" s="47" t="str">
        <f>"Discontinued Operations"</f>
        <v>Discontinued Operations</v>
      </c>
      <c r="D86" s="54">
        <f t="shared" si="16"/>
        <v>-6678.5103428085004</v>
      </c>
      <c r="E86" s="54">
        <f t="shared" si="17"/>
        <v>61504.162413070742</v>
      </c>
      <c r="F86" s="54">
        <f t="shared" si="18"/>
        <v>-17705.901598100001</v>
      </c>
      <c r="G86" s="54">
        <f t="shared" si="19"/>
        <v>277079.57193599996</v>
      </c>
      <c r="H86" s="54">
        <f t="shared" si="20"/>
        <v>-11457.647399537751</v>
      </c>
      <c r="I86" s="54">
        <f t="shared" si="21"/>
        <v>66283.299469799997</v>
      </c>
      <c r="J86" s="54">
        <f t="shared" si="22"/>
        <v>143827.77449798287</v>
      </c>
      <c r="K86" s="46">
        <f t="shared" si="23"/>
        <v>2.3385047264283512</v>
      </c>
      <c r="L86" s="54"/>
      <c r="M86" s="54">
        <v>277079.57193599996</v>
      </c>
      <c r="N86" s="54">
        <v>-17705.901598100001</v>
      </c>
      <c r="O86" s="54">
        <v>-3982.1246855999998</v>
      </c>
      <c r="P86" s="54">
        <v>-9374.8960000170009</v>
      </c>
      <c r="Q86" s="54" t="s">
        <v>130</v>
      </c>
      <c r="R86" s="54" t="s">
        <v>130</v>
      </c>
      <c r="S86" s="54" t="s">
        <v>130</v>
      </c>
      <c r="U86" s="40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</row>
    <row r="87" spans="1:42">
      <c r="A87" s="41">
        <v>1</v>
      </c>
      <c r="C87" s="47" t="str">
        <f>"Net Income after Extraordinary Items and Discontinued Operations"</f>
        <v>Net Income after Extraordinary Items and Discontinued Operations</v>
      </c>
      <c r="D87" s="54">
        <f t="shared" si="16"/>
        <v>-166758.73864953301</v>
      </c>
      <c r="E87" s="54">
        <f t="shared" si="17"/>
        <v>-184079.98764626068</v>
      </c>
      <c r="F87" s="54">
        <f t="shared" si="18"/>
        <v>-392574.79912730004</v>
      </c>
      <c r="G87" s="54">
        <f t="shared" si="19"/>
        <v>-47992.034532749996</v>
      </c>
      <c r="H87" s="54">
        <f t="shared" si="20"/>
        <v>-264344.563634686</v>
      </c>
      <c r="I87" s="54">
        <f t="shared" si="21"/>
        <v>-66831.516878916489</v>
      </c>
      <c r="J87" s="54">
        <f t="shared" si="22"/>
        <v>137626.71270328533</v>
      </c>
      <c r="K87" s="46">
        <f t="shared" si="23"/>
        <v>-0.74764625130113116</v>
      </c>
      <c r="L87" s="54"/>
      <c r="M87" s="54">
        <v>-49798.798703999993</v>
      </c>
      <c r="N87" s="54">
        <v>-392574.79912730004</v>
      </c>
      <c r="O87" s="54">
        <v>-215587.8058954</v>
      </c>
      <c r="P87" s="54">
        <v>-280596.81621444802</v>
      </c>
      <c r="Q87" s="54">
        <v>-117929.671403666</v>
      </c>
      <c r="R87" s="54">
        <v>-47992.034532749996</v>
      </c>
      <c r="S87" s="54" t="s">
        <v>130</v>
      </c>
      <c r="U87" s="40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</row>
    <row r="88" spans="1:42">
      <c r="A88" s="41">
        <v>1</v>
      </c>
      <c r="C88" s="47" t="str">
        <f>"Non-Controlling/Minority Interests"</f>
        <v>Non-Controlling/Minority Interests</v>
      </c>
      <c r="D88" s="54">
        <f t="shared" si="16"/>
        <v>-4258.2875426909995</v>
      </c>
      <c r="E88" s="54">
        <f t="shared" si="17"/>
        <v>-5121.6601329413334</v>
      </c>
      <c r="F88" s="54">
        <f t="shared" si="18"/>
        <v>-9232.9025450410008</v>
      </c>
      <c r="G88" s="54">
        <f t="shared" si="19"/>
        <v>-1413.8732165249999</v>
      </c>
      <c r="H88" s="54">
        <f t="shared" si="20"/>
        <v>-7402.13614125</v>
      </c>
      <c r="I88" s="54">
        <f t="shared" si="21"/>
        <v>-3401.9650931205001</v>
      </c>
      <c r="J88" s="54">
        <f t="shared" si="22"/>
        <v>3035.5040889712213</v>
      </c>
      <c r="K88" s="46">
        <f t="shared" si="23"/>
        <v>-0.59267971911052064</v>
      </c>
      <c r="L88" s="54"/>
      <c r="M88" s="54">
        <v>-4720.2652799999996</v>
      </c>
      <c r="N88" s="54">
        <v>-3270.5168557000002</v>
      </c>
      <c r="O88" s="54">
        <v>-8296.0930950000002</v>
      </c>
      <c r="P88" s="54">
        <v>-9232.9025450410008</v>
      </c>
      <c r="Q88" s="54">
        <v>-3796.3098053820004</v>
      </c>
      <c r="R88" s="54">
        <v>-1413.8732165249999</v>
      </c>
      <c r="S88" s="54" t="s">
        <v>130</v>
      </c>
      <c r="U88" s="40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</row>
    <row r="89" spans="1:42">
      <c r="A89" s="41">
        <v>1</v>
      </c>
      <c r="C89" s="47" t="str">
        <f>"Net Income after Non-Controlling/Minority Interests"</f>
        <v>Net Income after Non-Controlling/Minority Interests</v>
      </c>
      <c r="D89" s="54">
        <f t="shared" si="16"/>
        <v>-160712.53719934198</v>
      </c>
      <c r="E89" s="54">
        <f t="shared" si="17"/>
        <v>-178939.71632674718</v>
      </c>
      <c r="F89" s="54">
        <f t="shared" si="18"/>
        <v>-389191.50582830003</v>
      </c>
      <c r="G89" s="54">
        <f t="shared" si="19"/>
        <v>-45078.533423999994</v>
      </c>
      <c r="H89" s="54">
        <f t="shared" si="20"/>
        <v>-255346.69544505552</v>
      </c>
      <c r="I89" s="54">
        <f t="shared" si="21"/>
        <v>-63466.961386739757</v>
      </c>
      <c r="J89" s="54">
        <f t="shared" si="22"/>
        <v>136521.31639503519</v>
      </c>
      <c r="K89" s="46">
        <f t="shared" si="23"/>
        <v>-0.7629458635429196</v>
      </c>
      <c r="L89" s="54"/>
      <c r="M89" s="54">
        <v>-45078.533423999994</v>
      </c>
      <c r="N89" s="54">
        <v>-389191.50582830003</v>
      </c>
      <c r="O89" s="54">
        <v>-207291.71280039998</v>
      </c>
      <c r="P89" s="54">
        <v>-271365.02299327403</v>
      </c>
      <c r="Q89" s="54">
        <v>-114133.36159828401</v>
      </c>
      <c r="R89" s="54">
        <v>-46578.161316225</v>
      </c>
      <c r="S89" s="54" t="s">
        <v>130</v>
      </c>
      <c r="U89" s="40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</row>
    <row r="90" spans="1:42">
      <c r="A90" s="41">
        <v>1</v>
      </c>
      <c r="C90" s="47" t="str">
        <f>"Net Income Available to Common Stockholders"</f>
        <v>Net Income Available to Common Stockholders</v>
      </c>
      <c r="D90" s="54">
        <f t="shared" si="16"/>
        <v>-160712.53719934198</v>
      </c>
      <c r="E90" s="54">
        <f t="shared" si="17"/>
        <v>-178939.71632674718</v>
      </c>
      <c r="F90" s="54">
        <f t="shared" si="18"/>
        <v>-389191.50582830003</v>
      </c>
      <c r="G90" s="54">
        <f t="shared" si="19"/>
        <v>-45078.533423999994</v>
      </c>
      <c r="H90" s="54">
        <f t="shared" si="20"/>
        <v>-255346.69544505552</v>
      </c>
      <c r="I90" s="54">
        <f t="shared" si="21"/>
        <v>-63466.961386739757</v>
      </c>
      <c r="J90" s="54">
        <f t="shared" si="22"/>
        <v>136521.31639503519</v>
      </c>
      <c r="K90" s="46">
        <f t="shared" si="23"/>
        <v>-0.7629458635429196</v>
      </c>
      <c r="L90" s="54"/>
      <c r="M90" s="54">
        <v>-45078.533423999994</v>
      </c>
      <c r="N90" s="54">
        <v>-389191.50582830003</v>
      </c>
      <c r="O90" s="54">
        <v>-207291.71280039998</v>
      </c>
      <c r="P90" s="54">
        <v>-271365.02299327403</v>
      </c>
      <c r="Q90" s="54">
        <v>-114133.36159828401</v>
      </c>
      <c r="R90" s="54">
        <v>-46578.161316225</v>
      </c>
      <c r="S90" s="54" t="s">
        <v>130</v>
      </c>
      <c r="U90" s="40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</row>
    <row r="91" spans="1:42">
      <c r="A91" s="41">
        <v>1</v>
      </c>
      <c r="C91" s="47" t="str">
        <f>"Diluted Net Income Available to Common Stockholders"</f>
        <v>Diluted Net Income Available to Common Stockholders</v>
      </c>
      <c r="D91" s="54">
        <f t="shared" si="16"/>
        <v>-160712.53719934198</v>
      </c>
      <c r="E91" s="54">
        <f t="shared" si="17"/>
        <v>-178939.71632674718</v>
      </c>
      <c r="F91" s="54">
        <f t="shared" si="18"/>
        <v>-389191.50582830003</v>
      </c>
      <c r="G91" s="54">
        <f t="shared" si="19"/>
        <v>-45078.533423999994</v>
      </c>
      <c r="H91" s="54">
        <f t="shared" si="20"/>
        <v>-255346.69544505552</v>
      </c>
      <c r="I91" s="54">
        <f t="shared" si="21"/>
        <v>-63466.961386739757</v>
      </c>
      <c r="J91" s="54">
        <f t="shared" si="22"/>
        <v>136521.31639503519</v>
      </c>
      <c r="K91" s="46">
        <f t="shared" si="23"/>
        <v>-0.7629458635429196</v>
      </c>
      <c r="L91" s="54"/>
      <c r="M91" s="54">
        <v>-45078.533423999994</v>
      </c>
      <c r="N91" s="54">
        <v>-389191.50582830003</v>
      </c>
      <c r="O91" s="54">
        <v>-207291.71280039998</v>
      </c>
      <c r="P91" s="54">
        <v>-271365.02299327403</v>
      </c>
      <c r="Q91" s="54">
        <v>-114133.36159828401</v>
      </c>
      <c r="R91" s="54">
        <v>-46578.161316225</v>
      </c>
      <c r="S91" s="54" t="s">
        <v>130</v>
      </c>
      <c r="U91" s="40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</row>
    <row r="92" spans="1:42">
      <c r="A92" s="41">
        <v>1</v>
      </c>
      <c r="C92" s="47" t="str">
        <f>IF(SUBTOTAL(109,A92)=A92,"Basic EPS","Basic EPS")</f>
        <v>Basic EPS</v>
      </c>
      <c r="D92" s="46" t="str">
        <f t="shared" si="16"/>
        <v/>
      </c>
      <c r="E92" s="46" t="str">
        <f t="shared" si="17"/>
        <v/>
      </c>
      <c r="F92" s="46" t="str">
        <f t="shared" si="18"/>
        <v/>
      </c>
      <c r="G92" s="46" t="str">
        <f t="shared" si="19"/>
        <v/>
      </c>
      <c r="H92" s="46" t="str">
        <f t="shared" si="20"/>
        <v/>
      </c>
      <c r="I92" s="46" t="str">
        <f t="shared" si="21"/>
        <v/>
      </c>
      <c r="J92" s="46" t="str">
        <f t="shared" si="22"/>
        <v/>
      </c>
      <c r="K92" s="46" t="str">
        <f t="shared" si="23"/>
        <v/>
      </c>
      <c r="L92" s="46"/>
      <c r="M92" s="46" t="str">
        <f>IF(SUBTOTAL(109,A92)=A92,"",-0.247813927199999)</f>
        <v/>
      </c>
      <c r="N92" s="46" t="str">
        <f>IF(SUBTOTAL(109,A92)=A92,"",-2.46980410827)</f>
        <v/>
      </c>
      <c r="O92" s="46" t="str">
        <f>IF(SUBTOTAL(109,A92)=A92,"",-1.20519224838833)</f>
        <v/>
      </c>
      <c r="P92" s="46" t="str">
        <f>IF(SUBTOTAL(109,A92)=A92,"",-1.57771368336341)</f>
        <v/>
      </c>
      <c r="Q92" s="46" t="str">
        <f>IF(SUBTOTAL(109,A92)=A92,"",-0.663570281946399)</f>
        <v/>
      </c>
      <c r="R92" s="46" t="str">
        <f>IF(SUBTOTAL(109,A92)=A92,"",-0.27080517765224)</f>
        <v/>
      </c>
      <c r="S92" s="46" t="str">
        <f>IF(SUBTOTAL(109,A92)=A92,"","")</f>
        <v/>
      </c>
      <c r="U92" s="40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</row>
    <row r="93" spans="1:42" outlineLevel="1">
      <c r="A93" s="41">
        <v>1</v>
      </c>
      <c r="C93" s="45" t="str">
        <f>"    Basic EPS from Continuing Operations"</f>
        <v xml:space="preserve">    Basic EPS from Continuing Operations</v>
      </c>
      <c r="D93" s="49">
        <f t="shared" si="16"/>
        <v>-1.352624391203392</v>
      </c>
      <c r="E93" s="49">
        <f t="shared" si="17"/>
        <v>-1.2885582328959038</v>
      </c>
      <c r="F93" s="49">
        <f t="shared" si="18"/>
        <v>-2.3570276649699999</v>
      </c>
      <c r="G93" s="49">
        <f t="shared" si="19"/>
        <v>-0.27080517765223999</v>
      </c>
      <c r="H93" s="49">
        <f t="shared" si="20"/>
        <v>-1.6818251589205579</v>
      </c>
      <c r="I93" s="49">
        <f t="shared" si="21"/>
        <v>-0.79318786594093715</v>
      </c>
      <c r="J93" s="49">
        <f t="shared" si="22"/>
        <v>0.75279545393759817</v>
      </c>
      <c r="K93" s="49">
        <f t="shared" si="23"/>
        <v>-0.58421531500812873</v>
      </c>
      <c r="L93" s="53"/>
      <c r="M93" s="53">
        <v>-1.7346974903999999</v>
      </c>
      <c r="N93" s="53">
        <v>-2.3570276649699999</v>
      </c>
      <c r="O93" s="53">
        <v>-1.1820406179245517</v>
      </c>
      <c r="P93" s="53">
        <v>-1.5232081644822322</v>
      </c>
      <c r="Q93" s="53">
        <v>-0.663570281946399</v>
      </c>
      <c r="R93" s="53">
        <v>-0.27080517765223999</v>
      </c>
      <c r="S93" s="53" t="s">
        <v>130</v>
      </c>
      <c r="U93" s="40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</row>
    <row r="94" spans="1:42" outlineLevel="1">
      <c r="A94" s="41">
        <v>1</v>
      </c>
      <c r="C94" s="45" t="str">
        <f>"    Basic EPS from Discontinued Operations"</f>
        <v xml:space="preserve">    Basic EPS from Discontinued Operations</v>
      </c>
      <c r="D94" s="49">
        <f t="shared" si="16"/>
        <v>-3.8828574672479001E-2</v>
      </c>
      <c r="E94" s="49">
        <f t="shared" si="17"/>
        <v>0.32411249263876046</v>
      </c>
      <c r="F94" s="49">
        <f t="shared" si="18"/>
        <v>-0.11277644330000001</v>
      </c>
      <c r="G94" s="49">
        <f t="shared" si="19"/>
        <v>1.4868835631999999</v>
      </c>
      <c r="H94" s="49">
        <f t="shared" si="20"/>
        <v>-6.9073249985883503E-2</v>
      </c>
      <c r="I94" s="49">
        <f t="shared" si="21"/>
        <v>0.35435716795216499</v>
      </c>
      <c r="J94" s="49">
        <f t="shared" si="22"/>
        <v>0.77606968645891627</v>
      </c>
      <c r="K94" s="49">
        <f t="shared" si="23"/>
        <v>2.3944454597863483</v>
      </c>
      <c r="L94" s="53"/>
      <c r="M94" s="53">
        <v>1.4868835631999999</v>
      </c>
      <c r="N94" s="53">
        <v>-0.11277644330000001</v>
      </c>
      <c r="O94" s="53">
        <v>-2.315163046378E-2</v>
      </c>
      <c r="P94" s="53">
        <v>-5.4505518881178001E-2</v>
      </c>
      <c r="Q94" s="53" t="s">
        <v>130</v>
      </c>
      <c r="R94" s="53" t="s">
        <v>130</v>
      </c>
      <c r="S94" s="53" t="s">
        <v>130</v>
      </c>
      <c r="U94" s="40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</row>
    <row r="95" spans="1:42" outlineLevel="1">
      <c r="A95" s="41">
        <v>1</v>
      </c>
      <c r="C95" s="47" t="str">
        <f>"    Total Basic EPS"</f>
        <v xml:space="preserve">    Total Basic EPS</v>
      </c>
      <c r="D95" s="55">
        <f t="shared" si="16"/>
        <v>-0.93438126516736553</v>
      </c>
      <c r="E95" s="55">
        <f t="shared" si="17"/>
        <v>-1.0724832378033968</v>
      </c>
      <c r="F95" s="55">
        <f t="shared" si="18"/>
        <v>-2.46980410827</v>
      </c>
      <c r="G95" s="55">
        <f t="shared" si="19"/>
        <v>-0.24781392719999998</v>
      </c>
      <c r="H95" s="55">
        <f t="shared" si="20"/>
        <v>-1.4845833246196407</v>
      </c>
      <c r="I95" s="55">
        <f t="shared" si="21"/>
        <v>-0.36899645372577972</v>
      </c>
      <c r="J95" s="55">
        <f t="shared" si="22"/>
        <v>0.86201532342519993</v>
      </c>
      <c r="K95" s="55">
        <f t="shared" si="23"/>
        <v>-0.80375645328567924</v>
      </c>
      <c r="L95" s="55"/>
      <c r="M95" s="55">
        <v>-0.24781392719999998</v>
      </c>
      <c r="N95" s="55">
        <v>-2.46980410827</v>
      </c>
      <c r="O95" s="55">
        <v>-1.2051922483883319</v>
      </c>
      <c r="P95" s="55">
        <v>-1.5777136833634102</v>
      </c>
      <c r="Q95" s="55">
        <v>-0.663570281946399</v>
      </c>
      <c r="R95" s="55">
        <v>-0.27080517765223999</v>
      </c>
      <c r="S95" s="55" t="s">
        <v>130</v>
      </c>
      <c r="U95" s="40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</row>
    <row r="96" spans="1:42">
      <c r="A96" s="41">
        <v>1</v>
      </c>
      <c r="C96" s="47" t="str">
        <f>IF(SUBTOTAL(109,A96)=A96,"Diluted EPS","Diluted EPS")</f>
        <v>Diluted EPS</v>
      </c>
      <c r="D96" s="46" t="str">
        <f t="shared" si="16"/>
        <v/>
      </c>
      <c r="E96" s="46" t="str">
        <f t="shared" si="17"/>
        <v/>
      </c>
      <c r="F96" s="46" t="str">
        <f t="shared" si="18"/>
        <v/>
      </c>
      <c r="G96" s="46" t="str">
        <f t="shared" si="19"/>
        <v/>
      </c>
      <c r="H96" s="46" t="str">
        <f t="shared" si="20"/>
        <v/>
      </c>
      <c r="I96" s="46" t="str">
        <f t="shared" si="21"/>
        <v/>
      </c>
      <c r="J96" s="46" t="str">
        <f t="shared" si="22"/>
        <v/>
      </c>
      <c r="K96" s="46" t="str">
        <f t="shared" si="23"/>
        <v/>
      </c>
      <c r="L96" s="46"/>
      <c r="M96" s="46" t="str">
        <f>IF(SUBTOTAL(109,A96)=A96,"",-0.247813927199999)</f>
        <v/>
      </c>
      <c r="N96" s="46" t="str">
        <f>IF(SUBTOTAL(109,A96)=A96,"",-2.46980410827)</f>
        <v/>
      </c>
      <c r="O96" s="46" t="str">
        <f>IF(SUBTOTAL(109,A96)=A96,"",-1.20519224838833)</f>
        <v/>
      </c>
      <c r="P96" s="46" t="str">
        <f>IF(SUBTOTAL(109,A96)=A96,"",-1.57771368336341)</f>
        <v/>
      </c>
      <c r="Q96" s="46" t="str">
        <f>IF(SUBTOTAL(109,A96)=A96,"",-0.663570281946399)</f>
        <v/>
      </c>
      <c r="R96" s="46" t="str">
        <f>IF(SUBTOTAL(109,A96)=A96,"",-0.27080517765224)</f>
        <v/>
      </c>
      <c r="S96" s="46" t="str">
        <f>IF(SUBTOTAL(109,A96)=A96,"","")</f>
        <v/>
      </c>
      <c r="U96" s="40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</row>
    <row r="97" spans="1:42" outlineLevel="1">
      <c r="A97" s="41">
        <v>1</v>
      </c>
      <c r="C97" s="45" t="str">
        <f>"    Diluted EPS from Continuing Operations"</f>
        <v xml:space="preserve">    Diluted EPS from Continuing Operations</v>
      </c>
      <c r="D97" s="49">
        <f t="shared" si="16"/>
        <v>-1.352624391203392</v>
      </c>
      <c r="E97" s="49">
        <f t="shared" si="17"/>
        <v>-1.2885582328959038</v>
      </c>
      <c r="F97" s="49">
        <f t="shared" si="18"/>
        <v>-2.3570276649699999</v>
      </c>
      <c r="G97" s="49">
        <f t="shared" si="19"/>
        <v>-0.27080517765223999</v>
      </c>
      <c r="H97" s="49">
        <f t="shared" si="20"/>
        <v>-1.6818251589205579</v>
      </c>
      <c r="I97" s="49">
        <f t="shared" si="21"/>
        <v>-0.79318786594093715</v>
      </c>
      <c r="J97" s="49">
        <f t="shared" si="22"/>
        <v>0.75279545393759817</v>
      </c>
      <c r="K97" s="49">
        <f t="shared" si="23"/>
        <v>-0.58421531500812873</v>
      </c>
      <c r="L97" s="53"/>
      <c r="M97" s="53">
        <v>-1.7346974903999999</v>
      </c>
      <c r="N97" s="53">
        <v>-2.3570276649699999</v>
      </c>
      <c r="O97" s="53">
        <v>-1.1820406179245517</v>
      </c>
      <c r="P97" s="53">
        <v>-1.5232081644822322</v>
      </c>
      <c r="Q97" s="53">
        <v>-0.663570281946399</v>
      </c>
      <c r="R97" s="53">
        <v>-0.27080517765223999</v>
      </c>
      <c r="S97" s="53" t="s">
        <v>130</v>
      </c>
      <c r="U97" s="40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</row>
    <row r="98" spans="1:42" outlineLevel="1">
      <c r="A98" s="41">
        <v>1</v>
      </c>
      <c r="C98" s="45" t="str">
        <f>"    Diluted EPS from Discontinued Operations"</f>
        <v xml:space="preserve">    Diluted EPS from Discontinued Operations</v>
      </c>
      <c r="D98" s="49">
        <f t="shared" si="16"/>
        <v>-3.8828574672479001E-2</v>
      </c>
      <c r="E98" s="49">
        <f t="shared" si="17"/>
        <v>0.32411249263876046</v>
      </c>
      <c r="F98" s="49">
        <f t="shared" si="18"/>
        <v>-0.11277644330000001</v>
      </c>
      <c r="G98" s="49">
        <f t="shared" si="19"/>
        <v>1.4868835631999999</v>
      </c>
      <c r="H98" s="49">
        <f t="shared" si="20"/>
        <v>-6.9073249985883503E-2</v>
      </c>
      <c r="I98" s="49">
        <f t="shared" si="21"/>
        <v>0.35435716795216499</v>
      </c>
      <c r="J98" s="49">
        <f t="shared" si="22"/>
        <v>0.77606968645891627</v>
      </c>
      <c r="K98" s="49">
        <f t="shared" si="23"/>
        <v>2.3944454597863483</v>
      </c>
      <c r="L98" s="53"/>
      <c r="M98" s="53">
        <v>1.4868835631999999</v>
      </c>
      <c r="N98" s="53">
        <v>-0.11277644330000001</v>
      </c>
      <c r="O98" s="53">
        <v>-2.315163046378E-2</v>
      </c>
      <c r="P98" s="53">
        <v>-5.4505518881178001E-2</v>
      </c>
      <c r="Q98" s="53" t="s">
        <v>130</v>
      </c>
      <c r="R98" s="53" t="s">
        <v>130</v>
      </c>
      <c r="S98" s="53" t="s">
        <v>130</v>
      </c>
      <c r="U98" s="40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</row>
    <row r="99" spans="1:42" outlineLevel="1">
      <c r="A99" s="41">
        <v>1</v>
      </c>
      <c r="C99" s="47" t="str">
        <f>"    Total Diluted EPS"</f>
        <v xml:space="preserve">    Total Diluted EPS</v>
      </c>
      <c r="D99" s="55">
        <f t="shared" si="16"/>
        <v>-0.93438126516736553</v>
      </c>
      <c r="E99" s="55">
        <f t="shared" si="17"/>
        <v>-1.0724832378033968</v>
      </c>
      <c r="F99" s="55">
        <f t="shared" si="18"/>
        <v>-2.46980410827</v>
      </c>
      <c r="G99" s="55">
        <f t="shared" si="19"/>
        <v>-0.24781392719999998</v>
      </c>
      <c r="H99" s="55">
        <f t="shared" si="20"/>
        <v>-1.4845833246196407</v>
      </c>
      <c r="I99" s="55">
        <f t="shared" si="21"/>
        <v>-0.36899645372577972</v>
      </c>
      <c r="J99" s="55">
        <f t="shared" si="22"/>
        <v>0.86201532342519993</v>
      </c>
      <c r="K99" s="55">
        <f t="shared" si="23"/>
        <v>-0.80375645328567924</v>
      </c>
      <c r="L99" s="55"/>
      <c r="M99" s="55">
        <v>-0.24781392719999998</v>
      </c>
      <c r="N99" s="55">
        <v>-2.46980410827</v>
      </c>
      <c r="O99" s="55">
        <v>-1.2051922483883319</v>
      </c>
      <c r="P99" s="55">
        <v>-1.5777136833634102</v>
      </c>
      <c r="Q99" s="55">
        <v>-0.663570281946399</v>
      </c>
      <c r="R99" s="55">
        <v>-0.27080517765223999</v>
      </c>
      <c r="S99" s="55" t="s">
        <v>130</v>
      </c>
      <c r="U99" s="40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</row>
    <row r="100" spans="1:42">
      <c r="A100" s="41">
        <v>1</v>
      </c>
      <c r="C100" s="47" t="str">
        <f>"Basic Weighted Average Shares Outstanding"</f>
        <v>Basic Weighted Average Shares Outstanding</v>
      </c>
      <c r="D100" s="54">
        <f t="shared" si="16"/>
        <v>171998900</v>
      </c>
      <c r="E100" s="54">
        <f t="shared" si="17"/>
        <v>171983100</v>
      </c>
      <c r="F100" s="54">
        <f t="shared" si="18"/>
        <v>157734000</v>
      </c>
      <c r="G100" s="54">
        <f t="shared" si="19"/>
        <v>186169000</v>
      </c>
      <c r="H100" s="54">
        <f t="shared" si="20"/>
        <v>171998900</v>
      </c>
      <c r="I100" s="54">
        <f t="shared" si="21"/>
        <v>171998900</v>
      </c>
      <c r="J100" s="54">
        <f t="shared" si="22"/>
        <v>8991969.8418088574</v>
      </c>
      <c r="K100" s="46">
        <f t="shared" si="23"/>
        <v>5.2284031639206745E-2</v>
      </c>
      <c r="L100" s="54"/>
      <c r="M100" s="54">
        <v>186169000</v>
      </c>
      <c r="N100" s="54">
        <v>157734000</v>
      </c>
      <c r="O100" s="54">
        <v>171998900</v>
      </c>
      <c r="P100" s="54">
        <v>171998900</v>
      </c>
      <c r="Q100" s="54">
        <v>171998900</v>
      </c>
      <c r="R100" s="54">
        <v>171998900</v>
      </c>
      <c r="S100" s="54" t="s">
        <v>130</v>
      </c>
      <c r="U100" s="40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</row>
    <row r="101" spans="1:42">
      <c r="A101" s="41">
        <v>1</v>
      </c>
      <c r="C101" s="47" t="str">
        <f>"Diluted Weighted Average Shares Outstanding"</f>
        <v>Diluted Weighted Average Shares Outstanding</v>
      </c>
      <c r="D101" s="54">
        <f t="shared" si="16"/>
        <v>171998900</v>
      </c>
      <c r="E101" s="54">
        <f t="shared" si="17"/>
        <v>171983100</v>
      </c>
      <c r="F101" s="54">
        <f t="shared" si="18"/>
        <v>157734000</v>
      </c>
      <c r="G101" s="54">
        <f t="shared" si="19"/>
        <v>186169000</v>
      </c>
      <c r="H101" s="54">
        <f t="shared" si="20"/>
        <v>171998900</v>
      </c>
      <c r="I101" s="54">
        <f t="shared" si="21"/>
        <v>171998900</v>
      </c>
      <c r="J101" s="54">
        <f t="shared" si="22"/>
        <v>8991969.8418088574</v>
      </c>
      <c r="K101" s="46">
        <f t="shared" si="23"/>
        <v>5.2284031639206745E-2</v>
      </c>
      <c r="L101" s="54"/>
      <c r="M101" s="54">
        <v>186169000</v>
      </c>
      <c r="N101" s="54">
        <v>157734000</v>
      </c>
      <c r="O101" s="54">
        <v>171998900</v>
      </c>
      <c r="P101" s="54">
        <v>171998900</v>
      </c>
      <c r="Q101" s="54">
        <v>171998900</v>
      </c>
      <c r="R101" s="54">
        <v>171998900</v>
      </c>
      <c r="S101" s="54" t="s">
        <v>130</v>
      </c>
      <c r="U101" s="40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</row>
    <row r="102" spans="1:42">
      <c r="A102" s="41">
        <v>1</v>
      </c>
      <c r="C102" s="47" t="str">
        <f>"Income Statement Supplemental Section"</f>
        <v>Income Statement Supplemental Section</v>
      </c>
      <c r="D102" s="46"/>
      <c r="E102" s="46"/>
      <c r="F102" s="46"/>
      <c r="G102" s="46"/>
      <c r="H102" s="46"/>
      <c r="I102" s="46"/>
      <c r="J102" s="46"/>
      <c r="K102" s="46"/>
      <c r="L102" s="46"/>
      <c r="M102" s="46" t="s">
        <v>130</v>
      </c>
      <c r="N102" s="46" t="s">
        <v>130</v>
      </c>
      <c r="O102" s="46" t="s">
        <v>130</v>
      </c>
      <c r="P102" s="46" t="s">
        <v>130</v>
      </c>
      <c r="Q102" s="46" t="s">
        <v>130</v>
      </c>
      <c r="R102" s="46" t="s">
        <v>130</v>
      </c>
      <c r="S102" s="46" t="s">
        <v>130</v>
      </c>
      <c r="U102" s="40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</row>
    <row r="103" spans="1:42" outlineLevel="1">
      <c r="A103" s="41">
        <v>1</v>
      </c>
      <c r="C103" s="45" t="str">
        <f>"    Per Share Calculations"</f>
        <v xml:space="preserve">    Per Share Calculations</v>
      </c>
      <c r="D103" s="44"/>
      <c r="E103" s="44"/>
      <c r="F103" s="44"/>
      <c r="G103" s="44"/>
      <c r="H103" s="44"/>
      <c r="I103" s="44"/>
      <c r="J103" s="44"/>
      <c r="K103" s="44"/>
      <c r="L103" s="43"/>
      <c r="M103" s="43" t="s">
        <v>130</v>
      </c>
      <c r="N103" s="43" t="s">
        <v>130</v>
      </c>
      <c r="O103" s="43" t="s">
        <v>130</v>
      </c>
      <c r="P103" s="43" t="s">
        <v>130</v>
      </c>
      <c r="Q103" s="43" t="s">
        <v>130</v>
      </c>
      <c r="R103" s="43" t="s">
        <v>130</v>
      </c>
      <c r="S103" s="43" t="s">
        <v>130</v>
      </c>
      <c r="U103" s="40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</row>
    <row r="104" spans="1:42" outlineLevel="2">
      <c r="A104" s="41">
        <v>1</v>
      </c>
      <c r="C104" s="45" t="str">
        <f>"        EBITDA per Share"</f>
        <v xml:space="preserve">        EBITDA per Share</v>
      </c>
      <c r="D104" s="49">
        <f t="shared" ref="D104:D112" si="24">IF(COUNT(M104:S104)&gt;0,MEDIAN(M104:S104),"")</f>
        <v>-0.98918769701141107</v>
      </c>
      <c r="E104" s="49">
        <f t="shared" ref="E104:E112" si="25">IF(COUNT(M104:S104)&gt;0,AVERAGE(M104:S104),"")</f>
        <v>-0.98073057677804154</v>
      </c>
      <c r="F104" s="49">
        <f t="shared" ref="F104:F112" si="26">IF(COUNT(M104:S104)&gt;0,MIN(M104:S104),"")</f>
        <v>-1.803891148680056</v>
      </c>
      <c r="G104" s="49">
        <f t="shared" ref="G104:G112" si="27">IF(COUNT(M104:S104)&gt;0,MAX(M104:S104),"")</f>
        <v>-0.23168743182802329</v>
      </c>
      <c r="H104" s="49">
        <f t="shared" ref="H104:H112" si="28">IF(COUNT(M104:S104)&gt;0,QUARTILE(M104:S104,1),"")</f>
        <v>-1.276644448046488</v>
      </c>
      <c r="I104" s="49">
        <f t="shared" ref="I104:I112" si="29">IF(COUNT(M104:S104)&gt;0,QUARTILE(M104:S104,3),"")</f>
        <v>-0.62077151506222861</v>
      </c>
      <c r="J104" s="49">
        <f t="shared" ref="J104:J112" si="30">IF(COUNT(M104:S104)&gt;1,STDEV(M104:S104),"")</f>
        <v>0.56837997316572197</v>
      </c>
      <c r="K104" s="49">
        <f t="shared" ref="K104:K112" si="31">IF(COUNT(M104:S104)&gt;1,STDEV(M104:S104)/AVERAGE(M104:S104),"")</f>
        <v>-0.57954751959809392</v>
      </c>
      <c r="L104" s="53"/>
      <c r="M104" s="53">
        <v>-1.2911897758703115</v>
      </c>
      <c r="N104" s="53">
        <v>-1.803891148680056</v>
      </c>
      <c r="O104" s="53">
        <v>-0.74536692944780447</v>
      </c>
      <c r="P104" s="53">
        <v>-1.2330084645750177</v>
      </c>
      <c r="Q104" s="53">
        <v>-0.57923971026703669</v>
      </c>
      <c r="R104" s="53">
        <v>-0.23168743182802329</v>
      </c>
      <c r="S104" s="53" t="s">
        <v>130</v>
      </c>
      <c r="U104" s="40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</row>
    <row r="105" spans="1:42" outlineLevel="2">
      <c r="A105" s="41">
        <v>1</v>
      </c>
      <c r="C105" s="45" t="str">
        <f>"        EBITDAR per Share"</f>
        <v xml:space="preserve">        EBITDAR per Share</v>
      </c>
      <c r="D105" s="49">
        <f t="shared" si="24"/>
        <v>-0.93829804219503987</v>
      </c>
      <c r="E105" s="49">
        <f t="shared" si="25"/>
        <v>-0.92651935394852336</v>
      </c>
      <c r="F105" s="49">
        <f t="shared" si="26"/>
        <v>-1.7109439234210757</v>
      </c>
      <c r="G105" s="49">
        <f t="shared" si="27"/>
        <v>-0.22183857408032842</v>
      </c>
      <c r="H105" s="49">
        <f t="shared" si="28"/>
        <v>-1.1962645148456617</v>
      </c>
      <c r="I105" s="49">
        <f t="shared" si="29"/>
        <v>-0.58518766260160093</v>
      </c>
      <c r="J105" s="49">
        <f t="shared" si="30"/>
        <v>0.53927756888484013</v>
      </c>
      <c r="K105" s="49">
        <f t="shared" si="31"/>
        <v>-0.58204673932240591</v>
      </c>
      <c r="L105" s="53"/>
      <c r="M105" s="53">
        <v>-1.19103858068744</v>
      </c>
      <c r="N105" s="53">
        <v>-1.7109439234210757</v>
      </c>
      <c r="O105" s="53">
        <v>-0.68555750370263979</v>
      </c>
      <c r="P105" s="53">
        <v>-1.1980064928984022</v>
      </c>
      <c r="Q105" s="53">
        <v>-0.55173104890125468</v>
      </c>
      <c r="R105" s="53">
        <v>-0.22183857408032842</v>
      </c>
      <c r="S105" s="53" t="s">
        <v>130</v>
      </c>
      <c r="U105" s="40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</row>
    <row r="106" spans="1:42" outlineLevel="2">
      <c r="A106" s="41">
        <v>1</v>
      </c>
      <c r="C106" s="45" t="str">
        <f>"        Normalized Basic EPS"</f>
        <v xml:space="preserve">        Normalized Basic EPS</v>
      </c>
      <c r="D106" s="49">
        <f t="shared" si="24"/>
        <v>-0.70854404677466487</v>
      </c>
      <c r="E106" s="49">
        <f t="shared" si="25"/>
        <v>-0.79899957730640903</v>
      </c>
      <c r="F106" s="49">
        <f t="shared" si="26"/>
        <v>-1.4760554175160636</v>
      </c>
      <c r="G106" s="49">
        <f t="shared" si="27"/>
        <v>-0.22643284705718875</v>
      </c>
      <c r="H106" s="49">
        <f t="shared" si="28"/>
        <v>-1.1328511061302089</v>
      </c>
      <c r="I106" s="49">
        <f t="shared" si="29"/>
        <v>-0.47723674654402715</v>
      </c>
      <c r="J106" s="49">
        <f t="shared" si="30"/>
        <v>0.4797294331332897</v>
      </c>
      <c r="K106" s="49">
        <f t="shared" si="31"/>
        <v>-0.60041262443536669</v>
      </c>
      <c r="L106" s="53"/>
      <c r="M106" s="53">
        <v>-1.2224684978222884</v>
      </c>
      <c r="N106" s="53">
        <v>-1.4760554175160636</v>
      </c>
      <c r="O106" s="53">
        <v>-0.45195260789358316</v>
      </c>
      <c r="P106" s="53">
        <v>-0.86399893105397074</v>
      </c>
      <c r="Q106" s="53">
        <v>-0.553089162495359</v>
      </c>
      <c r="R106" s="53">
        <v>-0.22643284705718875</v>
      </c>
      <c r="S106" s="53" t="s">
        <v>130</v>
      </c>
      <c r="U106" s="40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</row>
    <row r="107" spans="1:42" outlineLevel="2">
      <c r="A107" s="41">
        <v>1</v>
      </c>
      <c r="C107" s="45" t="str">
        <f>"        Normalized Diluted EPS"</f>
        <v xml:space="preserve">        Normalized Diluted EPS</v>
      </c>
      <c r="D107" s="49">
        <f t="shared" si="24"/>
        <v>-0.70854404677466487</v>
      </c>
      <c r="E107" s="49">
        <f t="shared" si="25"/>
        <v>-0.79899957730640903</v>
      </c>
      <c r="F107" s="49">
        <f t="shared" si="26"/>
        <v>-1.4760554175160636</v>
      </c>
      <c r="G107" s="49">
        <f t="shared" si="27"/>
        <v>-0.22643284705718875</v>
      </c>
      <c r="H107" s="49">
        <f t="shared" si="28"/>
        <v>-1.1328511061302089</v>
      </c>
      <c r="I107" s="49">
        <f t="shared" si="29"/>
        <v>-0.47723674654402715</v>
      </c>
      <c r="J107" s="49">
        <f t="shared" si="30"/>
        <v>0.4797294331332897</v>
      </c>
      <c r="K107" s="49">
        <f t="shared" si="31"/>
        <v>-0.60041262443536669</v>
      </c>
      <c r="L107" s="53"/>
      <c r="M107" s="53">
        <v>-1.2224684978222884</v>
      </c>
      <c r="N107" s="53">
        <v>-1.4760554175160636</v>
      </c>
      <c r="O107" s="53">
        <v>-0.45195260789358316</v>
      </c>
      <c r="P107" s="53">
        <v>-0.86399893105397074</v>
      </c>
      <c r="Q107" s="53">
        <v>-0.553089162495359</v>
      </c>
      <c r="R107" s="53">
        <v>-0.22643284705718875</v>
      </c>
      <c r="S107" s="53" t="s">
        <v>130</v>
      </c>
      <c r="U107" s="40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</row>
    <row r="108" spans="1:42" outlineLevel="2">
      <c r="A108" s="41">
        <v>1</v>
      </c>
      <c r="C108" s="45" t="str">
        <f>"        Normalized EBITDA per Share"</f>
        <v xml:space="preserve">        Normalized EBITDA per Share</v>
      </c>
      <c r="D108" s="49">
        <f t="shared" si="24"/>
        <v>-0.52835889092601085</v>
      </c>
      <c r="E108" s="49">
        <f t="shared" si="25"/>
        <v>-0.50638756790847961</v>
      </c>
      <c r="F108" s="49">
        <f t="shared" si="26"/>
        <v>-0.70170987957325892</v>
      </c>
      <c r="G108" s="49">
        <f t="shared" si="27"/>
        <v>-0.18686586682734596</v>
      </c>
      <c r="H108" s="49">
        <f t="shared" si="28"/>
        <v>-0.62506760585695009</v>
      </c>
      <c r="I108" s="49">
        <f t="shared" si="29"/>
        <v>-0.45888574900474366</v>
      </c>
      <c r="J108" s="49">
        <f t="shared" si="30"/>
        <v>0.18383874259859292</v>
      </c>
      <c r="K108" s="49">
        <f t="shared" si="31"/>
        <v>-0.36303960493717818</v>
      </c>
      <c r="L108" s="53"/>
      <c r="M108" s="53">
        <v>-0.63513606059010885</v>
      </c>
      <c r="N108" s="53">
        <v>-0.59486224165747392</v>
      </c>
      <c r="O108" s="53">
        <v>-0.45789581860814227</v>
      </c>
      <c r="P108" s="53">
        <v>-0.70170987957325892</v>
      </c>
      <c r="Q108" s="53">
        <v>-0.46185554019454778</v>
      </c>
      <c r="R108" s="53">
        <v>-0.18686586682734596</v>
      </c>
      <c r="S108" s="53" t="s">
        <v>130</v>
      </c>
      <c r="U108" s="40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</row>
    <row r="109" spans="1:42" outlineLevel="2">
      <c r="A109" s="41">
        <v>1</v>
      </c>
      <c r="C109" s="45" t="str">
        <f>"        Normalized EBITDAR per Share"</f>
        <v xml:space="preserve">        Normalized EBITDAR per Share</v>
      </c>
      <c r="D109" s="49">
        <f t="shared" si="24"/>
        <v>-0.60275735563488064</v>
      </c>
      <c r="E109" s="49">
        <f t="shared" si="25"/>
        <v>-0.54814628436683877</v>
      </c>
      <c r="F109" s="49">
        <f t="shared" si="26"/>
        <v>-0.73671185124987437</v>
      </c>
      <c r="G109" s="49">
        <f t="shared" si="27"/>
        <v>-0.17701700907965109</v>
      </c>
      <c r="H109" s="49">
        <f t="shared" si="28"/>
        <v>-0.72341780855884885</v>
      </c>
      <c r="I109" s="49">
        <f t="shared" si="29"/>
        <v>-0.45518647020990111</v>
      </c>
      <c r="J109" s="49">
        <f t="shared" si="30"/>
        <v>0.21986287605949287</v>
      </c>
      <c r="K109" s="49">
        <f t="shared" si="31"/>
        <v>-0.40110255661671673</v>
      </c>
      <c r="L109" s="53"/>
      <c r="M109" s="53">
        <v>-0.73528725577298037</v>
      </c>
      <c r="N109" s="53">
        <v>-0.68780946691645428</v>
      </c>
      <c r="O109" s="53">
        <v>-0.51770524435330689</v>
      </c>
      <c r="P109" s="53">
        <v>-0.73671185124987437</v>
      </c>
      <c r="Q109" s="53">
        <v>-0.43434687882876588</v>
      </c>
      <c r="R109" s="53">
        <v>-0.17701700907965109</v>
      </c>
      <c r="S109" s="53" t="s">
        <v>130</v>
      </c>
      <c r="U109" s="40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</row>
    <row r="110" spans="1:42" outlineLevel="2">
      <c r="A110" s="41">
        <v>1</v>
      </c>
      <c r="C110" s="45" t="str">
        <f>"        Recommended Normalized Basic EPS"</f>
        <v xml:space="preserve">        Recommended Normalized Basic EPS</v>
      </c>
      <c r="D110" s="49">
        <f t="shared" si="24"/>
        <v>-0.70854404677466487</v>
      </c>
      <c r="E110" s="49">
        <f t="shared" si="25"/>
        <v>-0.79899957730640903</v>
      </c>
      <c r="F110" s="49">
        <f t="shared" si="26"/>
        <v>-1.4760554175160636</v>
      </c>
      <c r="G110" s="49">
        <f t="shared" si="27"/>
        <v>-0.22643284705718875</v>
      </c>
      <c r="H110" s="49">
        <f t="shared" si="28"/>
        <v>-1.1328511061302089</v>
      </c>
      <c r="I110" s="49">
        <f t="shared" si="29"/>
        <v>-0.47723674654402715</v>
      </c>
      <c r="J110" s="49">
        <f t="shared" si="30"/>
        <v>0.4797294331332897</v>
      </c>
      <c r="K110" s="49">
        <f t="shared" si="31"/>
        <v>-0.60041262443536669</v>
      </c>
      <c r="L110" s="53"/>
      <c r="M110" s="53">
        <v>-1.2224684978222884</v>
      </c>
      <c r="N110" s="53">
        <v>-1.4760554175160636</v>
      </c>
      <c r="O110" s="53">
        <v>-0.45195260789358316</v>
      </c>
      <c r="P110" s="53">
        <v>-0.86399893105397074</v>
      </c>
      <c r="Q110" s="53">
        <v>-0.553089162495359</v>
      </c>
      <c r="R110" s="53">
        <v>-0.22643284705718875</v>
      </c>
      <c r="S110" s="53" t="s">
        <v>130</v>
      </c>
      <c r="U110" s="40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</row>
    <row r="111" spans="1:42" outlineLevel="2">
      <c r="A111" s="41">
        <v>1</v>
      </c>
      <c r="C111" s="45" t="str">
        <f>"        Recommended Normalized Diluted EPS"</f>
        <v xml:space="preserve">        Recommended Normalized Diluted EPS</v>
      </c>
      <c r="D111" s="49">
        <f t="shared" si="24"/>
        <v>-0.70854404677466487</v>
      </c>
      <c r="E111" s="49">
        <f t="shared" si="25"/>
        <v>-0.79899957730640903</v>
      </c>
      <c r="F111" s="49">
        <f t="shared" si="26"/>
        <v>-1.4760554175160636</v>
      </c>
      <c r="G111" s="49">
        <f t="shared" si="27"/>
        <v>-0.22643284705718875</v>
      </c>
      <c r="H111" s="49">
        <f t="shared" si="28"/>
        <v>-1.1328511061302089</v>
      </c>
      <c r="I111" s="49">
        <f t="shared" si="29"/>
        <v>-0.47723674654402715</v>
      </c>
      <c r="J111" s="49">
        <f t="shared" si="30"/>
        <v>0.4797294331332897</v>
      </c>
      <c r="K111" s="49">
        <f t="shared" si="31"/>
        <v>-0.60041262443536669</v>
      </c>
      <c r="L111" s="53"/>
      <c r="M111" s="53">
        <v>-1.2224684978222884</v>
      </c>
      <c r="N111" s="53">
        <v>-1.4760554175160636</v>
      </c>
      <c r="O111" s="53">
        <v>-0.45195260789358316</v>
      </c>
      <c r="P111" s="53">
        <v>-0.86399893105397074</v>
      </c>
      <c r="Q111" s="53">
        <v>-0.553089162495359</v>
      </c>
      <c r="R111" s="53">
        <v>-0.22643284705718875</v>
      </c>
      <c r="S111" s="53" t="s">
        <v>130</v>
      </c>
      <c r="U111" s="40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</row>
    <row r="112" spans="1:42" outlineLevel="2">
      <c r="A112" s="41">
        <v>1</v>
      </c>
      <c r="C112" s="45" t="str">
        <f>"        Sales per Share"</f>
        <v xml:space="preserve">        Sales per Share</v>
      </c>
      <c r="D112" s="49">
        <f t="shared" si="24"/>
        <v>1.4680139743176235</v>
      </c>
      <c r="E112" s="49">
        <f t="shared" si="25"/>
        <v>1.8993410406535951</v>
      </c>
      <c r="F112" s="49">
        <f t="shared" si="26"/>
        <v>0.32157755512712577</v>
      </c>
      <c r="G112" s="49">
        <f t="shared" si="27"/>
        <v>4.215858222539735</v>
      </c>
      <c r="H112" s="49">
        <f t="shared" si="28"/>
        <v>0.77695475627542687</v>
      </c>
      <c r="I112" s="49">
        <f t="shared" si="29"/>
        <v>2.8989891190979828</v>
      </c>
      <c r="J112" s="49">
        <f t="shared" si="30"/>
        <v>1.5387996709175935</v>
      </c>
      <c r="K112" s="49">
        <f t="shared" si="31"/>
        <v>0.81017554929896463</v>
      </c>
      <c r="L112" s="53"/>
      <c r="M112" s="53">
        <v>4.215858222539735</v>
      </c>
      <c r="N112" s="53">
        <v>3.2438581615384132</v>
      </c>
      <c r="O112" s="53">
        <v>1.8643819917766915</v>
      </c>
      <c r="P112" s="53">
        <v>1.0716459568585557</v>
      </c>
      <c r="Q112" s="53">
        <v>0.67872435608105053</v>
      </c>
      <c r="R112" s="53">
        <v>0.32157755512712577</v>
      </c>
      <c r="S112" s="53" t="s">
        <v>130</v>
      </c>
      <c r="U112" s="40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</row>
    <row r="113" spans="1:42" outlineLevel="1">
      <c r="A113" s="41">
        <v>1</v>
      </c>
      <c r="C113" s="45" t="str">
        <f>"    Reported Normalized and Operating Income/Expense Supplemental Section"</f>
        <v xml:space="preserve">    Reported Normalized and Operating Income/Expense Supplemental Section</v>
      </c>
      <c r="D113" s="44"/>
      <c r="E113" s="44"/>
      <c r="F113" s="44"/>
      <c r="G113" s="44"/>
      <c r="H113" s="44"/>
      <c r="I113" s="44"/>
      <c r="J113" s="44"/>
      <c r="K113" s="44"/>
      <c r="L113" s="43"/>
      <c r="M113" s="43" t="s">
        <v>130</v>
      </c>
      <c r="N113" s="43" t="s">
        <v>130</v>
      </c>
      <c r="O113" s="43" t="s">
        <v>130</v>
      </c>
      <c r="P113" s="43" t="s">
        <v>130</v>
      </c>
      <c r="Q113" s="43" t="s">
        <v>130</v>
      </c>
      <c r="R113" s="43" t="s">
        <v>130</v>
      </c>
      <c r="S113" s="43" t="s">
        <v>130</v>
      </c>
      <c r="U113" s="40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</row>
    <row r="114" spans="1:42" outlineLevel="2">
      <c r="A114" s="41">
        <v>1</v>
      </c>
      <c r="C114" s="45" t="str">
        <f>"        Reported Total Revenue"</f>
        <v xml:space="preserve">        Reported Total Revenue</v>
      </c>
      <c r="D114" s="50">
        <f>IF(COUNT(M114:S114)&gt;0,MEDIAN(M114:S114),"")</f>
        <v>150530.22098240352</v>
      </c>
      <c r="E114" s="50">
        <f>IF(COUNT(M114:S114)&gt;0,AVERAGE(M114:S114),"")</f>
        <v>169260.43797406927</v>
      </c>
      <c r="F114" s="50">
        <f>IF(COUNT(M114:S114)&gt;0,MIN(M114:S114),"")</f>
        <v>55309.658166069996</v>
      </c>
      <c r="G114" s="50">
        <f>IF(COUNT(M114:S114)&gt;0,MAX(M114:S114),"")</f>
        <v>320671.65176540002</v>
      </c>
      <c r="H114" s="50">
        <f>IF(COUNT(M114:S114)&gt;0,QUARTILE(M114:S114,1),"")</f>
        <v>101381.30168828351</v>
      </c>
      <c r="I114" s="50">
        <f>IF(COUNT(M114:S114)&gt;0,QUARTILE(M114:S114,3),"")</f>
        <v>218409.35726818928</v>
      </c>
      <c r="J114" s="50">
        <f>IF(COUNT(M114:S114)&gt;1,STDEV(M114:S114),"")</f>
        <v>113864.73929259233</v>
      </c>
      <c r="K114" s="49">
        <f>IF(COUNT(M114:S114)&gt;1,STDEV(M114:S114)/AVERAGE(M114:S114),"")</f>
        <v>0.67271915785800129</v>
      </c>
      <c r="L114" s="48"/>
      <c r="M114" s="48" t="s">
        <v>130</v>
      </c>
      <c r="N114" s="48" t="s">
        <v>130</v>
      </c>
      <c r="O114" s="48">
        <v>320671.65176540002</v>
      </c>
      <c r="P114" s="48">
        <v>184321.92576911903</v>
      </c>
      <c r="Q114" s="48">
        <v>116738.516195688</v>
      </c>
      <c r="R114" s="48">
        <v>55309.658166069996</v>
      </c>
      <c r="S114" s="48" t="s">
        <v>130</v>
      </c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</row>
    <row r="115" spans="1:42" outlineLevel="2">
      <c r="A115" s="41">
        <v>1</v>
      </c>
      <c r="C115" s="45" t="str">
        <f>"        Reported Total Operating Profit/Loss"</f>
        <v xml:space="preserve">        Reported Total Operating Profit/Loss</v>
      </c>
      <c r="D115" s="50">
        <f>IF(COUNT(M115:S115)&gt;0,MEDIAN(M115:S115),"")</f>
        <v>-198653.38410453498</v>
      </c>
      <c r="E115" s="50">
        <f>IF(COUNT(M115:S115)&gt;0,AVERAGE(M115:S115),"")</f>
        <v>-181888.76721384996</v>
      </c>
      <c r="F115" s="50">
        <f>IF(COUNT(M115:S115)&gt;0,MIN(M115:S115),"")</f>
        <v>-285222.02954399999</v>
      </c>
      <c r="G115" s="50">
        <f>IF(COUNT(M115:S115)&gt;0,MAX(M115:S115),"")</f>
        <v>-37384.666457599997</v>
      </c>
      <c r="H115" s="50">
        <f>IF(COUNT(M115:S115)&gt;0,QUARTILE(M115:S115,1),"")</f>
        <v>-252889.66282611751</v>
      </c>
      <c r="I115" s="50">
        <f>IF(COUNT(M115:S115)&gt;0,QUARTILE(M115:S115,3),"")</f>
        <v>-125001.38353047251</v>
      </c>
      <c r="J115" s="50">
        <f>IF(COUNT(M115:S115)&gt;1,STDEV(M115:S115),"")</f>
        <v>95147.283733720062</v>
      </c>
      <c r="K115" s="49">
        <f>IF(COUNT(M115:S115)&gt;1,STDEV(M115:S115)/AVERAGE(M115:S115),"")</f>
        <v>-0.52310698011303614</v>
      </c>
      <c r="L115" s="48"/>
      <c r="M115" s="48">
        <v>-285222.02954399999</v>
      </c>
      <c r="N115" s="48">
        <v>-263671.32443540002</v>
      </c>
      <c r="O115" s="48">
        <v>-176762.0902108</v>
      </c>
      <c r="P115" s="48">
        <v>-220544.67799827</v>
      </c>
      <c r="Q115" s="48">
        <v>-107747.81463703001</v>
      </c>
      <c r="R115" s="48">
        <v>-37384.666457599997</v>
      </c>
      <c r="S115" s="48" t="s">
        <v>130</v>
      </c>
      <c r="U115" s="40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</row>
    <row r="116" spans="1:42" outlineLevel="2">
      <c r="A116" s="41">
        <v>1</v>
      </c>
      <c r="C116" s="45" t="str">
        <f>"        Reported Effective Tax Rate"</f>
        <v xml:space="preserve">        Reported Effective Tax Rate</v>
      </c>
      <c r="D116" s="52">
        <f>IF(COUNT(M116:S116)&gt;0,MEDIAN(M116:S116),"")</f>
        <v>-1.4E-2</v>
      </c>
      <c r="E116" s="52">
        <f>IF(COUNT(M116:S116)&gt;0,AVERAGE(M116:S116),"")</f>
        <v>-1.4E-2</v>
      </c>
      <c r="F116" s="52">
        <f>IF(COUNT(M116:S116)&gt;0,MIN(M116:S116),"")</f>
        <v>-1.4E-2</v>
      </c>
      <c r="G116" s="52">
        <f>IF(COUNT(M116:S116)&gt;0,MAX(M116:S116),"")</f>
        <v>-1.4E-2</v>
      </c>
      <c r="H116" s="52">
        <f>IF(COUNT(M116:S116)&gt;0,QUARTILE(M116:S116,1),"")</f>
        <v>-1.4E-2</v>
      </c>
      <c r="I116" s="52">
        <f>IF(COUNT(M116:S116)&gt;0,QUARTILE(M116:S116,3),"")</f>
        <v>-1.4E-2</v>
      </c>
      <c r="J116" s="52" t="str">
        <f>IF(COUNT(M116:S116)&gt;1,STDEV(M116:S116),"")</f>
        <v/>
      </c>
      <c r="K116" s="49" t="str">
        <f>IF(COUNT(M116:S116)&gt;1,STDEV(M116:S116)/AVERAGE(M116:S116),"")</f>
        <v/>
      </c>
      <c r="L116" s="51"/>
      <c r="M116" s="51" t="s">
        <v>130</v>
      </c>
      <c r="N116" s="51" t="s">
        <v>130</v>
      </c>
      <c r="O116" s="51" t="s">
        <v>130</v>
      </c>
      <c r="P116" s="51">
        <v>-1.4E-2</v>
      </c>
      <c r="Q116" s="51" t="s">
        <v>130</v>
      </c>
      <c r="R116" s="51" t="s">
        <v>130</v>
      </c>
      <c r="S116" s="51" t="s">
        <v>130</v>
      </c>
      <c r="U116" s="40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</row>
    <row r="117" spans="1:42" outlineLevel="2">
      <c r="A117" s="41">
        <v>1</v>
      </c>
      <c r="C117" s="45" t="str">
        <f>"        Reported Normalized EBITDA"</f>
        <v xml:space="preserve">        Reported Normalized EBITDA</v>
      </c>
      <c r="D117" s="50">
        <f>IF(COUNT(M117:S117)&gt;0,MEDIAN(M117:S117),"")</f>
        <v>-106036.3230448</v>
      </c>
      <c r="E117" s="50">
        <f>IF(COUNT(M117:S117)&gt;0,AVERAGE(M117:S117),"")</f>
        <v>-102880.88765263325</v>
      </c>
      <c r="F117" s="50">
        <f>IF(COUNT(M117:S117)&gt;0,MIN(M117:S117),"")</f>
        <v>-120693.327405733</v>
      </c>
      <c r="G117" s="50">
        <f>IF(COUNT(M117:S117)&gt;0,MAX(M117:S117),"")</f>
        <v>-78757.577115199994</v>
      </c>
      <c r="H117" s="50">
        <f>IF(COUNT(M117:S117)&gt;0,QUARTILE(M117:S117,1),"")</f>
        <v>-118855.31579943323</v>
      </c>
      <c r="I117" s="50">
        <f>IF(COUNT(M117:S117)&gt;0,QUARTILE(M117:S117,3),"")</f>
        <v>-90061.894897999999</v>
      </c>
      <c r="J117" s="50">
        <f>IF(COUNT(M117:S117)&gt;1,STDEV(M117:S117),"")</f>
        <v>20142.155383749974</v>
      </c>
      <c r="K117" s="49">
        <f>IF(COUNT(M117:S117)&gt;1,STDEV(M117:S117)/AVERAGE(M117:S117),"")</f>
        <v>-0.19578131413249361</v>
      </c>
      <c r="L117" s="48"/>
      <c r="M117" s="48">
        <v>-118242.64526399998</v>
      </c>
      <c r="N117" s="48">
        <v>-93830.0008256</v>
      </c>
      <c r="O117" s="48">
        <v>-78757.577115199994</v>
      </c>
      <c r="P117" s="48">
        <v>-120693.327405733</v>
      </c>
      <c r="Q117" s="48" t="s">
        <v>130</v>
      </c>
      <c r="R117" s="48" t="s">
        <v>130</v>
      </c>
      <c r="S117" s="48" t="s">
        <v>130</v>
      </c>
      <c r="U117" s="40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</row>
    <row r="118" spans="1:42">
      <c r="A118" s="41">
        <v>1</v>
      </c>
      <c r="C118" s="47" t="str">
        <f>"Profitability Metrics"</f>
        <v>Profitability Metrics</v>
      </c>
      <c r="D118" s="46"/>
      <c r="E118" s="46"/>
      <c r="F118" s="46"/>
      <c r="G118" s="46"/>
      <c r="H118" s="46"/>
      <c r="I118" s="46"/>
      <c r="J118" s="46"/>
      <c r="K118" s="46"/>
      <c r="L118" s="46"/>
      <c r="M118" s="46" t="s">
        <v>130</v>
      </c>
      <c r="N118" s="46" t="s">
        <v>130</v>
      </c>
      <c r="O118" s="46" t="s">
        <v>130</v>
      </c>
      <c r="P118" s="46" t="s">
        <v>130</v>
      </c>
      <c r="Q118" s="46" t="s">
        <v>130</v>
      </c>
      <c r="R118" s="46" t="s">
        <v>130</v>
      </c>
      <c r="S118" s="46" t="s">
        <v>130</v>
      </c>
      <c r="U118" s="40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</row>
    <row r="119" spans="1:42" outlineLevel="1">
      <c r="A119" s="41">
        <v>1</v>
      </c>
      <c r="C119" s="45" t="str">
        <f>"    Earnings Before Interest, Tax, Depreciation, &amp; Amortization (EBITDA)"</f>
        <v xml:space="preserve">    Earnings Before Interest, Tax, Depreciation, &amp; Amortization (EBITDA)</v>
      </c>
      <c r="D119" s="50">
        <f t="shared" ref="D119:D133" si="32">IF(COUNT(M119:S119)&gt;0,MEDIAN(M119:S119),"")</f>
        <v>-170139.19577949599</v>
      </c>
      <c r="E119" s="50">
        <f t="shared" ref="E119:E133" si="33">IF(COUNT(M119:S119)&gt;0,AVERAGE(M119:S119),"")</f>
        <v>-167445.24063489767</v>
      </c>
      <c r="F119" s="50">
        <f t="shared" ref="F119:F133" si="34">IF(COUNT(M119:S119)&gt;0,MIN(M119:S119),"")</f>
        <v>-284534.96644589998</v>
      </c>
      <c r="G119" s="50">
        <f t="shared" ref="G119:G133" si="35">IF(COUNT(M119:S119)&gt;0,MAX(M119:S119),"")</f>
        <v>-39849.983418244992</v>
      </c>
      <c r="H119" s="50">
        <f t="shared" ref="H119:H133" si="36">IF(COUNT(M119:S119)&gt;0,QUARTILE(M119:S119,1),"")</f>
        <v>-233303.65693739802</v>
      </c>
      <c r="I119" s="50">
        <f t="shared" ref="I119:I133" si="37">IF(COUNT(M119:S119)&gt;0,QUARTILE(M119:S119,3),"")</f>
        <v>-106772.01774203675</v>
      </c>
      <c r="J119" s="50">
        <f t="shared" ref="J119:J133" si="38">IF(COUNT(M119:S119)&gt;1,STDEV(M119:S119),"")</f>
        <v>93210.494474726685</v>
      </c>
      <c r="K119" s="49">
        <f t="shared" ref="K119:K133" si="39">IF(COUNT(M119:S119)&gt;1,STDEV(M119:S119)/AVERAGE(M119:S119),"")</f>
        <v>-0.55666254902977796</v>
      </c>
      <c r="L119" s="48"/>
      <c r="M119" s="48">
        <v>-240379.509384</v>
      </c>
      <c r="N119" s="48">
        <v>-284534.96644589998</v>
      </c>
      <c r="O119" s="48">
        <v>-128202.29196139997</v>
      </c>
      <c r="P119" s="48">
        <v>-212076.09959759199</v>
      </c>
      <c r="Q119" s="48">
        <v>-99628.593002249021</v>
      </c>
      <c r="R119" s="48">
        <v>-39849.983418244992</v>
      </c>
      <c r="S119" s="48" t="s">
        <v>130</v>
      </c>
      <c r="U119" s="40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</row>
    <row r="120" spans="1:42" outlineLevel="1">
      <c r="A120" s="41">
        <v>1</v>
      </c>
      <c r="C120" s="45" t="str">
        <f>"    Normalized EBITDA"</f>
        <v xml:space="preserve">    Normalized EBITDA</v>
      </c>
      <c r="D120" s="50">
        <f t="shared" si="32"/>
        <v>-86634.322848984011</v>
      </c>
      <c r="E120" s="50">
        <f t="shared" si="33"/>
        <v>-87183.819837458504</v>
      </c>
      <c r="F120" s="50">
        <f t="shared" si="34"/>
        <v>-120693.327405733</v>
      </c>
      <c r="G120" s="50">
        <f t="shared" si="35"/>
        <v>-32140.723541849999</v>
      </c>
      <c r="H120" s="50">
        <f t="shared" si="36"/>
        <v>-112139.48415439998</v>
      </c>
      <c r="I120" s="50">
        <f t="shared" si="37"/>
        <v>-78927.844054492001</v>
      </c>
      <c r="J120" s="50">
        <f t="shared" si="38"/>
        <v>32534.416261963765</v>
      </c>
      <c r="K120" s="49">
        <f t="shared" si="39"/>
        <v>-0.37317034654617603</v>
      </c>
      <c r="L120" s="48"/>
      <c r="M120" s="48">
        <v>-118242.64526399998</v>
      </c>
      <c r="N120" s="48">
        <v>-93830.0008256</v>
      </c>
      <c r="O120" s="48">
        <v>-78757.577115199994</v>
      </c>
      <c r="P120" s="48">
        <v>-120693.327405733</v>
      </c>
      <c r="Q120" s="48">
        <v>-79438.644872368008</v>
      </c>
      <c r="R120" s="48">
        <v>-32140.723541849999</v>
      </c>
      <c r="S120" s="48" t="s">
        <v>130</v>
      </c>
      <c r="U120" s="40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</row>
    <row r="121" spans="1:42" outlineLevel="1">
      <c r="A121" s="41">
        <v>1</v>
      </c>
      <c r="C121" s="45" t="str">
        <f>"    Earnings Before Interest, Tax and Amortization (EBITA)"</f>
        <v xml:space="preserve">    Earnings Before Interest, Tax and Amortization (EBITA)</v>
      </c>
      <c r="D121" s="50">
        <f t="shared" si="32"/>
        <v>-177845.72851643048</v>
      </c>
      <c r="E121" s="50">
        <f t="shared" si="33"/>
        <v>-177351.81131566514</v>
      </c>
      <c r="F121" s="50">
        <f t="shared" si="34"/>
        <v>-294346.51701299998</v>
      </c>
      <c r="G121" s="50">
        <f t="shared" si="35"/>
        <v>-43179.555274624996</v>
      </c>
      <c r="H121" s="50">
        <f t="shared" si="36"/>
        <v>-248037.69077961525</v>
      </c>
      <c r="I121" s="50">
        <f t="shared" si="37"/>
        <v>-119055.17740872875</v>
      </c>
      <c r="J121" s="50">
        <f t="shared" si="38"/>
        <v>95835.180667328284</v>
      </c>
      <c r="K121" s="49">
        <f t="shared" si="39"/>
        <v>-0.54036764528304171</v>
      </c>
      <c r="L121" s="48"/>
      <c r="M121" s="48">
        <v>-256546.41796799999</v>
      </c>
      <c r="N121" s="48">
        <v>-294346.51701299998</v>
      </c>
      <c r="O121" s="48">
        <v>-133179.94781839996</v>
      </c>
      <c r="P121" s="48">
        <v>-222511.509214461</v>
      </c>
      <c r="Q121" s="48">
        <v>-114346.92060550502</v>
      </c>
      <c r="R121" s="48">
        <v>-43179.555274624996</v>
      </c>
      <c r="S121" s="48" t="s">
        <v>130</v>
      </c>
      <c r="U121" s="40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</row>
    <row r="122" spans="1:42" outlineLevel="1">
      <c r="A122" s="41">
        <v>1</v>
      </c>
      <c r="C122" s="45" t="str">
        <f>"    Earnings Before Interest and Tax (EBIT)"</f>
        <v xml:space="preserve">    Earnings Before Interest and Tax (EBIT)</v>
      </c>
      <c r="D122" s="50">
        <f t="shared" si="32"/>
        <v>-224177.85566384249</v>
      </c>
      <c r="E122" s="50">
        <f t="shared" si="33"/>
        <v>-210152.20638064004</v>
      </c>
      <c r="F122" s="50">
        <f t="shared" si="34"/>
        <v>-346223.68093099998</v>
      </c>
      <c r="G122" s="50">
        <f t="shared" si="35"/>
        <v>-43042.814484670002</v>
      </c>
      <c r="H122" s="50">
        <f t="shared" si="36"/>
        <v>-296827.97476012126</v>
      </c>
      <c r="I122" s="50">
        <f t="shared" si="37"/>
        <v>-132729.22672716377</v>
      </c>
      <c r="J122" s="50">
        <f t="shared" si="38"/>
        <v>116979.29664247527</v>
      </c>
      <c r="K122" s="49">
        <f t="shared" si="39"/>
        <v>-0.55664082075158172</v>
      </c>
      <c r="L122" s="48"/>
      <c r="M122" s="48">
        <v>-308705.34931199998</v>
      </c>
      <c r="N122" s="48">
        <v>-346223.68093099998</v>
      </c>
      <c r="O122" s="48">
        <v>-187159.86022319997</v>
      </c>
      <c r="P122" s="48">
        <v>-261195.85110448502</v>
      </c>
      <c r="Q122" s="48">
        <v>-114585.68222848502</v>
      </c>
      <c r="R122" s="48">
        <v>-43042.814484670002</v>
      </c>
      <c r="S122" s="48" t="s">
        <v>130</v>
      </c>
      <c r="U122" s="40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</row>
    <row r="123" spans="1:42" outlineLevel="1">
      <c r="A123" s="41">
        <v>1</v>
      </c>
      <c r="C123" s="45" t="str">
        <f>"    Normalized EBIT"</f>
        <v xml:space="preserve">    Normalized EBIT</v>
      </c>
      <c r="D123" s="50">
        <f t="shared" si="32"/>
        <v>-120615.13921509602</v>
      </c>
      <c r="E123" s="50">
        <f t="shared" si="33"/>
        <v>-109401.2190750445</v>
      </c>
      <c r="F123" s="50">
        <f t="shared" si="34"/>
        <v>-174649.81536000001</v>
      </c>
      <c r="G123" s="50">
        <f t="shared" si="35"/>
        <v>-35333.554608274993</v>
      </c>
      <c r="H123" s="50">
        <f t="shared" si="36"/>
        <v>-149372.30293959696</v>
      </c>
      <c r="I123" s="50">
        <f t="shared" si="37"/>
        <v>-64830.516206800989</v>
      </c>
      <c r="J123" s="50">
        <f t="shared" si="38"/>
        <v>56565.023576607819</v>
      </c>
      <c r="K123" s="49">
        <f t="shared" si="39"/>
        <v>-0.51704198595635997</v>
      </c>
      <c r="L123" s="48"/>
      <c r="M123" s="48">
        <v>-174649.81536000001</v>
      </c>
      <c r="N123" s="48">
        <v>-150218.22247559996</v>
      </c>
      <c r="O123" s="48">
        <v>-54975.443576199978</v>
      </c>
      <c r="P123" s="48">
        <v>-146834.544331588</v>
      </c>
      <c r="Q123" s="48">
        <v>-94395.734098604022</v>
      </c>
      <c r="R123" s="48">
        <v>-35333.554608274993</v>
      </c>
      <c r="S123" s="48" t="s">
        <v>130</v>
      </c>
      <c r="U123" s="40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</row>
    <row r="124" spans="1:42" outlineLevel="1">
      <c r="A124" s="41">
        <v>1</v>
      </c>
      <c r="C124" s="45" t="str">
        <f>"    Earnings Before Interest, Tax, Depreciation, Amortization and Rent Expenses (EBITDAR)"</f>
        <v xml:space="preserve">    Earnings Before Interest, Tax, Depreciation, Amortization and Rent Expenses (EBITDAR)</v>
      </c>
      <c r="D124" s="50">
        <f t="shared" si="32"/>
        <v>-161985.46774749149</v>
      </c>
      <c r="E124" s="50">
        <f t="shared" si="33"/>
        <v>-158105.42501102164</v>
      </c>
      <c r="F124" s="50">
        <f t="shared" si="34"/>
        <v>-269874.02881689998</v>
      </c>
      <c r="G124" s="50">
        <f t="shared" si="35"/>
        <v>-38155.990719385001</v>
      </c>
      <c r="H124" s="50">
        <f t="shared" si="36"/>
        <v>-217814.79588884575</v>
      </c>
      <c r="I124" s="50">
        <f t="shared" si="37"/>
        <v>-100651.63426104651</v>
      </c>
      <c r="J124" s="50">
        <f t="shared" si="38"/>
        <v>88134.587578536462</v>
      </c>
      <c r="K124" s="49">
        <f t="shared" si="39"/>
        <v>-0.55744189405513778</v>
      </c>
      <c r="L124" s="48"/>
      <c r="M124" s="48">
        <v>-221734.46152799999</v>
      </c>
      <c r="N124" s="48">
        <v>-269874.02881689998</v>
      </c>
      <c r="O124" s="48">
        <v>-117915.13652359997</v>
      </c>
      <c r="P124" s="48">
        <v>-206055.79897138302</v>
      </c>
      <c r="Q124" s="48">
        <v>-94897.13350686201</v>
      </c>
      <c r="R124" s="48">
        <v>-38155.990719385001</v>
      </c>
      <c r="S124" s="48" t="s">
        <v>130</v>
      </c>
      <c r="U124" s="40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</row>
    <row r="125" spans="1:42" outlineLevel="1">
      <c r="A125" s="41">
        <v>1</v>
      </c>
      <c r="C125" s="45" t="str">
        <f>"    Normalized EBITDAR"</f>
        <v xml:space="preserve">    Normalized EBITDAR</v>
      </c>
      <c r="D125" s="50">
        <f t="shared" si="32"/>
        <v>-98767.835503800015</v>
      </c>
      <c r="E125" s="50">
        <f t="shared" si="33"/>
        <v>-94381.818063252154</v>
      </c>
      <c r="F125" s="50">
        <f t="shared" si="34"/>
        <v>-136887.69311999998</v>
      </c>
      <c r="G125" s="50">
        <f t="shared" si="35"/>
        <v>-30446.73084299</v>
      </c>
      <c r="H125" s="50">
        <f t="shared" si="36"/>
        <v>-122157.9556376065</v>
      </c>
      <c r="I125" s="50">
        <f t="shared" si="37"/>
        <v>-78291.572170985775</v>
      </c>
      <c r="J125" s="50">
        <f t="shared" si="38"/>
        <v>38870.126470992756</v>
      </c>
      <c r="K125" s="49">
        <f t="shared" si="39"/>
        <v>-0.41183913669625483</v>
      </c>
      <c r="L125" s="48"/>
      <c r="M125" s="48">
        <v>-136887.69311999998</v>
      </c>
      <c r="N125" s="48">
        <v>-108490.93845460001</v>
      </c>
      <c r="O125" s="48">
        <v>-89044.732553000009</v>
      </c>
      <c r="P125" s="48">
        <v>-126713.628031942</v>
      </c>
      <c r="Q125" s="48">
        <v>-74707.185376981026</v>
      </c>
      <c r="R125" s="48">
        <v>-30446.73084299</v>
      </c>
      <c r="S125" s="48" t="s">
        <v>130</v>
      </c>
      <c r="U125" s="40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</row>
    <row r="126" spans="1:42" outlineLevel="1">
      <c r="A126" s="41">
        <v>1</v>
      </c>
      <c r="C126" s="45" t="str">
        <f>"    Interest and Dividend Income"</f>
        <v xml:space="preserve">    Interest and Dividend Income</v>
      </c>
      <c r="D126" s="50">
        <f t="shared" si="32"/>
        <v>1192.7569883755</v>
      </c>
      <c r="E126" s="50">
        <f t="shared" si="33"/>
        <v>2220.7583386004999</v>
      </c>
      <c r="F126" s="50">
        <f t="shared" si="34"/>
        <v>47.792897459999999</v>
      </c>
      <c r="G126" s="50">
        <f t="shared" si="35"/>
        <v>6490.3647599999995</v>
      </c>
      <c r="H126" s="50">
        <f t="shared" si="36"/>
        <v>419.99528931899999</v>
      </c>
      <c r="I126" s="50">
        <f t="shared" si="37"/>
        <v>3477.0420029127504</v>
      </c>
      <c r="J126" s="50">
        <f t="shared" si="38"/>
        <v>2566.0616726244057</v>
      </c>
      <c r="K126" s="49">
        <f t="shared" si="39"/>
        <v>1.1554889282737142</v>
      </c>
      <c r="L126" s="48"/>
      <c r="M126" s="48">
        <v>6490.3647599999995</v>
      </c>
      <c r="N126" s="48">
        <v>4172.7284021000005</v>
      </c>
      <c r="O126" s="48">
        <v>995.53117139999995</v>
      </c>
      <c r="P126" s="48">
        <v>1389.982805351</v>
      </c>
      <c r="Q126" s="48">
        <v>228.149995292</v>
      </c>
      <c r="R126" s="48">
        <v>47.792897459999999</v>
      </c>
      <c r="S126" s="48" t="s">
        <v>130</v>
      </c>
      <c r="U126" s="40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</row>
    <row r="127" spans="1:42" outlineLevel="1">
      <c r="A127" s="41">
        <v>1</v>
      </c>
      <c r="C127" s="45" t="str">
        <f>"    Normalized Income"</f>
        <v xml:space="preserve">    Normalized Income</v>
      </c>
      <c r="D127" s="50">
        <f t="shared" si="32"/>
        <v>-128382.8487911227</v>
      </c>
      <c r="E127" s="50">
        <f t="shared" si="33"/>
        <v>-141783.65427426589</v>
      </c>
      <c r="F127" s="50">
        <f t="shared" si="34"/>
        <v>-235909.62104930085</v>
      </c>
      <c r="G127" s="50">
        <f t="shared" si="35"/>
        <v>-40360.042479964839</v>
      </c>
      <c r="H127" s="50">
        <f t="shared" si="36"/>
        <v>-213186.0777633317</v>
      </c>
      <c r="I127" s="50">
        <f t="shared" si="37"/>
        <v>-89255.270032792949</v>
      </c>
      <c r="J127" s="50">
        <f t="shared" si="38"/>
        <v>80526.421045448122</v>
      </c>
      <c r="K127" s="49">
        <f t="shared" si="39"/>
        <v>-0.5679527831161556</v>
      </c>
      <c r="L127" s="48"/>
      <c r="M127" s="48">
        <v>-231635.21795279998</v>
      </c>
      <c r="N127" s="48">
        <v>-235909.62104930085</v>
      </c>
      <c r="O127" s="48">
        <v>-86031.346581284422</v>
      </c>
      <c r="P127" s="48">
        <v>-157838.65719492687</v>
      </c>
      <c r="Q127" s="48">
        <v>-98927.040387318513</v>
      </c>
      <c r="R127" s="48">
        <v>-40360.042479964839</v>
      </c>
      <c r="S127" s="48" t="s">
        <v>130</v>
      </c>
      <c r="U127" s="40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</row>
    <row r="128" spans="1:42" outlineLevel="1">
      <c r="A128" s="41">
        <v>1</v>
      </c>
      <c r="C128" s="45" t="str">
        <f>"    Tax Effect of Unusual Items"</f>
        <v xml:space="preserve">    Tax Effect of Unusual Items</v>
      </c>
      <c r="D128" s="50">
        <f t="shared" si="32"/>
        <v>1187.3171135335108</v>
      </c>
      <c r="E128" s="50">
        <f t="shared" si="33"/>
        <v>14941.895331045922</v>
      </c>
      <c r="F128" s="50">
        <f t="shared" si="34"/>
        <v>0</v>
      </c>
      <c r="G128" s="50">
        <f t="shared" si="35"/>
        <v>57046.181975500869</v>
      </c>
      <c r="H128" s="50">
        <f t="shared" si="36"/>
        <v>527.6557885013242</v>
      </c>
      <c r="I128" s="50">
        <f t="shared" si="37"/>
        <v>22652.228325642209</v>
      </c>
      <c r="J128" s="50">
        <f t="shared" si="38"/>
        <v>23219.120352765334</v>
      </c>
      <c r="K128" s="49">
        <f t="shared" si="39"/>
        <v>1.553960848897207</v>
      </c>
      <c r="L128" s="48"/>
      <c r="M128" s="48">
        <v>38694.374632799991</v>
      </c>
      <c r="N128" s="48">
        <v>57046.181975500869</v>
      </c>
      <c r="O128" s="48">
        <v>6610.0820184844288</v>
      </c>
      <c r="P128" s="48">
        <v>978.04375339280716</v>
      </c>
      <c r="Q128" s="48">
        <v>1187.3171135335108</v>
      </c>
      <c r="R128" s="48">
        <v>77.267823609841159</v>
      </c>
      <c r="S128" s="48">
        <v>0</v>
      </c>
      <c r="U128" s="40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</row>
    <row r="129" spans="1:42" outlineLevel="1">
      <c r="A129" s="41">
        <v>1</v>
      </c>
      <c r="C129" s="45" t="str">
        <f>"    Total Unusual Items"</f>
        <v xml:space="preserve">    Total Unusual Items</v>
      </c>
      <c r="D129" s="50">
        <f t="shared" si="32"/>
        <v>114361.30677289701</v>
      </c>
      <c r="E129" s="50">
        <f t="shared" si="33"/>
        <v>86357.98911908186</v>
      </c>
      <c r="F129" s="50">
        <f t="shared" si="34"/>
        <v>0</v>
      </c>
      <c r="G129" s="50">
        <f t="shared" si="35"/>
        <v>196005.45845540002</v>
      </c>
      <c r="H129" s="50">
        <f t="shared" si="36"/>
        <v>13949.604003138</v>
      </c>
      <c r="I129" s="50">
        <f t="shared" si="37"/>
        <v>133119.97529949999</v>
      </c>
      <c r="J129" s="50">
        <f t="shared" si="38"/>
        <v>76597.873250576784</v>
      </c>
      <c r="K129" s="49">
        <f t="shared" si="39"/>
        <v>0.88698074181594788</v>
      </c>
      <c r="L129" s="48"/>
      <c r="M129" s="48">
        <v>134055.53395199997</v>
      </c>
      <c r="N129" s="48">
        <v>196005.45845540002</v>
      </c>
      <c r="O129" s="48">
        <v>132184.41664699998</v>
      </c>
      <c r="P129" s="48">
        <v>114361.30677289701</v>
      </c>
      <c r="Q129" s="48">
        <v>20189.948129881002</v>
      </c>
      <c r="R129" s="48">
        <v>7709.2598763949991</v>
      </c>
      <c r="S129" s="48">
        <v>0</v>
      </c>
      <c r="U129" s="40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</row>
    <row r="130" spans="1:42" outlineLevel="1">
      <c r="A130" s="41">
        <v>1</v>
      </c>
      <c r="C130" s="45" t="str">
        <f>"    Total Unusual Items Excluding Goodwill"</f>
        <v xml:space="preserve">    Total Unusual Items Excluding Goodwill</v>
      </c>
      <c r="D130" s="50">
        <f t="shared" si="32"/>
        <v>112043.929214734</v>
      </c>
      <c r="E130" s="50">
        <f t="shared" si="33"/>
        <v>83140.600600830017</v>
      </c>
      <c r="F130" s="50">
        <f t="shared" si="34"/>
        <v>0</v>
      </c>
      <c r="G130" s="50">
        <f t="shared" si="35"/>
        <v>191494.40072340003</v>
      </c>
      <c r="H130" s="50">
        <f t="shared" si="36"/>
        <v>13949.604003138</v>
      </c>
      <c r="I130" s="50">
        <f t="shared" si="37"/>
        <v>125273.33313069999</v>
      </c>
      <c r="J130" s="50">
        <f t="shared" si="38"/>
        <v>73845.346571927337</v>
      </c>
      <c r="K130" s="49">
        <f t="shared" si="39"/>
        <v>0.88819837766712162</v>
      </c>
      <c r="L130" s="48"/>
      <c r="M130" s="48">
        <v>128981.24877599998</v>
      </c>
      <c r="N130" s="48">
        <v>191494.40072340003</v>
      </c>
      <c r="O130" s="48">
        <v>121565.41748539999</v>
      </c>
      <c r="P130" s="48">
        <v>112043.929214734</v>
      </c>
      <c r="Q130" s="48">
        <v>20189.948129881002</v>
      </c>
      <c r="R130" s="48">
        <v>7709.2598763949991</v>
      </c>
      <c r="S130" s="48">
        <v>0</v>
      </c>
      <c r="U130" s="40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</row>
    <row r="131" spans="1:42" outlineLevel="1">
      <c r="A131" s="41">
        <v>1</v>
      </c>
      <c r="C131" s="45" t="str">
        <f>"    Cost of Revenue and Operating Expense"</f>
        <v xml:space="preserve">    Cost of Revenue and Operating Expense</v>
      </c>
      <c r="D131" s="50">
        <f t="shared" si="32"/>
        <v>364313.69114259502</v>
      </c>
      <c r="E131" s="50">
        <f t="shared" si="33"/>
        <v>453608.16364516923</v>
      </c>
      <c r="F131" s="50">
        <f t="shared" si="34"/>
        <v>93571.855324254982</v>
      </c>
      <c r="G131" s="50">
        <f t="shared" si="35"/>
        <v>958803.88499999989</v>
      </c>
      <c r="H131" s="50">
        <f t="shared" si="36"/>
        <v>253532.55602232576</v>
      </c>
      <c r="I131" s="50">
        <f t="shared" si="37"/>
        <v>634108.68399515003</v>
      </c>
      <c r="J131" s="50">
        <f t="shared" si="38"/>
        <v>322496.77335144271</v>
      </c>
      <c r="K131" s="49">
        <f t="shared" si="39"/>
        <v>0.71095892710544961</v>
      </c>
      <c r="L131" s="48"/>
      <c r="M131" s="48">
        <v>958803.88499999989</v>
      </c>
      <c r="N131" s="48">
        <v>710491.59279000002</v>
      </c>
      <c r="O131" s="48">
        <v>404959.95761059999</v>
      </c>
      <c r="P131" s="48">
        <v>323667.42467459</v>
      </c>
      <c r="Q131" s="48">
        <v>230154.26647157103</v>
      </c>
      <c r="R131" s="48">
        <v>93571.855324254982</v>
      </c>
      <c r="S131" s="48" t="s">
        <v>130</v>
      </c>
      <c r="U131" s="40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</row>
    <row r="132" spans="1:42" outlineLevel="1">
      <c r="A132" s="41">
        <v>1</v>
      </c>
      <c r="C132" s="45" t="str">
        <f>"    Net Operating Profit After Tax (NOPAT)"</f>
        <v xml:space="preserve">    Net Operating Profit After Tax (NOPAT)</v>
      </c>
      <c r="D132" s="50">
        <f t="shared" si="32"/>
        <v>-217949.47225180469</v>
      </c>
      <c r="E132" s="50">
        <f t="shared" si="33"/>
        <v>-212726.85865726284</v>
      </c>
      <c r="F132" s="50">
        <f t="shared" si="34"/>
        <v>-360695.61651867355</v>
      </c>
      <c r="G132" s="50">
        <f t="shared" si="35"/>
        <v>-42610.080433188225</v>
      </c>
      <c r="H132" s="50">
        <f t="shared" si="36"/>
        <v>-311710.94140878704</v>
      </c>
      <c r="I132" s="50">
        <f t="shared" si="37"/>
        <v>-125131.17758319475</v>
      </c>
      <c r="J132" s="50">
        <f t="shared" si="38"/>
        <v>125568.08477617038</v>
      </c>
      <c r="K132" s="49">
        <f t="shared" si="39"/>
        <v>-0.59027847056436222</v>
      </c>
      <c r="L132" s="48"/>
      <c r="M132" s="48">
        <v>-329309.30725919997</v>
      </c>
      <c r="N132" s="48">
        <v>-360695.61651867355</v>
      </c>
      <c r="O132" s="48">
        <v>-176983.10064606107</v>
      </c>
      <c r="P132" s="48">
        <v>-258915.84385754832</v>
      </c>
      <c r="Q132" s="48">
        <v>-107847.20322890597</v>
      </c>
      <c r="R132" s="48">
        <v>-42610.080433188225</v>
      </c>
      <c r="S132" s="48" t="s">
        <v>130</v>
      </c>
      <c r="U132" s="40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</row>
    <row r="133" spans="1:42" outlineLevel="1">
      <c r="A133" s="41">
        <v>1</v>
      </c>
      <c r="C133" s="45" t="str">
        <f>"    Income After Taxes"</f>
        <v xml:space="preserve">    Income After Taxes</v>
      </c>
      <c r="D133" s="50">
        <f t="shared" si="32"/>
        <v>-241413.80071211548</v>
      </c>
      <c r="E133" s="50">
        <f t="shared" si="33"/>
        <v>-225102.65162372202</v>
      </c>
      <c r="F133" s="50">
        <f t="shared" si="34"/>
        <v>-374868.89752920001</v>
      </c>
      <c r="G133" s="50">
        <f t="shared" si="35"/>
        <v>-47993.362113234994</v>
      </c>
      <c r="H133" s="50">
        <f t="shared" si="36"/>
        <v>-313052.76300760778</v>
      </c>
      <c r="I133" s="50">
        <f t="shared" si="37"/>
        <v>-141348.67385519951</v>
      </c>
      <c r="J133" s="50">
        <f t="shared" si="38"/>
        <v>124880.07287390645</v>
      </c>
      <c r="K133" s="49">
        <f t="shared" si="39"/>
        <v>-0.55476944395419192</v>
      </c>
      <c r="L133" s="48"/>
      <c r="M133" s="48">
        <v>-326996.37727200001</v>
      </c>
      <c r="N133" s="48">
        <v>-374868.89752920001</v>
      </c>
      <c r="O133" s="48">
        <v>-211605.68120979998</v>
      </c>
      <c r="P133" s="48">
        <v>-271221.92021443101</v>
      </c>
      <c r="Q133" s="48">
        <v>-117929.67140366601</v>
      </c>
      <c r="R133" s="48">
        <v>-47993.362113234994</v>
      </c>
      <c r="S133" s="48" t="s">
        <v>130</v>
      </c>
      <c r="U133" s="40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</row>
    <row r="134" spans="1:42">
      <c r="A134" s="41">
        <v>1</v>
      </c>
      <c r="C134" s="47" t="str">
        <f>"Data Origination"</f>
        <v>Data Origination</v>
      </c>
      <c r="D134" s="46"/>
      <c r="E134" s="46"/>
      <c r="F134" s="46"/>
      <c r="G134" s="46"/>
      <c r="H134" s="46"/>
      <c r="I134" s="46"/>
      <c r="J134" s="46"/>
      <c r="K134" s="46"/>
      <c r="L134" s="46"/>
      <c r="M134" s="46" t="s">
        <v>130</v>
      </c>
      <c r="N134" s="46" t="s">
        <v>130</v>
      </c>
      <c r="O134" s="46" t="s">
        <v>130</v>
      </c>
      <c r="P134" s="46" t="s">
        <v>130</v>
      </c>
      <c r="Q134" s="46" t="s">
        <v>130</v>
      </c>
      <c r="R134" s="46" t="s">
        <v>130</v>
      </c>
      <c r="S134" s="46" t="s">
        <v>130</v>
      </c>
      <c r="U134" s="40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</row>
    <row r="135" spans="1:42">
      <c r="A135" s="41">
        <v>1</v>
      </c>
      <c r="C135" s="45" t="str">
        <f>"    Preliminary"</f>
        <v xml:space="preserve">    Preliminary</v>
      </c>
      <c r="D135" s="44"/>
      <c r="E135" s="44"/>
      <c r="F135" s="44"/>
      <c r="G135" s="44"/>
      <c r="H135" s="44"/>
      <c r="I135" s="44"/>
      <c r="J135" s="44"/>
      <c r="K135" s="44"/>
      <c r="L135" s="43"/>
      <c r="M135" s="43" t="s">
        <v>129</v>
      </c>
      <c r="N135" s="43" t="s">
        <v>129</v>
      </c>
      <c r="O135" s="43" t="s">
        <v>129</v>
      </c>
      <c r="P135" s="43" t="s">
        <v>129</v>
      </c>
      <c r="Q135" s="43" t="s">
        <v>129</v>
      </c>
      <c r="R135" s="43" t="s">
        <v>129</v>
      </c>
      <c r="S135" s="43" t="s">
        <v>129</v>
      </c>
      <c r="U135" s="40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</row>
    <row r="136" spans="1:42">
      <c r="A136" s="41">
        <v>1</v>
      </c>
      <c r="C136" s="45" t="str">
        <f>"    Original"</f>
        <v xml:space="preserve">    Original</v>
      </c>
      <c r="D136" s="44"/>
      <c r="E136" s="44"/>
      <c r="F136" s="44"/>
      <c r="G136" s="44"/>
      <c r="H136" s="44"/>
      <c r="I136" s="44"/>
      <c r="J136" s="44"/>
      <c r="K136" s="44"/>
      <c r="L136" s="43"/>
      <c r="M136" s="43" t="s">
        <v>129</v>
      </c>
      <c r="N136" s="43" t="s">
        <v>129</v>
      </c>
      <c r="O136" s="43" t="s">
        <v>129</v>
      </c>
      <c r="P136" s="43" t="s">
        <v>129</v>
      </c>
      <c r="Q136" s="43" t="s">
        <v>129</v>
      </c>
      <c r="R136" s="43" t="s">
        <v>129</v>
      </c>
      <c r="S136" s="43" t="s">
        <v>129</v>
      </c>
      <c r="U136" s="40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</row>
    <row r="137" spans="1:42">
      <c r="A137" s="41">
        <v>1</v>
      </c>
      <c r="C137" s="45" t="str">
        <f>"    Restated"</f>
        <v xml:space="preserve">    Restated</v>
      </c>
      <c r="D137" s="44"/>
      <c r="E137" s="44"/>
      <c r="F137" s="44"/>
      <c r="G137" s="44"/>
      <c r="H137" s="44"/>
      <c r="I137" s="44"/>
      <c r="J137" s="44"/>
      <c r="K137" s="44"/>
      <c r="L137" s="43"/>
      <c r="M137" s="43" t="s">
        <v>129</v>
      </c>
      <c r="N137" s="43" t="s">
        <v>129</v>
      </c>
      <c r="O137" s="43" t="s">
        <v>129</v>
      </c>
      <c r="P137" s="43" t="s">
        <v>129</v>
      </c>
      <c r="Q137" s="43" t="s">
        <v>129</v>
      </c>
      <c r="R137" s="43" t="s">
        <v>129</v>
      </c>
      <c r="S137" s="43" t="s">
        <v>129</v>
      </c>
      <c r="U137" s="40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</row>
    <row r="138" spans="1:42">
      <c r="A138" s="41">
        <v>1</v>
      </c>
      <c r="C138" s="45" t="str">
        <f>"    Calculated"</f>
        <v xml:space="preserve">    Calculated</v>
      </c>
      <c r="D138" s="44"/>
      <c r="E138" s="44"/>
      <c r="F138" s="44"/>
      <c r="G138" s="44"/>
      <c r="H138" s="44"/>
      <c r="I138" s="44"/>
      <c r="J138" s="44"/>
      <c r="K138" s="44"/>
      <c r="L138" s="43"/>
      <c r="M138" s="43" t="s">
        <v>129</v>
      </c>
      <c r="N138" s="43" t="s">
        <v>129</v>
      </c>
      <c r="O138" s="43" t="s">
        <v>129</v>
      </c>
      <c r="P138" s="43" t="s">
        <v>129</v>
      </c>
      <c r="Q138" s="43" t="s">
        <v>129</v>
      </c>
      <c r="R138" s="43" t="s">
        <v>129</v>
      </c>
      <c r="S138" s="43" t="s">
        <v>129</v>
      </c>
      <c r="U138" s="40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</row>
    <row r="139" spans="1:42">
      <c r="A139" s="41"/>
      <c r="U139" s="40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</row>
    <row r="140" spans="1:42">
      <c r="A140" s="41"/>
      <c r="U140" s="40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</row>
    <row r="141" spans="1:42">
      <c r="A141" s="41"/>
      <c r="C141" s="42" t="s">
        <v>128</v>
      </c>
      <c r="U141" s="40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</row>
    <row r="142" spans="1:42">
      <c r="A142" s="41"/>
      <c r="C142" s="42" t="s">
        <v>127</v>
      </c>
      <c r="U142" s="40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</row>
    <row r="143" spans="1:42" ht="16" thickBot="1">
      <c r="A143" s="41"/>
      <c r="U143" s="40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</row>
    <row r="144" spans="1:42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</row>
  </sheetData>
  <mergeCells count="8">
    <mergeCell ref="I5:I6"/>
    <mergeCell ref="J5:J6"/>
    <mergeCell ref="K5:K6"/>
    <mergeCell ref="D5:D6"/>
    <mergeCell ref="E5:E6"/>
    <mergeCell ref="F5:F6"/>
    <mergeCell ref="G5:G6"/>
    <mergeCell ref="H5:H6"/>
  </mergeCells>
  <conditionalFormatting sqref="D10:S10 D22:S22 D50:S51 D83:S92 D96:S96 D100:S102 D118:S118 D134:S134">
    <cfRule type="expression" dxfId="1" priority="1">
      <formula>NOT(SUBTOTAL(109,$A11)=$A11)</formula>
    </cfRule>
  </conditionalFormatting>
  <hyperlinks>
    <hyperlink ref="M5" r:id="rId1" xr:uid="{7BBD518F-CF4E-8040-A385-B916B2FE0D9E}"/>
    <hyperlink ref="N5" r:id="rId2" xr:uid="{AA4C8320-7995-8E4B-9BB1-450DBE5DF012}"/>
    <hyperlink ref="O5" r:id="rId3" xr:uid="{FA9DEB8A-AEB4-1648-A891-085AE5C75163}"/>
    <hyperlink ref="P5" r:id="rId4" xr:uid="{CED985B2-FA22-D142-BBD3-D9437D19C86A}"/>
    <hyperlink ref="Q5" r:id="rId5" xr:uid="{647A480C-C328-F245-B753-6E861F9BBD29}"/>
    <hyperlink ref="R5" r:id="rId6" xr:uid="{2469A542-C313-3E41-9021-7E4608CDB879}"/>
    <hyperlink ref="S5" r:id="rId7" xr:uid="{AFC07168-DCC8-2A4C-BDE9-CA74432A92D2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7B2E-0591-9142-A272-BA0761A15D08}">
  <sheetPr>
    <outlinePr summaryBelow="0"/>
  </sheetPr>
  <dimension ref="A1:AMK72"/>
  <sheetViews>
    <sheetView showGridLines="0" zoomScale="83" zoomScaleNormal="100" workbookViewId="0">
      <pane xSplit="3" ySplit="9" topLeftCell="D10" activePane="bottomRight" state="frozen"/>
      <selection pane="topRight"/>
      <selection pane="bottomLeft"/>
      <selection pane="bottomRight" activeCell="H73" sqref="H73"/>
    </sheetView>
  </sheetViews>
  <sheetFormatPr baseColWidth="10" defaultColWidth="8.83203125" defaultRowHeight="15" outlineLevelCol="1"/>
  <cols>
    <col min="1" max="1" width="1" style="37" customWidth="1" collapsed="1"/>
    <col min="2" max="2" width="2" style="37" customWidth="1" collapsed="1"/>
    <col min="3" max="3" width="50.6640625" style="37" customWidth="1" collapsed="1"/>
    <col min="4" max="10" width="12.6640625" style="37" customWidth="1" outlineLevel="1"/>
    <col min="11" max="11" width="10.6640625" style="37" customWidth="1" outlineLevel="1" collapsed="1"/>
    <col min="12" max="12" width="2.6640625" style="37" customWidth="1"/>
    <col min="13" max="19" width="14.6640625" style="37" customWidth="1" collapsed="1"/>
    <col min="20" max="20" width="2" style="37" customWidth="1" collapsed="1"/>
    <col min="21" max="1025" width="14.6640625" style="37" customWidth="1" collapsed="1"/>
    <col min="1026" max="16384" width="8.83203125" style="37"/>
  </cols>
  <sheetData>
    <row r="1" spans="1:42" ht="6.5" customHeight="1">
      <c r="A1" s="38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</row>
    <row r="2" spans="1:42" ht="39.75" customHeight="1">
      <c r="A2" s="41"/>
      <c r="U2" s="40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</row>
    <row r="3" spans="1:42" ht="18.75" customHeight="1">
      <c r="A3" s="41"/>
      <c r="C3" s="64" t="s">
        <v>154</v>
      </c>
      <c r="U3" s="40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</row>
    <row r="4" spans="1:42" ht="21">
      <c r="A4" s="41"/>
      <c r="C4" s="62" t="s">
        <v>152</v>
      </c>
      <c r="D4" s="63" t="s">
        <v>151</v>
      </c>
      <c r="E4" s="47"/>
      <c r="F4" s="47"/>
      <c r="G4" s="47"/>
      <c r="H4" s="47"/>
      <c r="I4" s="47"/>
      <c r="J4" s="47"/>
      <c r="K4" s="47"/>
      <c r="U4" s="40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</row>
    <row r="5" spans="1:42">
      <c r="A5" s="41"/>
      <c r="C5" s="62" t="s">
        <v>150</v>
      </c>
      <c r="D5" s="101" t="s">
        <v>149</v>
      </c>
      <c r="E5" s="101" t="s">
        <v>148</v>
      </c>
      <c r="F5" s="101" t="s">
        <v>147</v>
      </c>
      <c r="G5" s="101" t="s">
        <v>146</v>
      </c>
      <c r="H5" s="101" t="s">
        <v>145</v>
      </c>
      <c r="I5" s="101" t="s">
        <v>144</v>
      </c>
      <c r="J5" s="101" t="s">
        <v>143</v>
      </c>
      <c r="K5" s="101" t="s">
        <v>142</v>
      </c>
      <c r="M5" s="61" t="s">
        <v>141</v>
      </c>
      <c r="N5" s="61" t="s">
        <v>140</v>
      </c>
      <c r="O5" s="61" t="s">
        <v>139</v>
      </c>
      <c r="P5" s="61" t="s">
        <v>138</v>
      </c>
      <c r="Q5" s="61" t="s">
        <v>137</v>
      </c>
      <c r="R5" s="61" t="s">
        <v>136</v>
      </c>
      <c r="S5" s="61" t="s">
        <v>135</v>
      </c>
      <c r="U5" s="40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</row>
    <row r="6" spans="1:42">
      <c r="A6" s="41"/>
      <c r="C6" s="60" t="s">
        <v>134</v>
      </c>
      <c r="D6" s="102"/>
      <c r="E6" s="102"/>
      <c r="F6" s="102"/>
      <c r="G6" s="102"/>
      <c r="H6" s="102"/>
      <c r="I6" s="102"/>
      <c r="J6" s="102"/>
      <c r="K6" s="102"/>
      <c r="U6" s="40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</row>
    <row r="7" spans="1:42">
      <c r="A7" s="41"/>
      <c r="D7" s="47"/>
      <c r="E7" s="47"/>
      <c r="F7" s="47"/>
      <c r="G7" s="47"/>
      <c r="H7" s="47"/>
      <c r="I7" s="47"/>
      <c r="J7" s="47"/>
      <c r="K7" s="47"/>
      <c r="U7" s="40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</row>
    <row r="8" spans="1:42">
      <c r="A8" s="41"/>
      <c r="D8" s="47"/>
      <c r="E8" s="47"/>
      <c r="F8" s="47"/>
      <c r="G8" s="47"/>
      <c r="H8" s="47"/>
      <c r="I8" s="47"/>
      <c r="J8" s="47"/>
      <c r="K8" s="47"/>
      <c r="M8" s="59" t="s">
        <v>133</v>
      </c>
      <c r="N8" s="59" t="s">
        <v>133</v>
      </c>
      <c r="O8" s="59" t="s">
        <v>132</v>
      </c>
      <c r="P8" s="59" t="s">
        <v>132</v>
      </c>
      <c r="Q8" s="59" t="s">
        <v>132</v>
      </c>
      <c r="R8" s="59" t="s">
        <v>132</v>
      </c>
      <c r="S8" s="59" t="s">
        <v>131</v>
      </c>
      <c r="U8" s="40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</row>
    <row r="9" spans="1:42">
      <c r="A9" s="41"/>
      <c r="D9" s="47"/>
      <c r="E9" s="47"/>
      <c r="F9" s="47"/>
      <c r="G9" s="47"/>
      <c r="H9" s="47"/>
      <c r="I9" s="47"/>
      <c r="J9" s="47"/>
      <c r="K9" s="47"/>
      <c r="U9" s="40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</row>
    <row r="10" spans="1:42">
      <c r="A10" s="41">
        <v>1</v>
      </c>
      <c r="C10" s="47" t="str">
        <f>"Income Statement"</f>
        <v>Income Statement</v>
      </c>
      <c r="D10" s="46"/>
      <c r="E10" s="46"/>
      <c r="F10" s="46"/>
      <c r="G10" s="46"/>
      <c r="H10" s="46"/>
      <c r="I10" s="46"/>
      <c r="J10" s="46"/>
      <c r="K10" s="46"/>
      <c r="L10" s="46"/>
      <c r="M10" s="46" t="s">
        <v>130</v>
      </c>
      <c r="N10" s="46" t="s">
        <v>130</v>
      </c>
      <c r="O10" s="46" t="s">
        <v>130</v>
      </c>
      <c r="P10" s="46" t="s">
        <v>130</v>
      </c>
      <c r="Q10" s="46" t="s">
        <v>130</v>
      </c>
      <c r="R10" s="46" t="s">
        <v>130</v>
      </c>
      <c r="S10" s="46" t="s">
        <v>130</v>
      </c>
      <c r="U10" s="40"/>
      <c r="V10" s="103" t="s">
        <v>155</v>
      </c>
      <c r="W10" s="104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</row>
    <row r="11" spans="1:42">
      <c r="A11" s="41">
        <v>1</v>
      </c>
      <c r="C11" s="45" t="str">
        <f>"    Total Revenue"</f>
        <v xml:space="preserve">    Total Revenue</v>
      </c>
      <c r="D11" s="50">
        <f t="shared" ref="D11:D21" si="0">IF(COUNT(M11:S11)&gt;0,MEDIAN(M11:S11),"")</f>
        <v>252496.78876725951</v>
      </c>
      <c r="E11" s="50">
        <f t="shared" ref="E11:E21" si="1">IF(COUNT(M11:S11)&gt;0,AVERAGE(M11:S11),"")</f>
        <v>328928.87310238724</v>
      </c>
      <c r="F11" s="50">
        <f t="shared" ref="F11:F21" si="2">IF(COUNT(M11:S11)&gt;0,MIN(M11:S11),"")</f>
        <v>55310.985746554994</v>
      </c>
      <c r="G11" s="50">
        <f t="shared" ref="G11:G21" si="3">IF(COUNT(M11:S11)&gt;0,MAX(M11:S11),"")</f>
        <v>784862.10943199997</v>
      </c>
      <c r="H11" s="50">
        <f t="shared" ref="H11:H21" si="4">IF(COUNT(M11:S11)&gt;0,QUARTILE(M11:S11,1),"")</f>
        <v>133635.36342914149</v>
      </c>
      <c r="I11" s="50">
        <f t="shared" ref="I11:I21" si="5">IF(COUNT(M11:S11)&gt;0,QUARTILE(M11:S11,3),"")</f>
        <v>463917.95538042503</v>
      </c>
      <c r="J11" s="50">
        <f t="shared" ref="J11:J21" si="6">IF(COUNT(M11:S11)&gt;1,STDEV(M11:S11),"")</f>
        <v>276455.61007667828</v>
      </c>
      <c r="K11" s="49">
        <f t="shared" ref="K11:K21" si="7">IF(COUNT(M11:S11)&gt;1,STDEV(M11:S11)/AVERAGE(M11:S11),"")</f>
        <v>0.84047231083488572</v>
      </c>
      <c r="L11" s="48"/>
      <c r="M11" s="48">
        <v>784862.10943199997</v>
      </c>
      <c r="N11" s="48">
        <v>511666.72325210006</v>
      </c>
      <c r="O11" s="48">
        <v>320671.65176540002</v>
      </c>
      <c r="P11" s="48">
        <v>184321.92576911903</v>
      </c>
      <c r="Q11" s="48">
        <v>116739.842649149</v>
      </c>
      <c r="R11" s="48">
        <v>55310.985746554994</v>
      </c>
      <c r="S11" s="48" t="s">
        <v>130</v>
      </c>
      <c r="U11" s="40"/>
      <c r="V11" s="68">
        <v>2013</v>
      </c>
      <c r="W11" s="71">
        <v>-36543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</row>
    <row r="12" spans="1:42">
      <c r="A12" s="41">
        <v>1</v>
      </c>
      <c r="C12" s="45" t="str">
        <f>"    Gross Profit"</f>
        <v xml:space="preserve">    Gross Profit</v>
      </c>
      <c r="D12" s="50">
        <f t="shared" si="0"/>
        <v>193532.4377859715</v>
      </c>
      <c r="E12" s="50">
        <f t="shared" si="1"/>
        <v>208410.8600029388</v>
      </c>
      <c r="F12" s="50">
        <f t="shared" si="2"/>
        <v>43516.760717814999</v>
      </c>
      <c r="G12" s="50">
        <f t="shared" si="3"/>
        <v>409719.02630399994</v>
      </c>
      <c r="H12" s="50">
        <f t="shared" si="4"/>
        <v>108655.17865486699</v>
      </c>
      <c r="I12" s="50">
        <f t="shared" si="5"/>
        <v>295734.41330602497</v>
      </c>
      <c r="J12" s="50">
        <f t="shared" si="6"/>
        <v>138723.09929041515</v>
      </c>
      <c r="K12" s="49">
        <f t="shared" si="7"/>
        <v>0.6656231795620392</v>
      </c>
      <c r="L12" s="48"/>
      <c r="M12" s="48">
        <v>409719.02630399994</v>
      </c>
      <c r="N12" s="48">
        <v>315886.8176833</v>
      </c>
      <c r="O12" s="48">
        <v>235277.2001742</v>
      </c>
      <c r="P12" s="48">
        <v>151787.67539774301</v>
      </c>
      <c r="Q12" s="48">
        <v>94277.679740574997</v>
      </c>
      <c r="R12" s="48">
        <v>43516.760717814999</v>
      </c>
      <c r="S12" s="48" t="s">
        <v>130</v>
      </c>
      <c r="U12" s="40"/>
      <c r="V12" s="68">
        <v>2014</v>
      </c>
      <c r="W12" s="71">
        <v>-109820</v>
      </c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</row>
    <row r="13" spans="1:42">
      <c r="A13" s="41">
        <v>1</v>
      </c>
      <c r="C13" s="45" t="str">
        <f>"    Total Operating Profit/(Loss)"</f>
        <v xml:space="preserve">    Total Operating Profit/(Loss)</v>
      </c>
      <c r="D13" s="50">
        <f t="shared" si="0"/>
        <v>-123925.34253309402</v>
      </c>
      <c r="E13" s="50">
        <f t="shared" si="1"/>
        <v>-122116.10489018301</v>
      </c>
      <c r="F13" s="50">
        <f t="shared" si="2"/>
        <v>-193524.37670280001</v>
      </c>
      <c r="G13" s="50">
        <f t="shared" si="3"/>
        <v>-36542.980430110001</v>
      </c>
      <c r="H13" s="50">
        <f t="shared" si="4"/>
        <v>-163370.97967476898</v>
      </c>
      <c r="I13" s="50">
        <f t="shared" si="5"/>
        <v>-89675.631948277995</v>
      </c>
      <c r="J13" s="50">
        <f t="shared" si="6"/>
        <v>58016.817861511547</v>
      </c>
      <c r="K13" s="49">
        <f t="shared" si="7"/>
        <v>-0.47509554872950716</v>
      </c>
      <c r="L13" s="48"/>
      <c r="M13" s="48">
        <v>-171817.65619199997</v>
      </c>
      <c r="N13" s="48">
        <v>-193524.37670280001</v>
      </c>
      <c r="O13" s="48">
        <v>-82960.930949999994</v>
      </c>
      <c r="P13" s="48">
        <v>-138030.95012307604</v>
      </c>
      <c r="Q13" s="48">
        <v>-109819.73494311199</v>
      </c>
      <c r="R13" s="48">
        <v>-36542.980430110001</v>
      </c>
      <c r="S13" s="48" t="s">
        <v>130</v>
      </c>
      <c r="U13" s="40"/>
      <c r="V13" s="68">
        <v>2015</v>
      </c>
      <c r="W13" s="71">
        <v>-138031</v>
      </c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</row>
    <row r="14" spans="1:42">
      <c r="A14" s="41">
        <v>1</v>
      </c>
      <c r="C14" s="45" t="str">
        <f>"    Earnings Before Interest, Tax, Depreciation, &amp; Amortization (EBITDA)"</f>
        <v xml:space="preserve">    Earnings Before Interest, Tax, Depreciation, &amp; Amortization (EBITDA)</v>
      </c>
      <c r="D14" s="50">
        <f t="shared" si="0"/>
        <v>-170139.19577949599</v>
      </c>
      <c r="E14" s="50">
        <f t="shared" si="1"/>
        <v>-167445.24063489767</v>
      </c>
      <c r="F14" s="50">
        <f t="shared" si="2"/>
        <v>-284534.96644589998</v>
      </c>
      <c r="G14" s="50">
        <f t="shared" si="3"/>
        <v>-39849.983418244992</v>
      </c>
      <c r="H14" s="50">
        <f t="shared" si="4"/>
        <v>-233303.65693739802</v>
      </c>
      <c r="I14" s="50">
        <f t="shared" si="5"/>
        <v>-106772.01774203675</v>
      </c>
      <c r="J14" s="50">
        <f t="shared" si="6"/>
        <v>93210.494474726685</v>
      </c>
      <c r="K14" s="49">
        <f t="shared" si="7"/>
        <v>-0.55666254902977796</v>
      </c>
      <c r="L14" s="48"/>
      <c r="M14" s="48">
        <v>-240379.509384</v>
      </c>
      <c r="N14" s="48">
        <v>-284534.96644589998</v>
      </c>
      <c r="O14" s="48">
        <v>-128202.29196139997</v>
      </c>
      <c r="P14" s="48">
        <v>-212076.09959759199</v>
      </c>
      <c r="Q14" s="48">
        <v>-99628.593002249021</v>
      </c>
      <c r="R14" s="48">
        <v>-39849.983418244992</v>
      </c>
      <c r="S14" s="48" t="s">
        <v>130</v>
      </c>
      <c r="U14" s="40"/>
      <c r="V14" s="68">
        <v>2016</v>
      </c>
      <c r="W14" s="71">
        <v>-82961</v>
      </c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</row>
    <row r="15" spans="1:42">
      <c r="A15" s="41">
        <v>1</v>
      </c>
      <c r="C15" s="45" t="str">
        <f>"    Earnings Before Interest and Tax (EBIT)"</f>
        <v xml:space="preserve">    Earnings Before Interest and Tax (EBIT)</v>
      </c>
      <c r="D15" s="50">
        <f t="shared" si="0"/>
        <v>-224177.85566384249</v>
      </c>
      <c r="E15" s="50">
        <f t="shared" si="1"/>
        <v>-210152.20638064004</v>
      </c>
      <c r="F15" s="50">
        <f t="shared" si="2"/>
        <v>-346223.68093099998</v>
      </c>
      <c r="G15" s="50">
        <f t="shared" si="3"/>
        <v>-43042.814484670002</v>
      </c>
      <c r="H15" s="50">
        <f t="shared" si="4"/>
        <v>-296827.97476012126</v>
      </c>
      <c r="I15" s="50">
        <f t="shared" si="5"/>
        <v>-132729.22672716377</v>
      </c>
      <c r="J15" s="50">
        <f t="shared" si="6"/>
        <v>116979.29664247527</v>
      </c>
      <c r="K15" s="49">
        <f t="shared" si="7"/>
        <v>-0.55664082075158172</v>
      </c>
      <c r="L15" s="48"/>
      <c r="M15" s="48">
        <v>-308705.34931199998</v>
      </c>
      <c r="N15" s="48">
        <v>-346223.68093099998</v>
      </c>
      <c r="O15" s="48">
        <v>-187159.86022319997</v>
      </c>
      <c r="P15" s="48">
        <v>-261195.85110448502</v>
      </c>
      <c r="Q15" s="48">
        <v>-114585.68222848502</v>
      </c>
      <c r="R15" s="48">
        <v>-43042.814484670002</v>
      </c>
      <c r="S15" s="48" t="s">
        <v>130</v>
      </c>
      <c r="U15" s="40"/>
      <c r="V15" s="68">
        <v>2017</v>
      </c>
      <c r="W15" s="71">
        <v>-193524</v>
      </c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</row>
    <row r="16" spans="1:42">
      <c r="A16" s="41">
        <v>1</v>
      </c>
      <c r="C16" s="45" t="str">
        <f>"    Net Income from Continuing Operations"</f>
        <v xml:space="preserve">    Net Income from Continuing Operations</v>
      </c>
      <c r="D16" s="50">
        <f t="shared" si="0"/>
        <v>-241413.80071211554</v>
      </c>
      <c r="E16" s="50">
        <f t="shared" si="1"/>
        <v>-225102.43036030783</v>
      </c>
      <c r="F16" s="50">
        <f t="shared" si="2"/>
        <v>-374868.89752920001</v>
      </c>
      <c r="G16" s="50">
        <f t="shared" si="3"/>
        <v>-47992.034532749996</v>
      </c>
      <c r="H16" s="50">
        <f t="shared" si="4"/>
        <v>-313052.76300760772</v>
      </c>
      <c r="I16" s="50">
        <f t="shared" si="5"/>
        <v>-141348.67385519948</v>
      </c>
      <c r="J16" s="50">
        <f t="shared" si="6"/>
        <v>124880.44943873523</v>
      </c>
      <c r="K16" s="49">
        <f t="shared" si="7"/>
        <v>-0.55477166212220219</v>
      </c>
      <c r="L16" s="48"/>
      <c r="M16" s="48">
        <v>-326996.37727199995</v>
      </c>
      <c r="N16" s="48">
        <v>-374868.89752920001</v>
      </c>
      <c r="O16" s="48">
        <v>-211605.68120979998</v>
      </c>
      <c r="P16" s="48">
        <v>-271221.92021443107</v>
      </c>
      <c r="Q16" s="48">
        <v>-117929.671403666</v>
      </c>
      <c r="R16" s="48">
        <v>-47992.034532749996</v>
      </c>
      <c r="S16" s="48" t="s">
        <v>130</v>
      </c>
      <c r="U16" s="40"/>
      <c r="V16" s="68">
        <v>2018</v>
      </c>
      <c r="W16" s="71">
        <v>-171818</v>
      </c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</row>
    <row r="17" spans="1:42">
      <c r="A17" s="41">
        <v>1</v>
      </c>
      <c r="C17" s="45" t="str">
        <f>"    Net Income Available to Common Stockholders"</f>
        <v xml:space="preserve">    Net Income Available to Common Stockholders</v>
      </c>
      <c r="D17" s="50">
        <f t="shared" si="0"/>
        <v>-160712.53719934198</v>
      </c>
      <c r="E17" s="50">
        <f t="shared" si="1"/>
        <v>-178939.71632674718</v>
      </c>
      <c r="F17" s="50">
        <f t="shared" si="2"/>
        <v>-389191.50582830003</v>
      </c>
      <c r="G17" s="50">
        <f t="shared" si="3"/>
        <v>-45078.533423999994</v>
      </c>
      <c r="H17" s="50">
        <f t="shared" si="4"/>
        <v>-255346.69544505552</v>
      </c>
      <c r="I17" s="50">
        <f t="shared" si="5"/>
        <v>-63466.961386739757</v>
      </c>
      <c r="J17" s="50">
        <f t="shared" si="6"/>
        <v>136521.31639503519</v>
      </c>
      <c r="K17" s="49">
        <f t="shared" si="7"/>
        <v>-0.7629458635429196</v>
      </c>
      <c r="L17" s="48"/>
      <c r="M17" s="48">
        <v>-45078.533423999994</v>
      </c>
      <c r="N17" s="48">
        <v>-389191.50582830003</v>
      </c>
      <c r="O17" s="48">
        <v>-207291.71280039998</v>
      </c>
      <c r="P17" s="48">
        <v>-271365.02299327403</v>
      </c>
      <c r="Q17" s="48">
        <v>-114133.36159828401</v>
      </c>
      <c r="R17" s="48">
        <v>-46578.161316225</v>
      </c>
      <c r="S17" s="48" t="s">
        <v>130</v>
      </c>
      <c r="U17" s="40"/>
      <c r="V17" s="69"/>
      <c r="W17" s="69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</row>
    <row r="18" spans="1:42">
      <c r="A18" s="41">
        <v>1</v>
      </c>
      <c r="C18" s="45" t="str">
        <f>"    Normalized Income"</f>
        <v xml:space="preserve">    Normalized Income</v>
      </c>
      <c r="D18" s="50">
        <f t="shared" si="0"/>
        <v>-128382.8487911227</v>
      </c>
      <c r="E18" s="50">
        <f t="shared" si="1"/>
        <v>-141783.65427426589</v>
      </c>
      <c r="F18" s="50">
        <f t="shared" si="2"/>
        <v>-235909.62104930085</v>
      </c>
      <c r="G18" s="50">
        <f t="shared" si="3"/>
        <v>-40360.042479964839</v>
      </c>
      <c r="H18" s="50">
        <f t="shared" si="4"/>
        <v>-213186.0777633317</v>
      </c>
      <c r="I18" s="50">
        <f t="shared" si="5"/>
        <v>-89255.270032792949</v>
      </c>
      <c r="J18" s="50">
        <f t="shared" si="6"/>
        <v>80526.421045448122</v>
      </c>
      <c r="K18" s="49">
        <f t="shared" si="7"/>
        <v>-0.5679527831161556</v>
      </c>
      <c r="L18" s="48"/>
      <c r="M18" s="48">
        <v>-231635.21795279998</v>
      </c>
      <c r="N18" s="48">
        <v>-235909.62104930085</v>
      </c>
      <c r="O18" s="48">
        <v>-86031.346581284422</v>
      </c>
      <c r="P18" s="48">
        <v>-157838.65719492687</v>
      </c>
      <c r="Q18" s="48">
        <v>-98927.040387318513</v>
      </c>
      <c r="R18" s="48">
        <v>-40360.042479964839</v>
      </c>
      <c r="S18" s="48" t="s">
        <v>130</v>
      </c>
      <c r="U18" s="40"/>
      <c r="V18" s="69"/>
      <c r="W18" s="69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</row>
    <row r="19" spans="1:42">
      <c r="A19" s="41">
        <v>1</v>
      </c>
      <c r="C19" s="45" t="str">
        <f>"    Diluted EPS from Continuing Operations"</f>
        <v xml:space="preserve">    Diluted EPS from Continuing Operations</v>
      </c>
      <c r="D19" s="49">
        <f t="shared" si="0"/>
        <v>-1.352624391203392</v>
      </c>
      <c r="E19" s="49">
        <f t="shared" si="1"/>
        <v>-1.2885582328959038</v>
      </c>
      <c r="F19" s="49">
        <f t="shared" si="2"/>
        <v>-2.3570276649699999</v>
      </c>
      <c r="G19" s="49">
        <f t="shared" si="3"/>
        <v>-0.27080517765223999</v>
      </c>
      <c r="H19" s="49">
        <f t="shared" si="4"/>
        <v>-1.6818251589205579</v>
      </c>
      <c r="I19" s="49">
        <f t="shared" si="5"/>
        <v>-0.79318786594093715</v>
      </c>
      <c r="J19" s="49">
        <f t="shared" si="6"/>
        <v>0.75279545393759817</v>
      </c>
      <c r="K19" s="49">
        <f t="shared" si="7"/>
        <v>-0.58421531500812873</v>
      </c>
      <c r="L19" s="53"/>
      <c r="M19" s="53">
        <v>-1.7346974903999999</v>
      </c>
      <c r="N19" s="53">
        <v>-2.3570276649699999</v>
      </c>
      <c r="O19" s="53">
        <v>-1.1820406179245517</v>
      </c>
      <c r="P19" s="53">
        <v>-1.5232081644822322</v>
      </c>
      <c r="Q19" s="53">
        <v>-0.663570281946399</v>
      </c>
      <c r="R19" s="53">
        <v>-0.27080517765223999</v>
      </c>
      <c r="S19" s="53" t="s">
        <v>130</v>
      </c>
      <c r="U19" s="40"/>
      <c r="V19" s="69"/>
      <c r="W19" s="69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</row>
    <row r="20" spans="1:42">
      <c r="A20" s="41">
        <v>1</v>
      </c>
      <c r="C20" s="45" t="str">
        <f>"    Normalized Diluted EPS"</f>
        <v xml:space="preserve">    Normalized Diluted EPS</v>
      </c>
      <c r="D20" s="49">
        <f t="shared" si="0"/>
        <v>-0.70854404677466487</v>
      </c>
      <c r="E20" s="49">
        <f t="shared" si="1"/>
        <v>-0.79899957730640903</v>
      </c>
      <c r="F20" s="49">
        <f t="shared" si="2"/>
        <v>-1.4760554175160636</v>
      </c>
      <c r="G20" s="49">
        <f t="shared" si="3"/>
        <v>-0.22643284705718875</v>
      </c>
      <c r="H20" s="49">
        <f t="shared" si="4"/>
        <v>-1.1328511061302089</v>
      </c>
      <c r="I20" s="49">
        <f t="shared" si="5"/>
        <v>-0.47723674654402715</v>
      </c>
      <c r="J20" s="49">
        <f t="shared" si="6"/>
        <v>0.4797294331332897</v>
      </c>
      <c r="K20" s="49">
        <f t="shared" si="7"/>
        <v>-0.60041262443536669</v>
      </c>
      <c r="L20" s="53"/>
      <c r="M20" s="53">
        <v>-1.2224684978222884</v>
      </c>
      <c r="N20" s="53">
        <v>-1.4760554175160636</v>
      </c>
      <c r="O20" s="53">
        <v>-0.45195260789358316</v>
      </c>
      <c r="P20" s="53">
        <v>-0.86399893105397074</v>
      </c>
      <c r="Q20" s="53">
        <v>-0.553089162495359</v>
      </c>
      <c r="R20" s="53">
        <v>-0.22643284705718875</v>
      </c>
      <c r="S20" s="53" t="s">
        <v>130</v>
      </c>
      <c r="U20" s="40"/>
      <c r="V20" s="69"/>
      <c r="W20" s="69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</row>
    <row r="21" spans="1:42">
      <c r="A21" s="41">
        <v>1</v>
      </c>
      <c r="C21" s="45" t="str">
        <f>"    Diluted Weighted Average Shares Outstanding"</f>
        <v xml:space="preserve">    Diluted Weighted Average Shares Outstanding</v>
      </c>
      <c r="D21" s="50">
        <f t="shared" si="0"/>
        <v>171998900</v>
      </c>
      <c r="E21" s="50">
        <f t="shared" si="1"/>
        <v>171983100</v>
      </c>
      <c r="F21" s="50">
        <f t="shared" si="2"/>
        <v>157734000</v>
      </c>
      <c r="G21" s="50">
        <f t="shared" si="3"/>
        <v>186169000</v>
      </c>
      <c r="H21" s="50">
        <f t="shared" si="4"/>
        <v>171998900</v>
      </c>
      <c r="I21" s="50">
        <f t="shared" si="5"/>
        <v>171998900</v>
      </c>
      <c r="J21" s="50">
        <f t="shared" si="6"/>
        <v>8991969.8418088574</v>
      </c>
      <c r="K21" s="49">
        <f t="shared" si="7"/>
        <v>5.2284031639206745E-2</v>
      </c>
      <c r="L21" s="48"/>
      <c r="M21" s="48">
        <v>186169000</v>
      </c>
      <c r="N21" s="48">
        <v>157734000</v>
      </c>
      <c r="O21" s="48">
        <v>171998900</v>
      </c>
      <c r="P21" s="48">
        <v>171998900</v>
      </c>
      <c r="Q21" s="48">
        <v>171998900</v>
      </c>
      <c r="R21" s="48">
        <v>171998900</v>
      </c>
      <c r="S21" s="48" t="s">
        <v>130</v>
      </c>
      <c r="U21" s="40"/>
      <c r="V21" s="69"/>
      <c r="W21" s="69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</row>
    <row r="22" spans="1:42">
      <c r="A22" s="41">
        <v>1</v>
      </c>
      <c r="C22" s="47" t="str">
        <f>"Balance Sheet"</f>
        <v>Balance Sheet</v>
      </c>
      <c r="D22" s="46"/>
      <c r="E22" s="46"/>
      <c r="F22" s="46"/>
      <c r="G22" s="46"/>
      <c r="H22" s="46"/>
      <c r="I22" s="46"/>
      <c r="J22" s="46"/>
      <c r="K22" s="46"/>
      <c r="L22" s="46"/>
      <c r="M22" s="46" t="s">
        <v>130</v>
      </c>
      <c r="N22" s="46" t="s">
        <v>130</v>
      </c>
      <c r="O22" s="46" t="s">
        <v>130</v>
      </c>
      <c r="P22" s="46" t="s">
        <v>130</v>
      </c>
      <c r="Q22" s="46" t="s">
        <v>130</v>
      </c>
      <c r="R22" s="46" t="s">
        <v>130</v>
      </c>
      <c r="S22" s="46" t="s">
        <v>130</v>
      </c>
      <c r="U22" s="40"/>
      <c r="V22" s="69"/>
      <c r="W22" s="69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</row>
    <row r="23" spans="1:42">
      <c r="A23" s="41">
        <v>1</v>
      </c>
      <c r="C23" s="45" t="str">
        <f>"    Total Current Assets"</f>
        <v xml:space="preserve">    Total Current Assets</v>
      </c>
      <c r="D23" s="50">
        <f t="shared" ref="D23:D34" si="8">IF(COUNT(M23:S23)&gt;0,MEDIAN(M23:S23),"")</f>
        <v>211411.89069572999</v>
      </c>
      <c r="E23" s="50">
        <f t="shared" ref="E23:E34" si="9">IF(COUNT(M23:S23)&gt;0,AVERAGE(M23:S23),"")</f>
        <v>366578.77384904691</v>
      </c>
      <c r="F23" s="50">
        <f t="shared" ref="F23:F34" si="10">IF(COUNT(M23:S23)&gt;0,MIN(M23:S23),"")</f>
        <v>21037.109527498</v>
      </c>
      <c r="G23" s="50">
        <f t="shared" ref="G23:G34" si="11">IF(COUNT(M23:S23)&gt;0,MAX(M23:S23),"")</f>
        <v>1001830.2447726</v>
      </c>
      <c r="H23" s="50">
        <f t="shared" ref="H23:H34" si="12">IF(COUNT(M23:S23)&gt;0,QUARTILE(M23:S23,1),"")</f>
        <v>45172.605436250495</v>
      </c>
      <c r="I23" s="50">
        <f t="shared" ref="I23:I34" si="13">IF(COUNT(M23:S23)&gt;0,QUARTILE(M23:S23,3),"")</f>
        <v>620713.4805375</v>
      </c>
      <c r="J23" s="50">
        <f t="shared" ref="J23:J34" si="14">IF(COUNT(M23:S23)&gt;1,STDEV(M23:S23),"")</f>
        <v>420129.00539440551</v>
      </c>
      <c r="K23" s="49">
        <f t="shared" ref="K23:K34" si="15">IF(COUNT(M23:S23)&gt;1,STDEV(M23:S23)/AVERAGE(M23:S23),"")</f>
        <v>1.1460811027956845</v>
      </c>
      <c r="L23" s="48"/>
      <c r="M23" s="48">
        <v>1001830.2447726</v>
      </c>
      <c r="N23" s="48">
        <v>917292.51162040001</v>
      </c>
      <c r="O23" s="48">
        <v>324134.44945460005</v>
      </c>
      <c r="P23" s="48">
        <v>211411.89069572999</v>
      </c>
      <c r="Q23" s="48">
        <v>58192.983522344999</v>
      </c>
      <c r="R23" s="48">
        <v>32152.227350155998</v>
      </c>
      <c r="S23" s="48">
        <v>21037.109527498</v>
      </c>
      <c r="U23" s="40"/>
      <c r="V23" s="69"/>
      <c r="W23" s="69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</row>
    <row r="24" spans="1:42">
      <c r="A24" s="41">
        <v>1</v>
      </c>
      <c r="C24" s="45" t="str">
        <f>"    Net Property, Plant and Equipment"</f>
        <v xml:space="preserve">    Net Property, Plant and Equipment</v>
      </c>
      <c r="D24" s="50">
        <f t="shared" si="8"/>
        <v>8403.1224692939995</v>
      </c>
      <c r="E24" s="50">
        <f t="shared" si="9"/>
        <v>14795.987615653572</v>
      </c>
      <c r="F24" s="50">
        <f t="shared" si="10"/>
        <v>1064.6176632699999</v>
      </c>
      <c r="G24" s="50">
        <f t="shared" si="11"/>
        <v>44383.4362836</v>
      </c>
      <c r="H24" s="50">
        <f t="shared" si="12"/>
        <v>2733.1468138555001</v>
      </c>
      <c r="I24" s="50">
        <f t="shared" si="13"/>
        <v>22127.22163285</v>
      </c>
      <c r="J24" s="50">
        <f t="shared" si="14"/>
        <v>16204.044755172319</v>
      </c>
      <c r="K24" s="49">
        <f t="shared" si="15"/>
        <v>1.0951647957605126</v>
      </c>
      <c r="L24" s="48"/>
      <c r="M24" s="48">
        <v>44383.4362836</v>
      </c>
      <c r="N24" s="48">
        <v>27953.0676442</v>
      </c>
      <c r="O24" s="48">
        <v>16301.375621500001</v>
      </c>
      <c r="P24" s="48">
        <v>8403.1224692939995</v>
      </c>
      <c r="Q24" s="48">
        <v>4180.7016476819999</v>
      </c>
      <c r="R24" s="48">
        <v>1285.5919800290001</v>
      </c>
      <c r="S24" s="48">
        <v>1064.6176632699999</v>
      </c>
      <c r="U24" s="40"/>
      <c r="V24" s="69"/>
      <c r="W24" s="69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</row>
    <row r="25" spans="1:42">
      <c r="A25" s="41">
        <v>1</v>
      </c>
      <c r="C25" s="45" t="str">
        <f>"    Total Non-Current Assets"</f>
        <v xml:space="preserve">    Total Non-Current Assets</v>
      </c>
      <c r="D25" s="50">
        <f t="shared" si="8"/>
        <v>1291695.2642124002</v>
      </c>
      <c r="E25" s="50">
        <f t="shared" si="9"/>
        <v>906281.03944577591</v>
      </c>
      <c r="F25" s="50">
        <f t="shared" si="10"/>
        <v>118374.90410431201</v>
      </c>
      <c r="G25" s="50">
        <f t="shared" si="11"/>
        <v>1539938.0956264001</v>
      </c>
      <c r="H25" s="50">
        <f t="shared" si="12"/>
        <v>346969.74550222198</v>
      </c>
      <c r="I25" s="50">
        <f t="shared" si="13"/>
        <v>1350009.7605864375</v>
      </c>
      <c r="J25" s="50">
        <f t="shared" si="14"/>
        <v>618422.00903255865</v>
      </c>
      <c r="K25" s="49">
        <f t="shared" si="15"/>
        <v>0.68237332804705519</v>
      </c>
      <c r="L25" s="48"/>
      <c r="M25" s="48">
        <v>1291695.2642124002</v>
      </c>
      <c r="N25" s="48">
        <v>1539938.0956264001</v>
      </c>
      <c r="O25" s="48">
        <v>1392347.8184067002</v>
      </c>
      <c r="P25" s="48">
        <v>1307671.7027661749</v>
      </c>
      <c r="Q25" s="48">
        <v>571446.46439603099</v>
      </c>
      <c r="R25" s="48">
        <v>122493.026608413</v>
      </c>
      <c r="S25" s="48">
        <v>118374.90410431201</v>
      </c>
      <c r="U25" s="40"/>
      <c r="V25" s="105" t="s">
        <v>156</v>
      </c>
      <c r="W25" s="105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</row>
    <row r="26" spans="1:42">
      <c r="A26" s="41">
        <v>1</v>
      </c>
      <c r="C26" s="45" t="str">
        <f>"    Total Assets"</f>
        <v xml:space="preserve">    Total Assets</v>
      </c>
      <c r="D26" s="50">
        <f t="shared" si="8"/>
        <v>1519083.5934619049</v>
      </c>
      <c r="E26" s="50">
        <f t="shared" si="9"/>
        <v>1272859.6395766458</v>
      </c>
      <c r="F26" s="50">
        <f t="shared" si="10"/>
        <v>139412.01363181</v>
      </c>
      <c r="G26" s="50">
        <f t="shared" si="11"/>
        <v>2457230.6072467999</v>
      </c>
      <c r="H26" s="50">
        <f t="shared" si="12"/>
        <v>392141.742924853</v>
      </c>
      <c r="I26" s="50">
        <f t="shared" si="13"/>
        <v>2005003.8884231502</v>
      </c>
      <c r="J26" s="50">
        <f t="shared" si="14"/>
        <v>970460.49121849437</v>
      </c>
      <c r="K26" s="49">
        <f t="shared" si="15"/>
        <v>0.76242537750766481</v>
      </c>
      <c r="L26" s="48"/>
      <c r="M26" s="48">
        <v>2293525.5089850002</v>
      </c>
      <c r="N26" s="48">
        <v>2457230.6072467999</v>
      </c>
      <c r="O26" s="48">
        <v>1716482.2678613001</v>
      </c>
      <c r="P26" s="48">
        <v>1519083.5934619049</v>
      </c>
      <c r="Q26" s="48">
        <v>629638.23189113697</v>
      </c>
      <c r="R26" s="48">
        <v>154645.253958569</v>
      </c>
      <c r="S26" s="48">
        <v>139412.01363181</v>
      </c>
      <c r="U26" s="40"/>
      <c r="V26" s="68">
        <v>2013</v>
      </c>
      <c r="W26" s="70">
        <v>55311</v>
      </c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</row>
    <row r="27" spans="1:42">
      <c r="A27" s="41">
        <v>1</v>
      </c>
      <c r="C27" s="45" t="str">
        <f>"    Total Current Liabilities"</f>
        <v xml:space="preserve">    Total Current Liabilities</v>
      </c>
      <c r="D27" s="50">
        <f t="shared" si="8"/>
        <v>197575.055154306</v>
      </c>
      <c r="E27" s="50">
        <f t="shared" si="9"/>
        <v>187623.97902557292</v>
      </c>
      <c r="F27" s="50">
        <f t="shared" si="10"/>
        <v>58482.697677967997</v>
      </c>
      <c r="G27" s="50">
        <f t="shared" si="11"/>
        <v>374513.84121780004</v>
      </c>
      <c r="H27" s="50">
        <f t="shared" si="12"/>
        <v>83326.783574618006</v>
      </c>
      <c r="I27" s="50">
        <f t="shared" si="13"/>
        <v>258071.34598985</v>
      </c>
      <c r="J27" s="50">
        <f t="shared" si="14"/>
        <v>118031.32066347996</v>
      </c>
      <c r="K27" s="49">
        <f t="shared" si="15"/>
        <v>0.62908441275191396</v>
      </c>
      <c r="L27" s="48"/>
      <c r="M27" s="48">
        <v>374513.84121780004</v>
      </c>
      <c r="N27" s="48">
        <v>266573.8897228</v>
      </c>
      <c r="O27" s="48">
        <v>249568.8022569</v>
      </c>
      <c r="P27" s="48">
        <v>197575.055154306</v>
      </c>
      <c r="Q27" s="48">
        <v>77942.481910944</v>
      </c>
      <c r="R27" s="48">
        <v>58482.697677967997</v>
      </c>
      <c r="S27" s="48">
        <v>88711.085238292013</v>
      </c>
      <c r="U27" s="40"/>
      <c r="V27" s="68">
        <v>2014</v>
      </c>
      <c r="W27" s="71">
        <v>116740</v>
      </c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</row>
    <row r="28" spans="1:42">
      <c r="A28" s="41">
        <v>1</v>
      </c>
      <c r="C28" s="45" t="str">
        <f>"    Total Non-Current Liabilities"</f>
        <v xml:space="preserve">    Total Non-Current Liabilities</v>
      </c>
      <c r="D28" s="50">
        <f t="shared" si="8"/>
        <v>126208.70026479999</v>
      </c>
      <c r="E28" s="50">
        <f t="shared" si="9"/>
        <v>212205.18980425739</v>
      </c>
      <c r="F28" s="50">
        <f t="shared" si="10"/>
        <v>7542.2540790419998</v>
      </c>
      <c r="G28" s="50">
        <f t="shared" si="11"/>
        <v>528585.25079780002</v>
      </c>
      <c r="H28" s="50">
        <f t="shared" si="12"/>
        <v>56864.646583836999</v>
      </c>
      <c r="I28" s="50">
        <f t="shared" si="13"/>
        <v>354685.41516024299</v>
      </c>
      <c r="J28" s="50">
        <f t="shared" si="14"/>
        <v>213081.32666208394</v>
      </c>
      <c r="K28" s="49">
        <f t="shared" si="15"/>
        <v>1.0041287249319149</v>
      </c>
      <c r="L28" s="48"/>
      <c r="M28" s="48">
        <v>71493.937312499998</v>
      </c>
      <c r="N28" s="48">
        <v>126208.70026479999</v>
      </c>
      <c r="O28" s="48">
        <v>528585.25079780002</v>
      </c>
      <c r="P28" s="48">
        <v>484594.27532753098</v>
      </c>
      <c r="Q28" s="48">
        <v>224776.554992955</v>
      </c>
      <c r="R28" s="48">
        <v>42235.355855173999</v>
      </c>
      <c r="S28" s="48">
        <v>7542.2540790419998</v>
      </c>
      <c r="U28" s="40"/>
      <c r="V28" s="68">
        <v>2015</v>
      </c>
      <c r="W28" s="71">
        <v>184322</v>
      </c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</row>
    <row r="29" spans="1:42">
      <c r="A29" s="41">
        <v>1</v>
      </c>
      <c r="C29" s="45" t="str">
        <f>"    Total Liabilities"</f>
        <v xml:space="preserve">    Total Liabilities</v>
      </c>
      <c r="D29" s="50">
        <f t="shared" si="8"/>
        <v>392782.58998759999</v>
      </c>
      <c r="E29" s="50">
        <f t="shared" si="9"/>
        <v>399829.16882983031</v>
      </c>
      <c r="F29" s="50">
        <f t="shared" si="10"/>
        <v>96253.339317334001</v>
      </c>
      <c r="G29" s="50">
        <f t="shared" si="11"/>
        <v>778154.05305470002</v>
      </c>
      <c r="H29" s="50">
        <f t="shared" si="12"/>
        <v>201718.54521852051</v>
      </c>
      <c r="I29" s="50">
        <f t="shared" si="13"/>
        <v>564088.55450606858</v>
      </c>
      <c r="J29" s="50">
        <f t="shared" si="14"/>
        <v>263338.79460167885</v>
      </c>
      <c r="K29" s="49">
        <f t="shared" si="15"/>
        <v>0.65862827210027142</v>
      </c>
      <c r="L29" s="48"/>
      <c r="M29" s="48">
        <v>446007.77853030001</v>
      </c>
      <c r="N29" s="48">
        <v>392782.58998759999</v>
      </c>
      <c r="O29" s="48">
        <v>778154.05305470002</v>
      </c>
      <c r="P29" s="48">
        <v>682169.33048183704</v>
      </c>
      <c r="Q29" s="48">
        <v>302719.03690389899</v>
      </c>
      <c r="R29" s="48">
        <v>100718.053533142</v>
      </c>
      <c r="S29" s="48">
        <v>96253.339317334001</v>
      </c>
      <c r="U29" s="40"/>
      <c r="V29" s="68">
        <v>2016</v>
      </c>
      <c r="W29" s="71">
        <v>320672</v>
      </c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</row>
    <row r="30" spans="1:42">
      <c r="A30" s="41">
        <v>1</v>
      </c>
      <c r="C30" s="45" t="str">
        <f>"    Total Equity"</f>
        <v xml:space="preserve">    Total Equity</v>
      </c>
      <c r="D30" s="50">
        <f t="shared" si="8"/>
        <v>836914.26298006799</v>
      </c>
      <c r="E30" s="50">
        <f t="shared" si="9"/>
        <v>873030.47074681579</v>
      </c>
      <c r="F30" s="50">
        <f t="shared" si="10"/>
        <v>43158.674314475997</v>
      </c>
      <c r="G30" s="50">
        <f t="shared" si="11"/>
        <v>2064448.0172591999</v>
      </c>
      <c r="H30" s="50">
        <f t="shared" si="12"/>
        <v>190423.19770633249</v>
      </c>
      <c r="I30" s="50">
        <f t="shared" si="13"/>
        <v>1392922.9726306503</v>
      </c>
      <c r="J30" s="50">
        <f t="shared" si="14"/>
        <v>819809.35352780903</v>
      </c>
      <c r="K30" s="49">
        <f t="shared" si="15"/>
        <v>0.93903864870434606</v>
      </c>
      <c r="L30" s="48"/>
      <c r="M30" s="48">
        <v>1847517.7304547003</v>
      </c>
      <c r="N30" s="48">
        <v>2064448.0172591999</v>
      </c>
      <c r="O30" s="48">
        <v>938328.21480660012</v>
      </c>
      <c r="P30" s="48">
        <v>836914.26298006799</v>
      </c>
      <c r="Q30" s="48">
        <v>326919.19498723798</v>
      </c>
      <c r="R30" s="48">
        <v>53927.200425427</v>
      </c>
      <c r="S30" s="48">
        <v>43158.674314475997</v>
      </c>
      <c r="U30" s="40"/>
      <c r="V30" s="68">
        <v>2017</v>
      </c>
      <c r="W30" s="71">
        <v>511667</v>
      </c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</row>
    <row r="31" spans="1:42">
      <c r="A31" s="41">
        <v>1</v>
      </c>
      <c r="C31" s="45" t="str">
        <f>"    Equity Attributable to Parent Stockholders"</f>
        <v xml:space="preserve">    Equity Attributable to Parent Stockholders</v>
      </c>
      <c r="D31" s="50">
        <f t="shared" si="8"/>
        <v>843986.8363932689</v>
      </c>
      <c r="E31" s="50">
        <f t="shared" si="9"/>
        <v>876006.87989291479</v>
      </c>
      <c r="F31" s="50">
        <f t="shared" si="10"/>
        <v>44777.422165211996</v>
      </c>
      <c r="G31" s="50">
        <f t="shared" si="11"/>
        <v>2062648.4635482</v>
      </c>
      <c r="H31" s="50">
        <f t="shared" si="12"/>
        <v>191031.08956026097</v>
      </c>
      <c r="I31" s="50">
        <f t="shared" si="13"/>
        <v>1399286.6290116003</v>
      </c>
      <c r="J31" s="50">
        <f t="shared" si="14"/>
        <v>819547.08482421294</v>
      </c>
      <c r="K31" s="49">
        <f t="shared" si="15"/>
        <v>0.93554868533041247</v>
      </c>
      <c r="L31" s="48"/>
      <c r="M31" s="48">
        <v>1850148.7073478003</v>
      </c>
      <c r="N31" s="48">
        <v>2062648.4635482</v>
      </c>
      <c r="O31" s="48">
        <v>948424.55067540007</v>
      </c>
      <c r="P31" s="48">
        <v>843986.8363932689</v>
      </c>
      <c r="Q31" s="48">
        <v>327556.39326047397</v>
      </c>
      <c r="R31" s="48">
        <v>54505.785860047996</v>
      </c>
      <c r="S31" s="48">
        <v>44777.422165211996</v>
      </c>
      <c r="U31" s="40"/>
      <c r="V31" s="68">
        <v>2018</v>
      </c>
      <c r="W31" s="71">
        <v>784862</v>
      </c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</row>
    <row r="32" spans="1:42">
      <c r="A32" s="41">
        <v>1</v>
      </c>
      <c r="C32" s="45" t="str">
        <f>"    Total Debt"</f>
        <v xml:space="preserve">    Total Debt</v>
      </c>
      <c r="D32" s="50">
        <f t="shared" si="8"/>
        <v>1011.734662848</v>
      </c>
      <c r="E32" s="50">
        <f t="shared" si="9"/>
        <v>18254.814945618</v>
      </c>
      <c r="F32" s="50">
        <f t="shared" si="10"/>
        <v>0</v>
      </c>
      <c r="G32" s="50">
        <f t="shared" si="11"/>
        <v>123574.9442275</v>
      </c>
      <c r="H32" s="50">
        <f t="shared" si="12"/>
        <v>75.169308338999997</v>
      </c>
      <c r="I32" s="50">
        <f t="shared" si="13"/>
        <v>1523.34355615</v>
      </c>
      <c r="J32" s="50">
        <f t="shared" si="14"/>
        <v>46446.705445066829</v>
      </c>
      <c r="K32" s="49">
        <f t="shared" si="15"/>
        <v>2.5443536723562454</v>
      </c>
      <c r="L32" s="48"/>
      <c r="M32" s="48">
        <v>1487.0738961</v>
      </c>
      <c r="N32" s="48">
        <v>1559.6132161999999</v>
      </c>
      <c r="O32" s="48">
        <v>123574.9442275</v>
      </c>
      <c r="P32" s="48">
        <v>0</v>
      </c>
      <c r="Q32" s="48">
        <v>1011.734662848</v>
      </c>
      <c r="R32" s="48">
        <v>52.473142041999999</v>
      </c>
      <c r="S32" s="48">
        <v>97.865474636000002</v>
      </c>
      <c r="U32" s="40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</row>
    <row r="33" spans="1:42">
      <c r="A33" s="41">
        <v>1</v>
      </c>
      <c r="C33" s="45" t="str">
        <f>"    Total Shares Outstanding (TSO)"</f>
        <v xml:space="preserve">    Total Shares Outstanding (TSO)</v>
      </c>
      <c r="D33" s="50">
        <f t="shared" si="8"/>
        <v>184165432</v>
      </c>
      <c r="E33" s="50">
        <f t="shared" si="9"/>
        <v>184165432</v>
      </c>
      <c r="F33" s="50">
        <f t="shared" si="10"/>
        <v>182478600</v>
      </c>
      <c r="G33" s="50">
        <f t="shared" si="11"/>
        <v>185852264</v>
      </c>
      <c r="H33" s="50">
        <f t="shared" si="12"/>
        <v>183322016</v>
      </c>
      <c r="I33" s="50">
        <f t="shared" si="13"/>
        <v>185008848</v>
      </c>
      <c r="J33" s="50">
        <f t="shared" si="14"/>
        <v>2385540.6918449327</v>
      </c>
      <c r="K33" s="49">
        <f t="shared" si="15"/>
        <v>1.295324896718366E-2</v>
      </c>
      <c r="L33" s="48"/>
      <c r="M33" s="48">
        <v>185852264</v>
      </c>
      <c r="N33" s="48">
        <v>182478600</v>
      </c>
      <c r="O33" s="48" t="s">
        <v>130</v>
      </c>
      <c r="P33" s="48" t="s">
        <v>130</v>
      </c>
      <c r="Q33" s="48" t="s">
        <v>130</v>
      </c>
      <c r="R33" s="48" t="s">
        <v>130</v>
      </c>
      <c r="S33" s="48" t="s">
        <v>130</v>
      </c>
      <c r="U33" s="40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</row>
    <row r="34" spans="1:42">
      <c r="A34" s="41">
        <v>1</v>
      </c>
      <c r="C34" s="45" t="str">
        <f>"    Working Capital"</f>
        <v xml:space="preserve">    Working Capital</v>
      </c>
      <c r="D34" s="50">
        <f t="shared" si="8"/>
        <v>13836.835541424007</v>
      </c>
      <c r="E34" s="50">
        <f t="shared" si="9"/>
        <v>178954.79482347419</v>
      </c>
      <c r="F34" s="50">
        <f t="shared" si="10"/>
        <v>-67673.975710793995</v>
      </c>
      <c r="G34" s="50">
        <f t="shared" si="11"/>
        <v>650718.62189759989</v>
      </c>
      <c r="H34" s="50">
        <f t="shared" si="12"/>
        <v>-23039.984358205496</v>
      </c>
      <c r="I34" s="50">
        <f t="shared" si="13"/>
        <v>350941.02537625004</v>
      </c>
      <c r="J34" s="50">
        <f t="shared" si="14"/>
        <v>317333.01698784844</v>
      </c>
      <c r="K34" s="49">
        <f t="shared" si="15"/>
        <v>1.7732579744559192</v>
      </c>
      <c r="L34" s="48"/>
      <c r="M34" s="48">
        <v>627316.40355480008</v>
      </c>
      <c r="N34" s="48">
        <v>650718.62189759989</v>
      </c>
      <c r="O34" s="48">
        <v>74565.647197700018</v>
      </c>
      <c r="P34" s="48">
        <v>13836.835541424007</v>
      </c>
      <c r="Q34" s="48">
        <v>-19749.498388599</v>
      </c>
      <c r="R34" s="48">
        <v>-26330.470327811996</v>
      </c>
      <c r="S34" s="48">
        <v>-67673.975710793995</v>
      </c>
      <c r="U34" s="40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</row>
    <row r="35" spans="1:42">
      <c r="A35" s="41">
        <v>1</v>
      </c>
      <c r="C35" s="47" t="str">
        <f>"Cash Flow"</f>
        <v>Cash Flow</v>
      </c>
      <c r="D35" s="46"/>
      <c r="E35" s="46"/>
      <c r="F35" s="46"/>
      <c r="G35" s="46"/>
      <c r="H35" s="46"/>
      <c r="I35" s="46"/>
      <c r="J35" s="46"/>
      <c r="K35" s="46"/>
      <c r="L35" s="46"/>
      <c r="M35" s="46" t="s">
        <v>130</v>
      </c>
      <c r="N35" s="46" t="s">
        <v>130</v>
      </c>
      <c r="O35" s="46" t="s">
        <v>130</v>
      </c>
      <c r="P35" s="46" t="s">
        <v>130</v>
      </c>
      <c r="Q35" s="46" t="s">
        <v>130</v>
      </c>
      <c r="R35" s="46" t="s">
        <v>130</v>
      </c>
      <c r="S35" s="46" t="s">
        <v>130</v>
      </c>
      <c r="U35" s="40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</row>
    <row r="36" spans="1:42">
      <c r="A36" s="41">
        <v>1</v>
      </c>
      <c r="C36" s="45" t="str">
        <f>"    Cash Flow from Operating Activities, Indirect"</f>
        <v xml:space="preserve">    Cash Flow from Operating Activities, Indirect</v>
      </c>
      <c r="D36" s="50">
        <f t="shared" ref="D36:D43" si="16">IF(COUNT(M36:S36)&gt;0,MEDIAN(M36:S36),"")</f>
        <v>-134555.97533341101</v>
      </c>
      <c r="E36" s="50">
        <f t="shared" ref="E36:E43" si="17">IF(COUNT(M36:S36)&gt;0,AVERAGE(M36:S36),"")</f>
        <v>-133741.13266827833</v>
      </c>
      <c r="F36" s="50">
        <f t="shared" ref="F36:F43" si="18">IF(COUNT(M36:S36)&gt;0,MIN(M36:S36),"")</f>
        <v>-237507.18958979999</v>
      </c>
      <c r="G36" s="50">
        <f t="shared" ref="G36:G43" si="19">IF(COUNT(M36:S36)&gt;0,MAX(M36:S36),"")</f>
        <v>-29273.149694249998</v>
      </c>
      <c r="H36" s="50">
        <f t="shared" ref="H36:H43" si="20">IF(COUNT(M36:S36)&gt;0,QUARTILE(M36:S36,1),"")</f>
        <v>-186409.67696670548</v>
      </c>
      <c r="I36" s="50">
        <f t="shared" ref="I36:I43" si="21">IF(COUNT(M36:S36)&gt;0,QUARTILE(M36:S36,3),"")</f>
        <v>-80784.1902440985</v>
      </c>
      <c r="J36" s="50">
        <f t="shared" ref="J36:J43" si="22">IF(COUNT(M36:S36)&gt;1,STDEV(M36:S36),"")</f>
        <v>78389.56458177371</v>
      </c>
      <c r="K36" s="49">
        <f t="shared" ref="K36:K43" si="23">IF(COUNT(M36:S36)&gt;1,STDEV(M36:S36)/AVERAGE(M36:S36),"")</f>
        <v>-0.5861290615521062</v>
      </c>
      <c r="L36" s="48"/>
      <c r="M36" s="48">
        <v>-194238.91627199997</v>
      </c>
      <c r="N36" s="48">
        <v>-237507.18958979999</v>
      </c>
      <c r="O36" s="48">
        <v>-106189.991616</v>
      </c>
      <c r="P36" s="48">
        <v>-162921.95905082201</v>
      </c>
      <c r="Q36" s="48">
        <v>-72315.589786797995</v>
      </c>
      <c r="R36" s="48">
        <v>-29273.149694249998</v>
      </c>
      <c r="S36" s="48" t="s">
        <v>130</v>
      </c>
      <c r="U36" s="40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</row>
    <row r="37" spans="1:42">
      <c r="A37" s="41">
        <v>1</v>
      </c>
      <c r="C37" s="45" t="str">
        <f>"    Cash Flow from Investing Activities"</f>
        <v xml:space="preserve">    Cash Flow from Investing Activities</v>
      </c>
      <c r="D37" s="50">
        <f t="shared" si="16"/>
        <v>-88146.390674750015</v>
      </c>
      <c r="E37" s="50">
        <f t="shared" si="17"/>
        <v>-123968.72914103384</v>
      </c>
      <c r="F37" s="50">
        <f t="shared" si="18"/>
        <v>-401435.22253011802</v>
      </c>
      <c r="G37" s="50">
        <f t="shared" si="19"/>
        <v>123667.09440279999</v>
      </c>
      <c r="H37" s="50">
        <f t="shared" si="20"/>
        <v>-247337.13228224125</v>
      </c>
      <c r="I37" s="50">
        <f t="shared" si="21"/>
        <v>-14049.662082172501</v>
      </c>
      <c r="J37" s="50">
        <f t="shared" si="22"/>
        <v>192510.75086646946</v>
      </c>
      <c r="K37" s="49">
        <f t="shared" si="23"/>
        <v>-1.552897671859315</v>
      </c>
      <c r="L37" s="48"/>
      <c r="M37" s="48">
        <v>-43780.460471999999</v>
      </c>
      <c r="N37" s="48">
        <v>-132512.32087750002</v>
      </c>
      <c r="O37" s="48">
        <v>123667.09440279999</v>
      </c>
      <c r="P37" s="48">
        <v>-285612.069417155</v>
      </c>
      <c r="Q37" s="48">
        <v>-401435.22253011802</v>
      </c>
      <c r="R37" s="48">
        <v>-4139.3959522300001</v>
      </c>
      <c r="S37" s="48" t="s">
        <v>130</v>
      </c>
      <c r="U37" s="40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</row>
    <row r="38" spans="1:42">
      <c r="A38" s="41">
        <v>1</v>
      </c>
      <c r="C38" s="45" t="str">
        <f>"    Cash Flow from Financing Activities"</f>
        <v xml:space="preserve">    Cash Flow from Financing Activities</v>
      </c>
      <c r="D38" s="50">
        <f t="shared" si="16"/>
        <v>284764.66946879099</v>
      </c>
      <c r="E38" s="50">
        <f t="shared" si="17"/>
        <v>341925.15175142069</v>
      </c>
      <c r="F38" s="50">
        <f t="shared" si="18"/>
        <v>12508.702991999999</v>
      </c>
      <c r="G38" s="50">
        <f t="shared" si="19"/>
        <v>844470.0074304</v>
      </c>
      <c r="H38" s="50">
        <f t="shared" si="20"/>
        <v>41225.068092280002</v>
      </c>
      <c r="I38" s="50">
        <f t="shared" si="21"/>
        <v>569939.41250352212</v>
      </c>
      <c r="J38" s="50">
        <f t="shared" si="22"/>
        <v>352719.74012264342</v>
      </c>
      <c r="K38" s="49">
        <f t="shared" si="23"/>
        <v>1.0315700331371656</v>
      </c>
      <c r="L38" s="48"/>
      <c r="M38" s="48">
        <v>12508.702991999999</v>
      </c>
      <c r="N38" s="48">
        <v>844470.0074304</v>
      </c>
      <c r="O38" s="48">
        <v>64598.911566399998</v>
      </c>
      <c r="P38" s="48">
        <v>591609.07421430212</v>
      </c>
      <c r="Q38" s="48">
        <v>504930.42737118201</v>
      </c>
      <c r="R38" s="48">
        <v>33433.786934240001</v>
      </c>
      <c r="S38" s="48" t="s">
        <v>130</v>
      </c>
      <c r="U38" s="40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</row>
    <row r="39" spans="1:42">
      <c r="A39" s="41">
        <v>1</v>
      </c>
      <c r="C39" s="45" t="str">
        <f>"    Change in Cash"</f>
        <v xml:space="preserve">    Change in Cash</v>
      </c>
      <c r="D39" s="50">
        <f t="shared" si="16"/>
        <v>56627.814703732998</v>
      </c>
      <c r="E39" s="50">
        <f t="shared" si="17"/>
        <v>84215.289942108517</v>
      </c>
      <c r="F39" s="50">
        <f t="shared" si="18"/>
        <v>-225510.67375199997</v>
      </c>
      <c r="G39" s="50">
        <f t="shared" si="19"/>
        <v>474450.49696310004</v>
      </c>
      <c r="H39" s="50">
        <f t="shared" si="20"/>
        <v>7810.8347293865008</v>
      </c>
      <c r="I39" s="50">
        <f t="shared" si="21"/>
        <v>127825.28789804377</v>
      </c>
      <c r="J39" s="50">
        <f t="shared" si="22"/>
        <v>228728.72901232034</v>
      </c>
      <c r="K39" s="49">
        <f t="shared" si="23"/>
        <v>2.7160000181624215</v>
      </c>
      <c r="L39" s="48"/>
      <c r="M39" s="48">
        <v>-225510.67375199997</v>
      </c>
      <c r="N39" s="48">
        <v>474450.49696310004</v>
      </c>
      <c r="O39" s="48">
        <v>82076.014353199993</v>
      </c>
      <c r="P39" s="48">
        <v>143075.04574632502</v>
      </c>
      <c r="Q39" s="48">
        <v>31179.615054266003</v>
      </c>
      <c r="R39" s="48">
        <v>21.241287759999999</v>
      </c>
      <c r="S39" s="48" t="s">
        <v>130</v>
      </c>
      <c r="U39" s="40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</row>
    <row r="40" spans="1:42">
      <c r="A40" s="41">
        <v>1</v>
      </c>
      <c r="C40" s="45" t="str">
        <f>"    Capital Expenditure (Calc)"</f>
        <v xml:space="preserve">    Capital Expenditure (Calc)</v>
      </c>
      <c r="D40" s="50">
        <f t="shared" si="16"/>
        <v>15330.735254584</v>
      </c>
      <c r="E40" s="50">
        <f t="shared" si="17"/>
        <v>21027.270404302999</v>
      </c>
      <c r="F40" s="50">
        <f t="shared" si="18"/>
        <v>1339.5287093649999</v>
      </c>
      <c r="G40" s="50">
        <f t="shared" si="19"/>
        <v>58177.269575999992</v>
      </c>
      <c r="H40" s="50">
        <f t="shared" si="20"/>
        <v>9999.9399737807507</v>
      </c>
      <c r="I40" s="50">
        <f t="shared" si="21"/>
        <v>24654.442876975001</v>
      </c>
      <c r="J40" s="50">
        <f t="shared" si="22"/>
        <v>20167.436274661424</v>
      </c>
      <c r="K40" s="49">
        <f t="shared" si="23"/>
        <v>0.95910861880267539</v>
      </c>
      <c r="L40" s="48"/>
      <c r="M40" s="48">
        <v>58177.269575999992</v>
      </c>
      <c r="N40" s="48">
        <v>26051.3584023</v>
      </c>
      <c r="O40" s="48">
        <v>20463.696301</v>
      </c>
      <c r="P40" s="48">
        <v>9933.9952289850007</v>
      </c>
      <c r="Q40" s="48">
        <v>10197.774208168001</v>
      </c>
      <c r="R40" s="48">
        <v>1339.5287093649999</v>
      </c>
      <c r="S40" s="48" t="s">
        <v>130</v>
      </c>
      <c r="U40" s="40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</row>
    <row r="41" spans="1:42">
      <c r="A41" s="41">
        <v>1</v>
      </c>
      <c r="C41" s="45" t="str">
        <f>"    Issuance of/(Payments for) Common Stock, Net"</f>
        <v xml:space="preserve">    Issuance of/(Payments for) Common Stock, Net</v>
      </c>
      <c r="D41" s="50">
        <f t="shared" si="16"/>
        <v>214648.13134641451</v>
      </c>
      <c r="E41" s="50">
        <f t="shared" si="17"/>
        <v>370820.6949160464</v>
      </c>
      <c r="F41" s="50">
        <f t="shared" si="18"/>
        <v>442.45829839999999</v>
      </c>
      <c r="G41" s="50">
        <f t="shared" si="19"/>
        <v>1272569.3861972</v>
      </c>
      <c r="H41" s="50">
        <f t="shared" si="20"/>
        <v>17323.550748764999</v>
      </c>
      <c r="I41" s="50">
        <f t="shared" si="21"/>
        <v>481962.56165532902</v>
      </c>
      <c r="J41" s="50">
        <f t="shared" si="22"/>
        <v>493117.63335466356</v>
      </c>
      <c r="K41" s="49">
        <f t="shared" si="23"/>
        <v>1.3298007368933524</v>
      </c>
      <c r="L41" s="48"/>
      <c r="M41" s="48">
        <v>14160.795839999999</v>
      </c>
      <c r="N41" s="48">
        <v>1272569.3861972</v>
      </c>
      <c r="O41" s="48">
        <v>442.45829839999999</v>
      </c>
      <c r="P41" s="48">
        <v>508455.26646784903</v>
      </c>
      <c r="Q41" s="48">
        <v>402484.44721776905</v>
      </c>
      <c r="R41" s="48">
        <v>26811.815475059997</v>
      </c>
      <c r="S41" s="48" t="s">
        <v>130</v>
      </c>
      <c r="U41" s="40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</row>
    <row r="42" spans="1:42">
      <c r="A42" s="41">
        <v>1</v>
      </c>
      <c r="C42" s="45" t="str">
        <f>"    Cash and Cash Equivalents, Beginning of Period"</f>
        <v xml:space="preserve">    Cash and Cash Equivalents, Beginning of Period</v>
      </c>
      <c r="D42" s="50">
        <f t="shared" si="16"/>
        <v>102187.31512612052</v>
      </c>
      <c r="E42" s="50">
        <f t="shared" si="17"/>
        <v>206477.8434949127</v>
      </c>
      <c r="F42" s="50">
        <f t="shared" si="18"/>
        <v>11292.028941353999</v>
      </c>
      <c r="G42" s="50">
        <f t="shared" si="19"/>
        <v>733127.43077730003</v>
      </c>
      <c r="H42" s="50">
        <f t="shared" si="20"/>
        <v>18769.258674395998</v>
      </c>
      <c r="I42" s="50">
        <f t="shared" si="21"/>
        <v>249879.12713760001</v>
      </c>
      <c r="J42" s="50">
        <f t="shared" si="22"/>
        <v>278706.02232423751</v>
      </c>
      <c r="K42" s="49">
        <f t="shared" si="23"/>
        <v>1.3498107961937544</v>
      </c>
      <c r="L42" s="48"/>
      <c r="M42" s="48">
        <v>733127.43077730003</v>
      </c>
      <c r="N42" s="48">
        <v>277011.30124659999</v>
      </c>
      <c r="O42" s="48">
        <v>168482.60481060002</v>
      </c>
      <c r="P42" s="48">
        <v>35892.025441640995</v>
      </c>
      <c r="Q42" s="48">
        <v>11292.028941353999</v>
      </c>
      <c r="R42" s="48">
        <v>13061.669751980999</v>
      </c>
      <c r="S42" s="48" t="s">
        <v>130</v>
      </c>
      <c r="U42" s="40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</row>
    <row r="43" spans="1:42">
      <c r="A43" s="41">
        <v>1</v>
      </c>
      <c r="C43" s="45" t="str">
        <f>"    Cash and Cash Equivalents, End of Period"</f>
        <v xml:space="preserve">    Cash and Cash Equivalents, End of Period</v>
      </c>
      <c r="D43" s="50">
        <f t="shared" si="16"/>
        <v>208965.147841025</v>
      </c>
      <c r="E43" s="50">
        <f t="shared" si="17"/>
        <v>290441.98107447586</v>
      </c>
      <c r="F43" s="50">
        <f t="shared" si="18"/>
        <v>12822.778868473999</v>
      </c>
      <c r="G43" s="50">
        <f t="shared" si="19"/>
        <v>768889.31558659999</v>
      </c>
      <c r="H43" s="50">
        <f t="shared" si="20"/>
        <v>73713.814672935754</v>
      </c>
      <c r="I43" s="50">
        <f t="shared" si="21"/>
        <v>438025.88147987501</v>
      </c>
      <c r="J43" s="50">
        <f t="shared" si="22"/>
        <v>293099.05881686596</v>
      </c>
      <c r="K43" s="49">
        <f t="shared" si="23"/>
        <v>1.009148394225106</v>
      </c>
      <c r="L43" s="48"/>
      <c r="M43" s="48">
        <v>503088.53808060003</v>
      </c>
      <c r="N43" s="48">
        <v>768889.31558659999</v>
      </c>
      <c r="O43" s="48">
        <v>242837.9116777</v>
      </c>
      <c r="P43" s="48">
        <v>175092.38400434999</v>
      </c>
      <c r="Q43" s="48">
        <v>39920.958229131</v>
      </c>
      <c r="R43" s="48">
        <v>12822.778868473999</v>
      </c>
      <c r="S43" s="48" t="s">
        <v>130</v>
      </c>
      <c r="U43" s="40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</row>
    <row r="44" spans="1:42">
      <c r="A44" s="41">
        <v>1</v>
      </c>
      <c r="C44" s="47" t="str">
        <f>"Ratios"</f>
        <v>Ratios</v>
      </c>
      <c r="D44" s="46"/>
      <c r="E44" s="46"/>
      <c r="F44" s="46"/>
      <c r="G44" s="46"/>
      <c r="H44" s="46"/>
      <c r="I44" s="46"/>
      <c r="J44" s="46"/>
      <c r="K44" s="46"/>
      <c r="L44" s="46"/>
      <c r="M44" s="46" t="s">
        <v>130</v>
      </c>
      <c r="N44" s="46" t="s">
        <v>130</v>
      </c>
      <c r="O44" s="46" t="s">
        <v>130</v>
      </c>
      <c r="P44" s="46" t="s">
        <v>130</v>
      </c>
      <c r="Q44" s="46" t="s">
        <v>130</v>
      </c>
      <c r="R44" s="46" t="s">
        <v>130</v>
      </c>
      <c r="S44" s="46" t="s">
        <v>130</v>
      </c>
      <c r="U44" s="40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</row>
    <row r="45" spans="1:42">
      <c r="A45" s="41">
        <v>1</v>
      </c>
      <c r="C45" s="45" t="str">
        <f>"    EBITDA Margin"</f>
        <v xml:space="preserve">    EBITDA Margin</v>
      </c>
      <c r="D45" s="52">
        <f t="shared" ref="D45:D54" si="24">IF(COUNT(M45:S45)&gt;0,MEDIAN(M45:S45),"")</f>
        <v>-0.63828286847364668</v>
      </c>
      <c r="E45" s="52">
        <f t="shared" ref="E45:E54" si="25">IF(COUNT(M45:S45)&gt;0,AVERAGE(M45:S45),"")</f>
        <v>-0.6644378402030825</v>
      </c>
      <c r="F45" s="52">
        <f t="shared" ref="F45:F54" si="26">IF(COUNT(M45:S45)&gt;0,MIN(M45:S45),"")</f>
        <v>-1.1505744566885534</v>
      </c>
      <c r="G45" s="52">
        <f t="shared" ref="G45:G54" si="27">IF(COUNT(M45:S45)&gt;0,MAX(M45:S45),"")</f>
        <v>-0.30626973387460538</v>
      </c>
      <c r="H45" s="52">
        <f t="shared" ref="H45:H54" si="28">IF(COUNT(M45:S45)&gt;0,QUARTILE(M45:S45,1),"")</f>
        <v>-0.82018591159184417</v>
      </c>
      <c r="I45" s="52">
        <f t="shared" ref="I45:I54" si="29">IF(COUNT(M45:S45)&gt;0,QUARTILE(M45:S45,3),"")</f>
        <v>-0.43886835792601137</v>
      </c>
      <c r="J45" s="52">
        <f t="shared" ref="J45:J54" si="30">IF(COUNT(M45:S45)&gt;1,STDEV(M45:S45),"")</f>
        <v>0.31152654821128289</v>
      </c>
      <c r="K45" s="49">
        <f t="shared" ref="K45:K54" si="31">IF(COUNT(M45:S45)&gt;1,STDEV(M45:S45)/AVERAGE(M45:S45),"")</f>
        <v>-0.46885732473645114</v>
      </c>
      <c r="L45" s="51"/>
      <c r="M45" s="51">
        <v>-0.30626973387460538</v>
      </c>
      <c r="N45" s="51">
        <v>-0.55609433546396281</v>
      </c>
      <c r="O45" s="51">
        <v>-0.39979303208002753</v>
      </c>
      <c r="P45" s="51">
        <v>-1.1505744566885534</v>
      </c>
      <c r="Q45" s="51">
        <v>-0.85342408162801542</v>
      </c>
      <c r="R45" s="51">
        <v>-0.72047140148333055</v>
      </c>
      <c r="S45" s="51" t="s">
        <v>130</v>
      </c>
      <c r="U45" s="40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</row>
    <row r="46" spans="1:42">
      <c r="A46" s="41">
        <v>1</v>
      </c>
      <c r="C46" s="45" t="str">
        <f>"    Revenue % Growth"</f>
        <v xml:space="preserve">    Revenue % Growth</v>
      </c>
      <c r="D46" s="52">
        <f t="shared" si="24"/>
        <v>0.74473540085581713</v>
      </c>
      <c r="E46" s="52">
        <f t="shared" si="25"/>
        <v>0.75521220310772263</v>
      </c>
      <c r="F46" s="52">
        <f t="shared" si="26"/>
        <v>0.46594666078906766</v>
      </c>
      <c r="G46" s="52">
        <f t="shared" si="27"/>
        <v>1.1124018913664404</v>
      </c>
      <c r="H46" s="52">
        <f t="shared" si="28"/>
        <v>0.56502242152466375</v>
      </c>
      <c r="I46" s="52">
        <f t="shared" si="29"/>
        <v>0.88795464100262467</v>
      </c>
      <c r="J46" s="52">
        <f t="shared" si="30"/>
        <v>0.25746917222921323</v>
      </c>
      <c r="K46" s="49">
        <f t="shared" si="31"/>
        <v>0.3409229500923307</v>
      </c>
      <c r="L46" s="51"/>
      <c r="M46" s="51">
        <v>0.46594666078906766</v>
      </c>
      <c r="N46" s="51">
        <v>0.56502242152466375</v>
      </c>
      <c r="O46" s="51">
        <v>0.74473540085581713</v>
      </c>
      <c r="P46" s="51">
        <v>0.88795464100262467</v>
      </c>
      <c r="Q46" s="51">
        <v>1.1124018913664404</v>
      </c>
      <c r="R46" s="51" t="s">
        <v>130</v>
      </c>
      <c r="S46" s="51" t="s">
        <v>130</v>
      </c>
      <c r="U46" s="40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</row>
    <row r="47" spans="1:42">
      <c r="A47" s="41">
        <v>1</v>
      </c>
      <c r="C47" s="45" t="str">
        <f>"    Current Ratio"</f>
        <v xml:space="preserve">    Current Ratio</v>
      </c>
      <c r="D47" s="67">
        <f t="shared" si="24"/>
        <v>1.070033312305632</v>
      </c>
      <c r="E47" s="67">
        <f t="shared" si="25"/>
        <v>1.4312000318995359</v>
      </c>
      <c r="F47" s="67">
        <f t="shared" si="26"/>
        <v>0.23714183487879778</v>
      </c>
      <c r="G47" s="67">
        <f t="shared" si="27"/>
        <v>3.441044104410441</v>
      </c>
      <c r="H47" s="67">
        <f t="shared" si="28"/>
        <v>0.64819389080810219</v>
      </c>
      <c r="I47" s="67">
        <f t="shared" si="29"/>
        <v>1.986896595042837</v>
      </c>
      <c r="J47" s="67">
        <f t="shared" si="30"/>
        <v>1.1836294457117327</v>
      </c>
      <c r="K47" s="49">
        <f t="shared" si="31"/>
        <v>0.82701887879416869</v>
      </c>
      <c r="L47" s="66"/>
      <c r="M47" s="66">
        <v>2.6750152718387294</v>
      </c>
      <c r="N47" s="66">
        <v>3.441044104410441</v>
      </c>
      <c r="O47" s="66">
        <v>1.2987779182469448</v>
      </c>
      <c r="P47" s="66">
        <v>1.070033312305632</v>
      </c>
      <c r="Q47" s="66">
        <v>0.74661445332001997</v>
      </c>
      <c r="R47" s="66">
        <v>0.54977332829618442</v>
      </c>
      <c r="S47" s="66">
        <v>0.23714183487879778</v>
      </c>
      <c r="U47" s="40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</row>
    <row r="48" spans="1:42">
      <c r="A48" s="41">
        <v>1</v>
      </c>
      <c r="C48" s="45" t="str">
        <f>"    Quick Ratio"</f>
        <v xml:space="preserve">    Quick Ratio</v>
      </c>
      <c r="D48" s="67">
        <f t="shared" si="24"/>
        <v>1.0166174175769449</v>
      </c>
      <c r="E48" s="67">
        <f t="shared" si="25"/>
        <v>1.181949823966282</v>
      </c>
      <c r="F48" s="67">
        <f t="shared" si="26"/>
        <v>0.21819374459584362</v>
      </c>
      <c r="G48" s="67">
        <f t="shared" si="27"/>
        <v>3.225022502250225</v>
      </c>
      <c r="H48" s="67">
        <f t="shared" si="28"/>
        <v>0.62714484245015178</v>
      </c>
      <c r="I48" s="67">
        <f t="shared" si="29"/>
        <v>1.2797627092203292</v>
      </c>
      <c r="J48" s="67">
        <f t="shared" si="30"/>
        <v>0.98370566198353593</v>
      </c>
      <c r="K48" s="49">
        <f t="shared" si="31"/>
        <v>0.83227362281970996</v>
      </c>
      <c r="L48" s="66"/>
      <c r="M48" s="66">
        <v>1.378741600488699</v>
      </c>
      <c r="N48" s="66">
        <v>3.225022502250225</v>
      </c>
      <c r="O48" s="66">
        <v>1.1807838179519594</v>
      </c>
      <c r="P48" s="66">
        <v>1.0166174175769449</v>
      </c>
      <c r="Q48" s="66">
        <v>0.73060721417873187</v>
      </c>
      <c r="R48" s="66">
        <v>0.52368247072157159</v>
      </c>
      <c r="S48" s="66">
        <v>0.21819374459584362</v>
      </c>
      <c r="U48" s="40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</row>
    <row r="49" spans="1:42">
      <c r="A49" s="41">
        <v>1</v>
      </c>
      <c r="C49" s="45" t="str">
        <f>"    Debt to Equity"</f>
        <v xml:space="preserve">    Debt to Equity</v>
      </c>
      <c r="D49" s="67">
        <f t="shared" si="24"/>
        <v>0</v>
      </c>
      <c r="E49" s="67">
        <f t="shared" si="25"/>
        <v>4.7209145931405516E-2</v>
      </c>
      <c r="F49" s="67">
        <f t="shared" si="26"/>
        <v>0</v>
      </c>
      <c r="G49" s="67">
        <f t="shared" si="27"/>
        <v>0.1304640215198386</v>
      </c>
      <c r="H49" s="67">
        <f t="shared" si="28"/>
        <v>0</v>
      </c>
      <c r="I49" s="67">
        <f t="shared" si="29"/>
        <v>0.1</v>
      </c>
      <c r="J49" s="67">
        <f t="shared" si="30"/>
        <v>5.9749388691600458E-2</v>
      </c>
      <c r="K49" s="49">
        <f t="shared" si="31"/>
        <v>1.2656316379545567</v>
      </c>
      <c r="L49" s="66"/>
      <c r="M49" s="66">
        <v>0</v>
      </c>
      <c r="N49" s="66">
        <v>0</v>
      </c>
      <c r="O49" s="66">
        <v>0.1304640215198386</v>
      </c>
      <c r="P49" s="66">
        <v>0</v>
      </c>
      <c r="Q49" s="66">
        <v>0</v>
      </c>
      <c r="R49" s="66">
        <v>0.1</v>
      </c>
      <c r="S49" s="66">
        <v>0.1</v>
      </c>
      <c r="U49" s="40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</row>
    <row r="50" spans="1:42">
      <c r="A50" s="41">
        <v>1</v>
      </c>
      <c r="C50" s="45" t="str">
        <f>"    Total Debt to Equity"</f>
        <v xml:space="preserve">    Total Debt to Equity</v>
      </c>
      <c r="D50" s="67">
        <f t="shared" si="24"/>
        <v>0.1</v>
      </c>
      <c r="E50" s="67">
        <f t="shared" si="25"/>
        <v>9.0242418419957074E-2</v>
      </c>
      <c r="F50" s="67">
        <f t="shared" si="26"/>
        <v>0</v>
      </c>
      <c r="G50" s="67">
        <f t="shared" si="27"/>
        <v>0.13169692893969961</v>
      </c>
      <c r="H50" s="67">
        <f t="shared" si="28"/>
        <v>0.1</v>
      </c>
      <c r="I50" s="67">
        <f t="shared" si="29"/>
        <v>0.1</v>
      </c>
      <c r="J50" s="67">
        <f t="shared" si="30"/>
        <v>4.1509481880991239E-2</v>
      </c>
      <c r="K50" s="49">
        <f t="shared" si="31"/>
        <v>0.45997749847328379</v>
      </c>
      <c r="L50" s="66"/>
      <c r="M50" s="66">
        <v>0.1</v>
      </c>
      <c r="N50" s="66">
        <v>0.1</v>
      </c>
      <c r="O50" s="66">
        <v>0.13169692893969961</v>
      </c>
      <c r="P50" s="66">
        <v>0</v>
      </c>
      <c r="Q50" s="66">
        <v>0.1</v>
      </c>
      <c r="R50" s="66">
        <v>0.1</v>
      </c>
      <c r="S50" s="66">
        <v>0.1</v>
      </c>
      <c r="U50" s="40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</row>
    <row r="51" spans="1:42">
      <c r="A51" s="41">
        <v>1</v>
      </c>
      <c r="C51" s="45" t="str">
        <f>"    Total Asset Turnover"</f>
        <v xml:space="preserve">    Total Asset Turnover</v>
      </c>
      <c r="D51" s="67">
        <f t="shared" si="24"/>
        <v>0.27119463514152936</v>
      </c>
      <c r="E51" s="67">
        <f t="shared" si="25"/>
        <v>0.26894772553060364</v>
      </c>
      <c r="F51" s="67">
        <f t="shared" si="26"/>
        <v>0.1715642514487275</v>
      </c>
      <c r="G51" s="67">
        <f t="shared" si="27"/>
        <v>0.37619193159070669</v>
      </c>
      <c r="H51" s="67">
        <f t="shared" si="28"/>
        <v>0.20983535026202735</v>
      </c>
      <c r="I51" s="67">
        <f t="shared" si="29"/>
        <v>0.31841764220458396</v>
      </c>
      <c r="J51" s="67">
        <f t="shared" si="30"/>
        <v>7.8206135968506424E-2</v>
      </c>
      <c r="K51" s="49">
        <f t="shared" si="31"/>
        <v>0.29078563804253971</v>
      </c>
      <c r="L51" s="66"/>
      <c r="M51" s="66">
        <v>0.32532416405080644</v>
      </c>
      <c r="N51" s="66">
        <v>0.24469119361714223</v>
      </c>
      <c r="O51" s="66">
        <v>0.1982167358103224</v>
      </c>
      <c r="P51" s="66">
        <v>0.1715642514487275</v>
      </c>
      <c r="Q51" s="66">
        <v>0.29769807666591652</v>
      </c>
      <c r="R51" s="66">
        <v>0.37619193159070669</v>
      </c>
      <c r="S51" s="66" t="s">
        <v>130</v>
      </c>
      <c r="U51" s="40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</row>
    <row r="52" spans="1:42">
      <c r="A52" s="41">
        <v>1</v>
      </c>
      <c r="C52" s="45" t="str">
        <f>"    Normalized Return on Equity"</f>
        <v xml:space="preserve">    Normalized Return on Equity</v>
      </c>
      <c r="D52" s="52">
        <f t="shared" si="24"/>
        <v>-0.21966895330386005</v>
      </c>
      <c r="E52" s="52">
        <f t="shared" si="25"/>
        <v>-0.33022532820954509</v>
      </c>
      <c r="F52" s="52">
        <f t="shared" si="26"/>
        <v>-0.81302857316407995</v>
      </c>
      <c r="G52" s="52">
        <f t="shared" si="27"/>
        <v>-9.5995090415020315E-2</v>
      </c>
      <c r="H52" s="52">
        <f t="shared" si="28"/>
        <v>-0.45575731010712045</v>
      </c>
      <c r="I52" s="52">
        <f t="shared" si="29"/>
        <v>-0.1288199658476471</v>
      </c>
      <c r="J52" s="52">
        <f t="shared" si="30"/>
        <v>0.28243109110772302</v>
      </c>
      <c r="K52" s="49">
        <f t="shared" si="31"/>
        <v>-0.85526780346935061</v>
      </c>
      <c r="L52" s="51"/>
      <c r="M52" s="51">
        <v>-0.11513207237063891</v>
      </c>
      <c r="N52" s="51">
        <v>-0.16988364627867172</v>
      </c>
      <c r="O52" s="51">
        <v>-9.5995090415020315E-2</v>
      </c>
      <c r="P52" s="51">
        <v>-0.2694542603290484</v>
      </c>
      <c r="Q52" s="51">
        <v>-0.51785832669981113</v>
      </c>
      <c r="R52" s="51">
        <v>-0.81302857316407995</v>
      </c>
      <c r="S52" s="51" t="s">
        <v>130</v>
      </c>
      <c r="U52" s="40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</row>
    <row r="53" spans="1:42">
      <c r="A53" s="41">
        <v>1</v>
      </c>
      <c r="C53" s="45" t="str">
        <f>"    Normalized Return on Assets"</f>
        <v xml:space="preserve">    Normalized Return on Assets</v>
      </c>
      <c r="D53" s="52">
        <f t="shared" si="24"/>
        <v>-0.12986579425795497</v>
      </c>
      <c r="E53" s="52">
        <f t="shared" si="25"/>
        <v>-0.15595015118717892</v>
      </c>
      <c r="F53" s="52">
        <f t="shared" si="26"/>
        <v>-0.27450464197461205</v>
      </c>
      <c r="G53" s="52">
        <f t="shared" si="27"/>
        <v>-5.3178547597916216E-2</v>
      </c>
      <c r="H53" s="52">
        <f t="shared" si="28"/>
        <v>-0.22593375920289926</v>
      </c>
      <c r="I53" s="52">
        <f t="shared" si="29"/>
        <v>-0.10021373470205475</v>
      </c>
      <c r="J53" s="52">
        <f t="shared" si="30"/>
        <v>8.8803141673946887E-2</v>
      </c>
      <c r="K53" s="49">
        <f t="shared" si="31"/>
        <v>-0.56943286683551242</v>
      </c>
      <c r="L53" s="51"/>
      <c r="M53" s="51">
        <v>-9.6012449498620964E-2</v>
      </c>
      <c r="N53" s="51">
        <v>-0.11281759031235612</v>
      </c>
      <c r="O53" s="51">
        <v>-5.3178547597916216E-2</v>
      </c>
      <c r="P53" s="51">
        <v>-0.14691399820355383</v>
      </c>
      <c r="Q53" s="51">
        <v>-0.25227367953601443</v>
      </c>
      <c r="R53" s="51">
        <v>-0.27450464197461205</v>
      </c>
      <c r="S53" s="51" t="s">
        <v>130</v>
      </c>
      <c r="U53" s="40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</row>
    <row r="54" spans="1:42">
      <c r="A54" s="41">
        <v>1</v>
      </c>
      <c r="C54" s="45" t="str">
        <f>"    Normalized Return on Invested Capital"</f>
        <v xml:space="preserve">    Normalized Return on Invested Capital</v>
      </c>
      <c r="D54" s="52">
        <f t="shared" si="24"/>
        <v>-0.19976798591862718</v>
      </c>
      <c r="E54" s="52">
        <f t="shared" si="25"/>
        <v>-0.29243988251267766</v>
      </c>
      <c r="F54" s="52">
        <f t="shared" si="26"/>
        <v>-0.7194457121058947</v>
      </c>
      <c r="G54" s="52">
        <f t="shared" si="27"/>
        <v>-5.4148192892620232E-2</v>
      </c>
      <c r="H54" s="52">
        <f t="shared" si="28"/>
        <v>-0.4114164191296239</v>
      </c>
      <c r="I54" s="52">
        <f t="shared" si="29"/>
        <v>-0.12459963750991219</v>
      </c>
      <c r="J54" s="52">
        <f t="shared" si="30"/>
        <v>0.25386093278893318</v>
      </c>
      <c r="K54" s="49">
        <f t="shared" si="31"/>
        <v>-0.86807904109292611</v>
      </c>
      <c r="L54" s="51"/>
      <c r="M54" s="51">
        <v>-0.11624570749724483</v>
      </c>
      <c r="N54" s="51">
        <v>-0.14966142754791428</v>
      </c>
      <c r="O54" s="51">
        <v>-5.4148192892620232E-2</v>
      </c>
      <c r="P54" s="51">
        <v>-0.24987454428934008</v>
      </c>
      <c r="Q54" s="51">
        <v>-0.46526371074305184</v>
      </c>
      <c r="R54" s="51">
        <v>-0.7194457121058947</v>
      </c>
      <c r="S54" s="51" t="s">
        <v>130</v>
      </c>
      <c r="U54" s="40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</row>
    <row r="55" spans="1:42">
      <c r="A55" s="41">
        <v>1</v>
      </c>
      <c r="C55" s="47" t="str">
        <f>"Multiples*"</f>
        <v>Multiples*</v>
      </c>
      <c r="D55" s="46"/>
      <c r="E55" s="46"/>
      <c r="F55" s="46"/>
      <c r="G55" s="46"/>
      <c r="H55" s="46"/>
      <c r="I55" s="46"/>
      <c r="J55" s="46"/>
      <c r="K55" s="46"/>
      <c r="L55" s="46"/>
      <c r="M55" s="46" t="s">
        <v>130</v>
      </c>
      <c r="N55" s="46" t="s">
        <v>130</v>
      </c>
      <c r="O55" s="46" t="s">
        <v>130</v>
      </c>
      <c r="P55" s="46" t="s">
        <v>130</v>
      </c>
      <c r="Q55" s="46" t="s">
        <v>130</v>
      </c>
      <c r="R55" s="46" t="s">
        <v>130</v>
      </c>
      <c r="S55" s="46" t="s">
        <v>130</v>
      </c>
      <c r="U55" s="40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</row>
    <row r="56" spans="1:42">
      <c r="A56" s="41">
        <v>1</v>
      </c>
      <c r="C56" s="45" t="str">
        <f>"    Stock Price"</f>
        <v xml:space="preserve">    Stock Price</v>
      </c>
      <c r="D56" s="49">
        <f t="shared" ref="D56:D61" si="32">IF(COUNT(M56:S56)&gt;0,MEDIAN(M56:S56),"")</f>
        <v>38.271705245249997</v>
      </c>
      <c r="E56" s="49">
        <f t="shared" ref="E56:E61" si="33">IF(COUNT(M56:S56)&gt;0,AVERAGE(M56:S56),"")</f>
        <v>38.271705245249997</v>
      </c>
      <c r="F56" s="49">
        <f t="shared" ref="F56:F61" si="34">IF(COUNT(M56:S56)&gt;0,MIN(M56:S56),"")</f>
        <v>37.1479517175</v>
      </c>
      <c r="G56" s="49">
        <f t="shared" ref="G56:G61" si="35">IF(COUNT(M56:S56)&gt;0,MAX(M56:S56),"")</f>
        <v>39.395458772999994</v>
      </c>
      <c r="H56" s="49">
        <f t="shared" ref="H56:H61" si="36">IF(COUNT(M56:S56)&gt;0,QUARTILE(M56:S56,1),"")</f>
        <v>37.709828481374998</v>
      </c>
      <c r="I56" s="49">
        <f t="shared" ref="I56:I61" si="37">IF(COUNT(M56:S56)&gt;0,QUARTILE(M56:S56,3),"")</f>
        <v>38.833582009124996</v>
      </c>
      <c r="J56" s="49">
        <f t="shared" ref="J56:J61" si="38">IF(COUNT(M56:S56)&gt;1,STDEV(M56:S56),"")</f>
        <v>1.5892274797086563</v>
      </c>
      <c r="K56" s="49">
        <f t="shared" ref="K56:K61" si="39">IF(COUNT(M56:S56)&gt;1,STDEV(M56:S56)/AVERAGE(M56:S56),"")</f>
        <v>4.1524867249177498E-2</v>
      </c>
      <c r="L56" s="53"/>
      <c r="M56" s="53">
        <v>37.1479517175</v>
      </c>
      <c r="N56" s="53">
        <v>39.395458772999994</v>
      </c>
      <c r="O56" s="53" t="s">
        <v>130</v>
      </c>
      <c r="P56" s="53" t="s">
        <v>130</v>
      </c>
      <c r="Q56" s="53" t="s">
        <v>130</v>
      </c>
      <c r="R56" s="53" t="s">
        <v>130</v>
      </c>
      <c r="S56" s="53" t="s">
        <v>130</v>
      </c>
      <c r="U56" s="40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</row>
    <row r="57" spans="1:42">
      <c r="A57" s="41">
        <v>1</v>
      </c>
      <c r="C57" s="45" t="str">
        <f>"    Market Cap"</f>
        <v xml:space="preserve">    Market Cap</v>
      </c>
      <c r="D57" s="50">
        <f t="shared" si="32"/>
        <v>7050191.5380809642</v>
      </c>
      <c r="E57" s="50">
        <f t="shared" si="33"/>
        <v>7050191.5380809642</v>
      </c>
      <c r="F57" s="50">
        <f t="shared" si="34"/>
        <v>6911554.9129071711</v>
      </c>
      <c r="G57" s="50">
        <f t="shared" si="35"/>
        <v>7188828.1632547565</v>
      </c>
      <c r="H57" s="50">
        <f t="shared" si="36"/>
        <v>6980873.2254940672</v>
      </c>
      <c r="I57" s="50">
        <f t="shared" si="37"/>
        <v>7119509.8506678604</v>
      </c>
      <c r="J57" s="50">
        <f t="shared" si="38"/>
        <v>196061.79556241288</v>
      </c>
      <c r="K57" s="49">
        <f t="shared" si="39"/>
        <v>2.7809428226652146E-2</v>
      </c>
      <c r="L57" s="48"/>
      <c r="M57" s="48">
        <v>6911554.9129071711</v>
      </c>
      <c r="N57" s="48">
        <v>7188828.1632547565</v>
      </c>
      <c r="O57" s="48" t="s">
        <v>130</v>
      </c>
      <c r="P57" s="48" t="s">
        <v>130</v>
      </c>
      <c r="Q57" s="48" t="s">
        <v>130</v>
      </c>
      <c r="R57" s="48" t="s">
        <v>130</v>
      </c>
      <c r="S57" s="48" t="s">
        <v>130</v>
      </c>
      <c r="U57" s="40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</row>
    <row r="58" spans="1:42">
      <c r="A58" s="41">
        <v>1</v>
      </c>
      <c r="C58" s="45" t="str">
        <f>"    Enterprise Value"</f>
        <v xml:space="preserve">    Enterprise Value</v>
      </c>
      <c r="D58" s="50">
        <f t="shared" si="32"/>
        <v>6555349.9529999997</v>
      </c>
      <c r="E58" s="50">
        <f t="shared" si="33"/>
        <v>6555349.9529999997</v>
      </c>
      <c r="F58" s="50">
        <f t="shared" si="34"/>
        <v>6140936.6840000004</v>
      </c>
      <c r="G58" s="50">
        <f t="shared" si="35"/>
        <v>6969763.2220000001</v>
      </c>
      <c r="H58" s="50">
        <f t="shared" si="36"/>
        <v>6348143.3185000001</v>
      </c>
      <c r="I58" s="50">
        <f t="shared" si="37"/>
        <v>6762556.5875000004</v>
      </c>
      <c r="J58" s="50">
        <f t="shared" si="38"/>
        <v>586068.86544716952</v>
      </c>
      <c r="K58" s="49">
        <f t="shared" si="39"/>
        <v>8.940313936694716E-2</v>
      </c>
      <c r="L58" s="48"/>
      <c r="M58" s="48">
        <v>6140936.6840000004</v>
      </c>
      <c r="N58" s="48">
        <v>6969763.2220000001</v>
      </c>
      <c r="O58" s="48" t="s">
        <v>130</v>
      </c>
      <c r="P58" s="48" t="s">
        <v>130</v>
      </c>
      <c r="Q58" s="48" t="s">
        <v>130</v>
      </c>
      <c r="R58" s="48" t="s">
        <v>130</v>
      </c>
      <c r="S58" s="48" t="s">
        <v>130</v>
      </c>
      <c r="U58" s="40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</row>
    <row r="59" spans="1:42">
      <c r="A59" s="41">
        <v>1</v>
      </c>
      <c r="C59" s="45" t="str">
        <f>"    Enterprise Value to Revenue"</f>
        <v xml:space="preserve">    Enterprise Value to Revenue</v>
      </c>
      <c r="D59" s="67">
        <f t="shared" si="32"/>
        <v>11.865967372357378</v>
      </c>
      <c r="E59" s="67">
        <f t="shared" si="33"/>
        <v>11.865967372357378</v>
      </c>
      <c r="F59" s="67">
        <f t="shared" si="34"/>
        <v>8.0761746104347587</v>
      </c>
      <c r="G59" s="67">
        <f t="shared" si="35"/>
        <v>15.655760134279996</v>
      </c>
      <c r="H59" s="67">
        <f t="shared" si="36"/>
        <v>9.9710709913960685</v>
      </c>
      <c r="I59" s="67">
        <f t="shared" si="37"/>
        <v>13.760863753318686</v>
      </c>
      <c r="J59" s="67">
        <f t="shared" si="38"/>
        <v>5.3595763224943518</v>
      </c>
      <c r="K59" s="49">
        <f t="shared" si="39"/>
        <v>0.45167630706451034</v>
      </c>
      <c r="L59" s="66"/>
      <c r="M59" s="66">
        <v>8.0761746104347587</v>
      </c>
      <c r="N59" s="66">
        <v>15.655760134279996</v>
      </c>
      <c r="O59" s="66" t="s">
        <v>130</v>
      </c>
      <c r="P59" s="66" t="s">
        <v>130</v>
      </c>
      <c r="Q59" s="66" t="s">
        <v>130</v>
      </c>
      <c r="R59" s="66" t="s">
        <v>130</v>
      </c>
      <c r="S59" s="66" t="s">
        <v>130</v>
      </c>
      <c r="U59" s="40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</row>
    <row r="60" spans="1:42">
      <c r="A60" s="41">
        <v>1</v>
      </c>
      <c r="C60" s="45" t="str">
        <f>"    Price to Book (PB)"</f>
        <v xml:space="preserve">    Price to Book (PB)</v>
      </c>
      <c r="D60" s="67">
        <f t="shared" si="32"/>
        <v>3.6157453594396483</v>
      </c>
      <c r="E60" s="67">
        <f t="shared" si="33"/>
        <v>3.6157453594396483</v>
      </c>
      <c r="F60" s="67">
        <f t="shared" si="34"/>
        <v>3.227330260270695</v>
      </c>
      <c r="G60" s="67">
        <f t="shared" si="35"/>
        <v>4.0041604586086015</v>
      </c>
      <c r="H60" s="67">
        <f t="shared" si="36"/>
        <v>3.4215378098551716</v>
      </c>
      <c r="I60" s="67">
        <f t="shared" si="37"/>
        <v>3.8099529090241249</v>
      </c>
      <c r="J60" s="67">
        <f t="shared" si="38"/>
        <v>0.5493019010752247</v>
      </c>
      <c r="K60" s="49">
        <f t="shared" si="39"/>
        <v>0.15191940982269642</v>
      </c>
      <c r="L60" s="66"/>
      <c r="M60" s="66">
        <v>3.227330260270695</v>
      </c>
      <c r="N60" s="66">
        <v>4.0041604586086015</v>
      </c>
      <c r="O60" s="66" t="s">
        <v>130</v>
      </c>
      <c r="P60" s="66" t="s">
        <v>130</v>
      </c>
      <c r="Q60" s="66" t="s">
        <v>130</v>
      </c>
      <c r="R60" s="66" t="s">
        <v>130</v>
      </c>
      <c r="S60" s="66" t="s">
        <v>130</v>
      </c>
      <c r="U60" s="40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</row>
    <row r="61" spans="1:42">
      <c r="A61" s="41">
        <v>1</v>
      </c>
      <c r="C61" s="45" t="str">
        <f>"    Price to Tangible Book Value"</f>
        <v xml:space="preserve">    Price to Tangible Book Value</v>
      </c>
      <c r="D61" s="67">
        <f t="shared" si="32"/>
        <v>22.274843370901877</v>
      </c>
      <c r="E61" s="67">
        <f t="shared" si="33"/>
        <v>22.27484337090188</v>
      </c>
      <c r="F61" s="67">
        <f t="shared" si="34"/>
        <v>8.8668279079500589</v>
      </c>
      <c r="G61" s="67">
        <f t="shared" si="35"/>
        <v>35.6828588338537</v>
      </c>
      <c r="H61" s="67">
        <f t="shared" si="36"/>
        <v>15.570835639425969</v>
      </c>
      <c r="I61" s="67">
        <f t="shared" si="37"/>
        <v>28.978851102377789</v>
      </c>
      <c r="J61" s="67">
        <f t="shared" si="38"/>
        <v>18.961797312214639</v>
      </c>
      <c r="K61" s="49">
        <f t="shared" si="39"/>
        <v>0.85126512435929647</v>
      </c>
      <c r="L61" s="66"/>
      <c r="M61" s="66">
        <v>8.8668279079500589</v>
      </c>
      <c r="N61" s="66">
        <v>35.6828588338537</v>
      </c>
      <c r="O61" s="66" t="s">
        <v>130</v>
      </c>
      <c r="P61" s="66" t="s">
        <v>130</v>
      </c>
      <c r="Q61" s="66" t="s">
        <v>130</v>
      </c>
      <c r="R61" s="66" t="s">
        <v>130</v>
      </c>
      <c r="S61" s="66" t="s">
        <v>130</v>
      </c>
      <c r="U61" s="40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</row>
    <row r="62" spans="1:42">
      <c r="A62" s="41">
        <v>1</v>
      </c>
      <c r="C62" s="47" t="str">
        <f>"Data Origination"</f>
        <v>Data Origination</v>
      </c>
      <c r="D62" s="46"/>
      <c r="E62" s="46"/>
      <c r="F62" s="46"/>
      <c r="G62" s="46"/>
      <c r="H62" s="46"/>
      <c r="I62" s="46"/>
      <c r="J62" s="46"/>
      <c r="K62" s="46"/>
      <c r="L62" s="46"/>
      <c r="M62" s="46" t="s">
        <v>130</v>
      </c>
      <c r="N62" s="46" t="s">
        <v>130</v>
      </c>
      <c r="O62" s="46" t="s">
        <v>130</v>
      </c>
      <c r="P62" s="46" t="s">
        <v>130</v>
      </c>
      <c r="Q62" s="46" t="s">
        <v>130</v>
      </c>
      <c r="R62" s="46" t="s">
        <v>130</v>
      </c>
      <c r="S62" s="46" t="s">
        <v>130</v>
      </c>
      <c r="U62" s="40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</row>
    <row r="63" spans="1:42">
      <c r="A63" s="41">
        <v>1</v>
      </c>
      <c r="C63" s="45" t="str">
        <f>"    Preliminary"</f>
        <v xml:space="preserve">    Preliminary</v>
      </c>
      <c r="D63" s="44"/>
      <c r="E63" s="44"/>
      <c r="F63" s="44"/>
      <c r="G63" s="44"/>
      <c r="H63" s="44"/>
      <c r="I63" s="44"/>
      <c r="J63" s="44"/>
      <c r="K63" s="44"/>
      <c r="L63" s="43"/>
      <c r="M63" s="43" t="s">
        <v>129</v>
      </c>
      <c r="N63" s="43" t="s">
        <v>129</v>
      </c>
      <c r="O63" s="43" t="s">
        <v>129</v>
      </c>
      <c r="P63" s="43" t="s">
        <v>129</v>
      </c>
      <c r="Q63" s="43" t="s">
        <v>129</v>
      </c>
      <c r="R63" s="43" t="s">
        <v>129</v>
      </c>
      <c r="S63" s="43" t="s">
        <v>129</v>
      </c>
      <c r="U63" s="40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</row>
    <row r="64" spans="1:42">
      <c r="A64" s="41">
        <v>1</v>
      </c>
      <c r="C64" s="45" t="str">
        <f>"    Original"</f>
        <v xml:space="preserve">    Original</v>
      </c>
      <c r="D64" s="44"/>
      <c r="E64" s="44"/>
      <c r="F64" s="44"/>
      <c r="G64" s="44"/>
      <c r="H64" s="44"/>
      <c r="I64" s="44"/>
      <c r="J64" s="44"/>
      <c r="K64" s="44"/>
      <c r="L64" s="43"/>
      <c r="M64" s="43" t="s">
        <v>129</v>
      </c>
      <c r="N64" s="43" t="s">
        <v>129</v>
      </c>
      <c r="O64" s="43" t="s">
        <v>129</v>
      </c>
      <c r="P64" s="43" t="s">
        <v>129</v>
      </c>
      <c r="Q64" s="43" t="s">
        <v>129</v>
      </c>
      <c r="R64" s="43" t="s">
        <v>129</v>
      </c>
      <c r="S64" s="43" t="s">
        <v>129</v>
      </c>
      <c r="U64" s="40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</row>
    <row r="65" spans="1:42">
      <c r="A65" s="41">
        <v>1</v>
      </c>
      <c r="C65" s="45" t="str">
        <f>"    Restated"</f>
        <v xml:space="preserve">    Restated</v>
      </c>
      <c r="D65" s="44"/>
      <c r="E65" s="44"/>
      <c r="F65" s="44"/>
      <c r="G65" s="44"/>
      <c r="H65" s="44"/>
      <c r="I65" s="44"/>
      <c r="J65" s="44"/>
      <c r="K65" s="44"/>
      <c r="L65" s="43"/>
      <c r="M65" s="43" t="s">
        <v>129</v>
      </c>
      <c r="N65" s="43" t="s">
        <v>129</v>
      </c>
      <c r="O65" s="43" t="s">
        <v>129</v>
      </c>
      <c r="P65" s="43" t="s">
        <v>129</v>
      </c>
      <c r="Q65" s="43" t="s">
        <v>129</v>
      </c>
      <c r="R65" s="43" t="s">
        <v>129</v>
      </c>
      <c r="S65" s="43" t="s">
        <v>129</v>
      </c>
      <c r="U65" s="40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</row>
    <row r="66" spans="1:42">
      <c r="A66" s="41">
        <v>1</v>
      </c>
      <c r="C66" s="45" t="str">
        <f>"    Calculated"</f>
        <v xml:space="preserve">    Calculated</v>
      </c>
      <c r="D66" s="44"/>
      <c r="E66" s="44"/>
      <c r="F66" s="44"/>
      <c r="G66" s="44"/>
      <c r="H66" s="44"/>
      <c r="I66" s="44"/>
      <c r="J66" s="44"/>
      <c r="K66" s="44"/>
      <c r="L66" s="43"/>
      <c r="M66" s="43" t="s">
        <v>129</v>
      </c>
      <c r="N66" s="43" t="s">
        <v>129</v>
      </c>
      <c r="O66" s="43" t="s">
        <v>129</v>
      </c>
      <c r="P66" s="43" t="s">
        <v>129</v>
      </c>
      <c r="Q66" s="43" t="s">
        <v>129</v>
      </c>
      <c r="R66" s="43" t="s">
        <v>129</v>
      </c>
      <c r="S66" s="43" t="s">
        <v>129</v>
      </c>
      <c r="U66" s="40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</row>
    <row r="67" spans="1:42">
      <c r="A67" s="41"/>
      <c r="U67" s="40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</row>
    <row r="68" spans="1:42">
      <c r="A68" s="41"/>
      <c r="U68" s="40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</row>
    <row r="69" spans="1:42">
      <c r="A69" s="41"/>
      <c r="C69" s="42" t="s">
        <v>128</v>
      </c>
      <c r="U69" s="40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</row>
    <row r="70" spans="1:42">
      <c r="A70" s="41"/>
      <c r="C70" s="42" t="s">
        <v>127</v>
      </c>
      <c r="U70" s="40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</row>
    <row r="71" spans="1:42" ht="16" thickBot="1">
      <c r="A71" s="41"/>
      <c r="U71" s="40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</row>
    <row r="72" spans="1:42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</row>
  </sheetData>
  <mergeCells count="10">
    <mergeCell ref="V10:W10"/>
    <mergeCell ref="V25:W25"/>
    <mergeCell ref="I5:I6"/>
    <mergeCell ref="J5:J6"/>
    <mergeCell ref="K5:K6"/>
    <mergeCell ref="D5:D6"/>
    <mergeCell ref="E5:E6"/>
    <mergeCell ref="F5:F6"/>
    <mergeCell ref="G5:G6"/>
    <mergeCell ref="H5:H6"/>
  </mergeCells>
  <conditionalFormatting sqref="D10:S10 D22:S22 D35:S35 D44:S44 D55:S55 D62:S62">
    <cfRule type="expression" dxfId="0" priority="1">
      <formula>NOT(SUBTOTAL(109,$A11)=$A11)</formula>
    </cfRule>
  </conditionalFormatting>
  <hyperlinks>
    <hyperlink ref="M5" r:id="rId1" xr:uid="{5C8734C5-D2D1-8542-96D5-8C367A02D416}"/>
    <hyperlink ref="N5" r:id="rId2" xr:uid="{4BAA09A2-7DA4-424C-82B6-42F30BE2810D}"/>
    <hyperlink ref="O5" r:id="rId3" xr:uid="{8CFA29D5-8AE2-134D-9BCF-A9EBFF50B744}"/>
    <hyperlink ref="P5" r:id="rId4" xr:uid="{81A361B7-C2C1-854E-BA6C-FE86508539A7}"/>
    <hyperlink ref="Q5" r:id="rId5" xr:uid="{A1182F04-B82F-B140-8812-388E6E385A9B}"/>
    <hyperlink ref="R5" r:id="rId6" xr:uid="{66C48C1A-EC1B-CA45-A459-1293D18ADBF4}"/>
    <hyperlink ref="S5" r:id="rId7" xr:uid="{33892827-D05A-E045-88C3-61ED25CA7265}"/>
  </hyperlinks>
  <pageMargins left="0.7" right="0.7" top="0.75" bottom="0.75" header="0.51180555555555496" footer="0.51180555555555496"/>
  <pageSetup paperSize="9" firstPageNumber="0" pageOrder="overThenDown" orientation="portrait" horizontalDpi="300" verticalDpi="300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General Info </vt:lpstr>
      <vt:lpstr>2. Online Food Delivery - World</vt:lpstr>
      <vt:lpstr>3. Restaurant Consumer Data</vt:lpstr>
      <vt:lpstr>4. Main Reason to Order Online </vt:lpstr>
      <vt:lpstr>5. Number of Smartphone Users </vt:lpstr>
      <vt:lpstr>6. Employment Rate </vt:lpstr>
      <vt:lpstr>7. Education Rate </vt:lpstr>
      <vt:lpstr>8. D. Hero Income Statement</vt:lpstr>
      <vt:lpstr>9. D. Hero Key Metrics</vt:lpstr>
      <vt:lpstr>10. Cost and Revenue </vt:lpstr>
      <vt:lpstr>11. Regression</vt:lpstr>
      <vt:lpstr>12. Bibliography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2020-03-04T18:39:27Z</dcterms:created>
  <dcterms:modified xsi:type="dcterms:W3CDTF">2020-03-07T19:46:48Z</dcterms:modified>
</cp:coreProperties>
</file>