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Kaans\Documents\Projekte\NBG-IoT\switch-mode-power-supply-schematic\schematic_LMR50410\"/>
    </mc:Choice>
  </mc:AlternateContent>
  <xr:revisionPtr revIDLastSave="0" documentId="8_{0F56DFB1-0458-467D-BC23-F3A1F8DFD15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mps_lmr50410. " sheetId="1" r:id="rId1"/>
  </sheets>
  <definedNames>
    <definedName name="arrow_part_data">'smps_lmr50410. '!$H$5:$L$21</definedName>
    <definedName name="BoardQty">'smps_lmr50410. '!$G$1</definedName>
    <definedName name="digikey_part_data">'smps_lmr50410. '!$M$5:$Q$21</definedName>
    <definedName name="farnell_part_data">'smps_lmr50410. '!$R$5:$V$21</definedName>
    <definedName name="global_part_data">'smps_lmr50410. '!$A$5:$G$21</definedName>
    <definedName name="lcsc_part_data">'smps_lmr50410. '!$W$5:$AA$21</definedName>
    <definedName name="mouser_part_data">'smps_lmr50410. '!$AB$5:$AF$21</definedName>
    <definedName name="newark_part_data">'smps_lmr50410. '!$AG$5:$AK$21</definedName>
    <definedName name="PURCHASE_DESCRIPTION">'smps_lmr50410. '!$G$24</definedName>
    <definedName name="rs_part_data">'smps_lmr50410. '!$AL$5:$AP$21</definedName>
    <definedName name="tme_part_data">'smps_lmr50410. '!$AQ$5:$AU$21</definedName>
    <definedName name="TotalCost">'smps_lmr50410. '!$G$3</definedName>
    <definedName name="USD_GBP">'smps_lmr50410. '!$C$24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9" i="1" l="1" a="1"/>
  <c r="X39" i="1" s="1"/>
  <c r="AR38" i="1" a="1"/>
  <c r="AR38" i="1" s="1"/>
  <c r="AM38" i="1" a="1"/>
  <c r="AM38" i="1" s="1"/>
  <c r="AH38" i="1" a="1"/>
  <c r="AH38" i="1" s="1"/>
  <c r="AC38" i="1" a="1"/>
  <c r="AC38" i="1" s="1"/>
  <c r="X38" i="1" a="1"/>
  <c r="X38" i="1" s="1"/>
  <c r="S38" i="1" a="1"/>
  <c r="S38" i="1" s="1"/>
  <c r="N38" i="1" a="1"/>
  <c r="N38" i="1" s="1"/>
  <c r="I38" i="1" a="1"/>
  <c r="I38" i="1" s="1"/>
  <c r="AR37" i="1" a="1"/>
  <c r="AR37" i="1" s="1"/>
  <c r="AM37" i="1" a="1"/>
  <c r="AM37" i="1" s="1"/>
  <c r="AH37" i="1" a="1"/>
  <c r="AH37" i="1" s="1"/>
  <c r="AC37" i="1" a="1"/>
  <c r="AC37" i="1" s="1"/>
  <c r="X37" i="1" a="1"/>
  <c r="X37" i="1" s="1"/>
  <c r="S37" i="1" a="1"/>
  <c r="S37" i="1" s="1"/>
  <c r="N37" i="1" a="1"/>
  <c r="N37" i="1" s="1"/>
  <c r="I37" i="1" a="1"/>
  <c r="I37" i="1" s="1"/>
  <c r="AR36" i="1" a="1"/>
  <c r="AR36" i="1" s="1"/>
  <c r="AM36" i="1" a="1"/>
  <c r="AM36" i="1" s="1"/>
  <c r="AH36" i="1" a="1"/>
  <c r="AH36" i="1" s="1"/>
  <c r="AC36" i="1" a="1"/>
  <c r="AC36" i="1" s="1"/>
  <c r="X36" i="1" a="1"/>
  <c r="X36" i="1" s="1"/>
  <c r="S36" i="1" a="1"/>
  <c r="S36" i="1" s="1"/>
  <c r="N36" i="1" a="1"/>
  <c r="N36" i="1" s="1"/>
  <c r="I36" i="1" a="1"/>
  <c r="I36" i="1" s="1"/>
  <c r="AR35" i="1" a="1"/>
  <c r="AR35" i="1" s="1"/>
  <c r="AM35" i="1" a="1"/>
  <c r="AM35" i="1" s="1"/>
  <c r="AH35" i="1" a="1"/>
  <c r="AH35" i="1" s="1"/>
  <c r="AC35" i="1" a="1"/>
  <c r="AC35" i="1" s="1"/>
  <c r="X35" i="1" a="1"/>
  <c r="X35" i="1" s="1"/>
  <c r="S35" i="1" a="1"/>
  <c r="S35" i="1" s="1"/>
  <c r="N35" i="1" a="1"/>
  <c r="N35" i="1" s="1"/>
  <c r="I35" i="1" a="1"/>
  <c r="I35" i="1" s="1"/>
  <c r="AR34" i="1" a="1"/>
  <c r="AR34" i="1" s="1"/>
  <c r="AM34" i="1" a="1"/>
  <c r="AM34" i="1" s="1"/>
  <c r="AH34" i="1" a="1"/>
  <c r="AH34" i="1" s="1"/>
  <c r="AC34" i="1" a="1"/>
  <c r="AC34" i="1" s="1"/>
  <c r="X34" i="1" a="1"/>
  <c r="X34" i="1" s="1"/>
  <c r="S34" i="1" a="1"/>
  <c r="S34" i="1" s="1"/>
  <c r="N34" i="1" a="1"/>
  <c r="N34" i="1" s="1"/>
  <c r="I34" i="1" a="1"/>
  <c r="I34" i="1" s="1"/>
  <c r="AR33" i="1" a="1"/>
  <c r="AR33" i="1" s="1"/>
  <c r="AM33" i="1" a="1"/>
  <c r="AM33" i="1" s="1"/>
  <c r="AH33" i="1" a="1"/>
  <c r="AH33" i="1" s="1"/>
  <c r="AC33" i="1" a="1"/>
  <c r="AC33" i="1" s="1"/>
  <c r="X33" i="1" a="1"/>
  <c r="X33" i="1" s="1"/>
  <c r="S33" i="1" a="1"/>
  <c r="S33" i="1" s="1"/>
  <c r="N33" i="1" a="1"/>
  <c r="N33" i="1" s="1"/>
  <c r="I33" i="1" a="1"/>
  <c r="I33" i="1" s="1"/>
  <c r="AR32" i="1" a="1"/>
  <c r="AR32" i="1" s="1"/>
  <c r="AM32" i="1" a="1"/>
  <c r="AM32" i="1" s="1"/>
  <c r="AH32" i="1" a="1"/>
  <c r="AH32" i="1" s="1"/>
  <c r="AC32" i="1" a="1"/>
  <c r="AC32" i="1" s="1"/>
  <c r="X32" i="1" a="1"/>
  <c r="X32" i="1" s="1"/>
  <c r="S32" i="1" a="1"/>
  <c r="S32" i="1" s="1"/>
  <c r="N32" i="1" a="1"/>
  <c r="N32" i="1" s="1"/>
  <c r="I32" i="1" a="1"/>
  <c r="I32" i="1" s="1"/>
  <c r="AR31" i="1" a="1"/>
  <c r="AR31" i="1" s="1"/>
  <c r="AM31" i="1" a="1"/>
  <c r="AM31" i="1" s="1"/>
  <c r="AH31" i="1" a="1"/>
  <c r="AH31" i="1" s="1"/>
  <c r="AC31" i="1" a="1"/>
  <c r="AC31" i="1" s="1"/>
  <c r="X31" i="1" a="1"/>
  <c r="X31" i="1" s="1"/>
  <c r="S31" i="1" a="1"/>
  <c r="S31" i="1" s="1"/>
  <c r="N31" i="1" a="1"/>
  <c r="N31" i="1" s="1"/>
  <c r="I31" i="1" a="1"/>
  <c r="I31" i="1" s="1"/>
  <c r="AR30" i="1" a="1"/>
  <c r="AR30" i="1" s="1"/>
  <c r="AM30" i="1" a="1"/>
  <c r="AM30" i="1" s="1"/>
  <c r="AH30" i="1" a="1"/>
  <c r="AH30" i="1" s="1"/>
  <c r="AC30" i="1" a="1"/>
  <c r="AC30" i="1" s="1"/>
  <c r="X30" i="1" a="1"/>
  <c r="X30" i="1" s="1"/>
  <c r="S30" i="1" a="1"/>
  <c r="S30" i="1" s="1"/>
  <c r="N30" i="1" a="1"/>
  <c r="N30" i="1" s="1"/>
  <c r="I30" i="1" a="1"/>
  <c r="I30" i="1" s="1"/>
  <c r="AR29" i="1" a="1"/>
  <c r="AR29" i="1" s="1"/>
  <c r="AM29" i="1" a="1"/>
  <c r="AM29" i="1" s="1"/>
  <c r="AH29" i="1" a="1"/>
  <c r="AH29" i="1" s="1"/>
  <c r="AC29" i="1" a="1"/>
  <c r="AC29" i="1" s="1"/>
  <c r="X29" i="1" a="1"/>
  <c r="X29" i="1" s="1"/>
  <c r="S29" i="1" a="1"/>
  <c r="S29" i="1" s="1"/>
  <c r="N29" i="1" a="1"/>
  <c r="N29" i="1" s="1"/>
  <c r="I29" i="1" a="1"/>
  <c r="I29" i="1" s="1"/>
  <c r="AR28" i="1" a="1"/>
  <c r="AR28" i="1" s="1"/>
  <c r="AM28" i="1" a="1"/>
  <c r="AM28" i="1" s="1"/>
  <c r="AH28" i="1" a="1"/>
  <c r="AH28" i="1" s="1"/>
  <c r="AC28" i="1" a="1"/>
  <c r="AC28" i="1" s="1"/>
  <c r="X28" i="1" a="1"/>
  <c r="X28" i="1" s="1"/>
  <c r="S28" i="1" a="1"/>
  <c r="S28" i="1" s="1"/>
  <c r="N28" i="1" a="1"/>
  <c r="N28" i="1" s="1"/>
  <c r="I28" i="1" a="1"/>
  <c r="I28" i="1" s="1"/>
  <c r="AR27" i="1" a="1"/>
  <c r="AR27" i="1" s="1"/>
  <c r="AM27" i="1" a="1"/>
  <c r="AM27" i="1" s="1"/>
  <c r="AH27" i="1" a="1"/>
  <c r="AH27" i="1" s="1"/>
  <c r="AC27" i="1" a="1"/>
  <c r="AC27" i="1" s="1"/>
  <c r="X27" i="1" a="1"/>
  <c r="X27" i="1" s="1"/>
  <c r="S27" i="1" a="1"/>
  <c r="S27" i="1" s="1"/>
  <c r="N27" i="1" a="1"/>
  <c r="N27" i="1" s="1"/>
  <c r="I27" i="1" a="1"/>
  <c r="I27" i="1" s="1"/>
  <c r="AR26" i="1" a="1"/>
  <c r="AR26" i="1" s="1"/>
  <c r="AM26" i="1" a="1"/>
  <c r="AM26" i="1" s="1"/>
  <c r="AH26" i="1" a="1"/>
  <c r="AH26" i="1" s="1"/>
  <c r="AC26" i="1" a="1"/>
  <c r="AC26" i="1" s="1"/>
  <c r="X26" i="1" a="1"/>
  <c r="X26" i="1" s="1"/>
  <c r="S26" i="1" a="1"/>
  <c r="S26" i="1" s="1"/>
  <c r="N26" i="1" a="1"/>
  <c r="N26" i="1" s="1"/>
  <c r="I26" i="1" a="1"/>
  <c r="I26" i="1" s="1"/>
  <c r="AR25" i="1" a="1"/>
  <c r="AR25" i="1" s="1"/>
  <c r="AM25" i="1" a="1"/>
  <c r="AM25" i="1" s="1"/>
  <c r="AH25" i="1" a="1"/>
  <c r="AH25" i="1" s="1"/>
  <c r="AC25" i="1" a="1"/>
  <c r="AC25" i="1" s="1"/>
  <c r="X25" i="1" a="1"/>
  <c r="X25" i="1" s="1"/>
  <c r="S25" i="1" a="1"/>
  <c r="S25" i="1" s="1"/>
  <c r="N25" i="1" a="1"/>
  <c r="N25" i="1" s="1"/>
  <c r="I25" i="1" a="1"/>
  <c r="I25" i="1" s="1"/>
  <c r="AR24" i="1" a="1"/>
  <c r="AR24" i="1" s="1"/>
  <c r="AM24" i="1" a="1"/>
  <c r="AM24" i="1" s="1"/>
  <c r="AH24" i="1" a="1"/>
  <c r="AH24" i="1" s="1"/>
  <c r="AC24" i="1" a="1"/>
  <c r="AC24" i="1" s="1"/>
  <c r="X24" i="1"/>
  <c r="S24" i="1" a="1"/>
  <c r="S24" i="1"/>
  <c r="N24" i="1" a="1"/>
  <c r="N24" i="1" s="1"/>
  <c r="I24" i="1" a="1"/>
  <c r="I24" i="1"/>
  <c r="AT23" i="1"/>
  <c r="AR23" i="1"/>
  <c r="AO23" i="1"/>
  <c r="AM23" i="1"/>
  <c r="AJ23" i="1"/>
  <c r="AH23" i="1"/>
  <c r="Z23" i="1"/>
  <c r="X23" i="1"/>
  <c r="U23" i="1"/>
  <c r="S23" i="1"/>
  <c r="K23" i="1"/>
  <c r="I23" i="1"/>
  <c r="E21" i="1"/>
  <c r="AD21" i="1" s="1"/>
  <c r="AE21" i="1" s="1"/>
  <c r="AD20" i="1"/>
  <c r="AE20" i="1" s="1"/>
  <c r="O20" i="1"/>
  <c r="P20" i="1" s="1"/>
  <c r="E20" i="1"/>
  <c r="E19" i="1"/>
  <c r="AN19" i="1" s="1"/>
  <c r="AO19" i="1" s="1"/>
  <c r="AS18" i="1"/>
  <c r="AT18" i="1" s="1"/>
  <c r="AN18" i="1"/>
  <c r="AO18" i="1" s="1"/>
  <c r="AD18" i="1"/>
  <c r="AE18" i="1" s="1"/>
  <c r="T18" i="1"/>
  <c r="U18" i="1" s="1"/>
  <c r="O18" i="1"/>
  <c r="P18" i="1" s="1"/>
  <c r="E18" i="1"/>
  <c r="E17" i="1"/>
  <c r="T17" i="1" s="1"/>
  <c r="U17" i="1" s="1"/>
  <c r="E16" i="1"/>
  <c r="E15" i="1"/>
  <c r="E14" i="1"/>
  <c r="E13" i="1"/>
  <c r="E12" i="1"/>
  <c r="E11" i="1"/>
  <c r="AN11" i="1" s="1"/>
  <c r="AO11" i="1" s="1"/>
  <c r="AI10" i="1"/>
  <c r="AJ10" i="1" s="1"/>
  <c r="AD10" i="1"/>
  <c r="AE10" i="1" s="1"/>
  <c r="Y10" i="1"/>
  <c r="Z10" i="1" s="1"/>
  <c r="Z3" i="1" s="1"/>
  <c r="T10" i="1"/>
  <c r="U10" i="1" s="1"/>
  <c r="O10" i="1"/>
  <c r="P10" i="1" s="1"/>
  <c r="E10" i="1"/>
  <c r="E9" i="1"/>
  <c r="T9" i="1" s="1"/>
  <c r="U9" i="1" s="1"/>
  <c r="AS8" i="1"/>
  <c r="AT8" i="1" s="1"/>
  <c r="AT3" i="1" s="1"/>
  <c r="AI8" i="1"/>
  <c r="AJ8" i="1" s="1"/>
  <c r="AD8" i="1"/>
  <c r="AE8" i="1" s="1"/>
  <c r="T8" i="1"/>
  <c r="U8" i="1" s="1"/>
  <c r="O8" i="1"/>
  <c r="P8" i="1" s="1"/>
  <c r="E8" i="1"/>
  <c r="E7" i="1"/>
  <c r="AN7" i="1" s="1"/>
  <c r="AO7" i="1" s="1"/>
  <c r="K3" i="1"/>
  <c r="F8" i="1"/>
  <c r="F13" i="1"/>
  <c r="F18" i="1"/>
  <c r="F16" i="1"/>
  <c r="F10" i="1"/>
  <c r="F15" i="1"/>
  <c r="F20" i="1"/>
  <c r="F12" i="1"/>
  <c r="F14" i="1"/>
  <c r="G15" i="1" l="1"/>
  <c r="G16" i="1"/>
  <c r="G18" i="1"/>
  <c r="G8" i="1"/>
  <c r="G14" i="1"/>
  <c r="G10" i="1"/>
  <c r="AO3" i="1"/>
  <c r="G20" i="1"/>
  <c r="G12" i="1"/>
  <c r="G13" i="1"/>
  <c r="AD9" i="1"/>
  <c r="AE9" i="1" s="1"/>
  <c r="AD17" i="1"/>
  <c r="AE17" i="1" s="1"/>
  <c r="O7" i="1"/>
  <c r="AI9" i="1"/>
  <c r="AJ9" i="1" s="1"/>
  <c r="AI17" i="1"/>
  <c r="AJ17" i="1" s="1"/>
  <c r="T7" i="1"/>
  <c r="U7" i="1" s="1"/>
  <c r="O11" i="1"/>
  <c r="AN17" i="1"/>
  <c r="AO17" i="1" s="1"/>
  <c r="AD7" i="1"/>
  <c r="AE7" i="1" s="1"/>
  <c r="AD11" i="1"/>
  <c r="AE11" i="1" s="1"/>
  <c r="O19" i="1"/>
  <c r="AI7" i="1"/>
  <c r="AJ7" i="1" s="1"/>
  <c r="T19" i="1"/>
  <c r="U19" i="1" s="1"/>
  <c r="AD19" i="1"/>
  <c r="AE19" i="1" s="1"/>
  <c r="O21" i="1"/>
  <c r="O9" i="1"/>
  <c r="O17" i="1"/>
  <c r="AI19" i="1"/>
  <c r="AJ19" i="1" s="1"/>
  <c r="F17" i="1"/>
  <c r="F9" i="1"/>
  <c r="F11" i="1"/>
  <c r="F7" i="1"/>
  <c r="F21" i="1"/>
  <c r="F19" i="1"/>
  <c r="AE23" i="1" l="1"/>
  <c r="AC23" i="1"/>
  <c r="G19" i="1"/>
  <c r="G21" i="1"/>
  <c r="G7" i="1"/>
  <c r="G11" i="1"/>
  <c r="G9" i="1"/>
  <c r="G17" i="1"/>
  <c r="P19" i="1"/>
  <c r="P21" i="1"/>
  <c r="AJ3" i="1"/>
  <c r="AE3" i="1"/>
  <c r="P7" i="1"/>
  <c r="P11" i="1"/>
  <c r="P9" i="1"/>
  <c r="U3" i="1"/>
  <c r="P17" i="1"/>
  <c r="P23" i="1" l="1"/>
  <c r="N23" i="1"/>
  <c r="P3" i="1"/>
  <c r="G3" i="1"/>
  <c r="G2" i="1" s="1"/>
  <c r="G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 shapeId="0" xr:uid="{00000000-0006-0000-0000-000009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A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B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C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D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E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F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1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1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1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1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 shapeId="0" xr:uid="{00000000-0006-0000-0000-00001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 shapeId="0" xr:uid="{00000000-0006-0000-0000-00001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 shapeId="0" xr:uid="{00000000-0006-0000-0000-00001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 shapeId="0" xr:uid="{00000000-0006-0000-0000-00001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 shapeId="0" xr:uid="{00000000-0006-0000-0000-00001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 shapeId="0" xr:uid="{00000000-0006-0000-0000-00001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 shapeId="0" xr:uid="{00000000-0006-0000-0000-00001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 shapeId="0" xr:uid="{00000000-0006-0000-0000-00001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 shapeId="0" xr:uid="{00000000-0006-0000-0000-00001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 shapeId="0" xr:uid="{00000000-0006-0000-0000-00001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 shapeId="0" xr:uid="{00000000-0006-0000-0000-00001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 shapeId="0" xr:uid="{00000000-0006-0000-0000-00002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 shapeId="0" xr:uid="{00000000-0006-0000-0000-00002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 shapeId="0" xr:uid="{00000000-0006-0000-0000-00002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 shapeId="0" xr:uid="{00000000-0006-0000-0000-00002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 shapeId="0" xr:uid="{00000000-0006-0000-0000-00002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 shapeId="0" xr:uid="{00000000-0006-0000-0000-00002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 shapeId="0" xr:uid="{00000000-0006-0000-0000-00002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 shapeId="0" xr:uid="{00000000-0006-0000-0000-00002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 shapeId="0" xr:uid="{00000000-0006-0000-0000-00002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 shapeId="0" xr:uid="{00000000-0006-0000-0000-00002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 shapeId="0" xr:uid="{00000000-0006-0000-0000-00002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 shapeId="0" xr:uid="{00000000-0006-0000-0000-00002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 shapeId="0" xr:uid="{00000000-0006-0000-0000-00002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 shapeId="0" xr:uid="{00000000-0006-0000-0000-00002D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 shapeId="0" xr:uid="{00000000-0006-0000-0000-00002E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 shapeId="0" xr:uid="{00000000-0006-0000-0000-00002F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 shapeId="0" xr:uid="{00000000-0006-0000-0000-000030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 shapeId="0" xr:uid="{00000000-0006-0000-0000-000031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 shapeId="0" xr:uid="{00000000-0006-0000-0000-000032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 shapeId="0" xr:uid="{00000000-0006-0000-0000-000033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 shapeId="0" xr:uid="{00000000-0006-0000-0000-000034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 shapeId="0" xr:uid="{00000000-0006-0000-0000-000035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 shapeId="0" xr:uid="{00000000-0006-0000-0000-000036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 shapeId="0" xr:uid="{00000000-0006-0000-0000-000037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 shapeId="0" xr:uid="{00000000-0006-0000-0000-000038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$0.64      $6.44
    50   $0.53     $26.73
   100   $0.46     $46.04
   500   $0.36    $178.20
  1000   $0.31    $306.90
  2000   $0.29    $574.20
  4000   $0.27  $1,089.00</t>
        </r>
      </text>
    </comment>
    <comment ref="T7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£1.05      £5.25
    10   £1.05     £10.50
    50   £0.57     £28.30
   250   £0.37     £92.50
   500   £0.35    £173.50
  2000   £0.24    £482.00
 10000   £0.20  £2,000.00</t>
        </r>
      </text>
    </comment>
    <comment ref="AD7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$0.54      $5.35
    50   $0.54     $26.75
   100   $0.44     $44.50
  1000   $0.31    $307.00
 10000   $0.31  $3,070.00</t>
        </r>
      </text>
    </comment>
    <comment ref="AI7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$0.51      $5.09
    25   $0.49     $12.30
    50   $0.48     $23.80
   100   $0.46     $45.90
  2000   $0.26    $526.00
  4000   $0.26  $1,028.00
  8000   $0.26  $2,040.00
 12000   $0.25  $3,036.00</t>
        </r>
      </text>
    </comment>
    <comment ref="AN7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£0.67      £3.34
    20   £0.46      £9.20
   100   £0.29     £29.20
   500   £0.27    £134.00
  1000   £0.25    £246.00
  2000   £0.20    £406.00
  6000   £0.19  £1,158.00</t>
        </r>
      </text>
    </comment>
    <comment ref="O8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$1.92
    50   $0.12      $5.77
   100   $0.10      $9.74
   500   $0.07     $33.32
  1000   $0.06     $58.95
  4000   $0.05    $205.04
  8000   $0.05    $389.60</t>
        </r>
      </text>
    </comment>
    <comment ref="T8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£0.12      £1.16
   100   £0.10      £9.59
   150   £0.10     £14.38
   500   £0.06     £28.20
  1000   £0.05     £49.30
  2000   £0.04     £85.80
  4000   £0.04    £145.60
 20000   £0.03    £680.00
100000   £0.03  £2,700.00</t>
        </r>
      </text>
    </comment>
    <comment ref="AD8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$0.12      $1.16
    50   $0.12      $5.80
   100   $0.10      $9.80
  1000   $0.06     $59.00
 10000   $0.05    $480.00</t>
        </r>
      </text>
    </comment>
    <comment ref="AG8" authorId="0" shapeId="0" xr:uid="{00000000-0006-0000-0000-00004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8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$0.25      $2.47
    25   $0.21      $5.30
    50   $0.18      $8.85
   100   $0.14     $14.20
   250   $0.12     $30.75
   500   $0.10     $51.50
  1000   $0.09     $90.00
 20000   $0.05    $920.00
 40000   $0.04  $1,720.00</t>
        </r>
      </text>
    </comment>
    <comment ref="AS8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100   $0.09      $8.61
   300   $0.07     $21.03
  1000   $0.05     $54.22
  4000   $0.05    $180.84
 12000   $0.04    $528.00</t>
        </r>
      </text>
    </comment>
    <comment ref="O9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$0.82
   100   $0.01      $1.35
   500   $0.01      $4.81
  1000   $0.01      $7.56
  4000   $0.01     $25.32
  8000   $0.01     $46.24</t>
        </r>
      </text>
    </comment>
    <comment ref="T9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£25.20</t>
        </r>
      </text>
    </comment>
    <comment ref="AD9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$0.04      $1.75
   100   $0.02      $1.50
  1000   $0.01      $8.00
 10000   $0.00     $50.00</t>
        </r>
      </text>
    </comment>
    <comment ref="AI9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$0.00      $0.12
    50   $0.00      $0.25
   100   $0.00      $0.50
   250   $0.00      $1.25
   500   $0.00      $2.50
  1000   $0.00      $5.00</t>
        </r>
      </text>
    </comment>
    <comment ref="O10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$3.77
    50   $0.26     $13.21
   100   $0.23     $22.64
   500   $0.17     $84.89
  1000   $0.14    $143.37
  3000   $0.14    $407.49
  6000   $0.13    $769.68</t>
        </r>
      </text>
    </comment>
    <comment ref="R10" authorId="0" shapeId="0" xr:uid="{00000000-0006-0000-0000-00004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0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£0.46      £2.30
    50   £0.25     £12.50
   150   £0.25     £37.50
   250   £0.16     £39.00
   500   £0.15     £74.00
  1500   £0.10    £147.00
  3000   £0.08    £236.70
 15000   £0.07  £1,014.00</t>
        </r>
      </text>
    </comment>
    <comment ref="Y10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$0.14      $1.35
    30   $0.13      $3.82
   100   $0.12     $11.92
   500   $0.12     $57.80
  1000   $0.11    $113.80</t>
        </r>
      </text>
    </comment>
    <comment ref="AD10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$0.36      $3.56
    50   $0.36     $17.80
   100   $0.23     $23.40
  1000   $0.15    $147.00
 10000   $0.12  $1,160.00</t>
        </r>
      </text>
    </comment>
    <comment ref="AG10" authorId="0" shapeId="0" xr:uid="{00000000-0006-0000-0000-00004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0" authorId="0" shapeId="0" xr:uid="{00000000-0006-0000-0000-00004E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$0.50      $2.50
    10   $0.36      $3.56
    25   $0.32      $7.88
    50   $0.28     $13.75
   100   $0.23     $23.40
  3000   $0.12    $360.00
  6000   $0.12    $696.00</t>
        </r>
      </text>
    </comment>
    <comment ref="O11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$1.41
   100   $0.07      $6.56
   500   $0.06     $30.30
  1000   $0.05     $47.47
  2000   $0.05     $92.92
  4000   $0.05    $185.84
  8000   $0.04    $323.20
 12000   $0.04    $436.32
 28000   $0.03    $904.96
100000   $0.03  $2,727.00</t>
        </r>
      </text>
    </comment>
    <comment ref="AB11" authorId="0" shapeId="0" xr:uid="{00000000-0006-0000-0000-00005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1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$1.40
    50   $0.14      $7.00
   100   $0.07      $6.60
  1000   $0.05     $48.00
 10000   $0.04    $370.00</t>
        </r>
      </text>
    </comment>
    <comment ref="AN11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£0.11      £5.40
   250   £0.05     £12.25
   500   £0.05     £23.50
  1250   £0.04     £48.75
  2500   £0.04     £92.50</t>
        </r>
      </text>
    </comment>
    <comment ref="O17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$0.48      $4.78
    25   $0.44     $11.09
    50   $0.38     $18.77
   100   $0.34     $34.12
   250   $0.32     $80.19
   500   $0.29    $143.32
  1000   $0.23    $232.05
  3000   $0.22    $655.20
  5000   $0.21  $1,057.90
 10000   $0.20  $2,047.50
 25000   $0.20  $4,948.00</t>
        </r>
      </text>
    </comment>
    <comment ref="T17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£0.42      £0.42
    10   £0.34      £3.36
    25   £0.30      £7.40
    50   £0.26     £13.25
   100   £0.24     £24.00
   250   £0.22     £54.75
   500   £0.20     £97.50
  1000   £0.16    £158.00
  5000   £0.16    £780.00</t>
        </r>
      </text>
    </comment>
    <comment ref="AB17" authorId="0" shapeId="0" xr:uid="{00000000-0006-0000-0000-00005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7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$0.36      $3.63
    50   $0.36     $18.15
   100   $0.34     $34.00
  1000   $0.23    $232.00
 10000   $0.20  $2,030.00</t>
        </r>
      </text>
    </comment>
    <comment ref="AI17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$0.36      $3.58
    25   $0.35      $8.67
    50   $0.34     $16.80
   100   $0.32     $32.50
   250   $0.31     $76.50
  1000   $0.27    $270.00
  2000   $0.26    $520.00
  4000   $0.26  $1,028.00
  6000   $0.25  $1,512.00</t>
        </r>
      </text>
    </comment>
    <comment ref="AN17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£0.34      £3.43
   500   £0.21    £103.00
  1000   £0.17    £167.00
  2000   £0.16    £318.00
  5000   £0.15    £755.00
 10000   £0.15  £1,460.00
 20000   £0.14  £2,840.00
 25000   £0.14  £3,450.00
 50000   £0.14  £6,750.00</t>
        </r>
      </text>
    </comment>
    <comment ref="O18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100   $0.01      $0.84
  1000   $0.00      $3.79
  2500   $0.00      $8.22
  5000   $0.00     $13.60
 10000   $0.00     $23.60
 25000   $0.00     $51.75
 50000   $0.00     $95.00</t>
        </r>
      </text>
    </comment>
    <comment ref="T18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£0.18
   100   £0.01      £0.65
   150   £0.01      £0.98
   500   £0.01      £2.75
  1000   £0.00      £4.50
  2500   £0.00     £10.00
  5000   £0.00     £18.00
 25000   £0.00     £62.50</t>
        </r>
      </text>
    </comment>
    <comment ref="AD18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N18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£3.00
   500   £0.03     £14.00
  1000   £0.02     £25.00
  2000   £0.02     £40.00
  5000   £0.00     £15.00</t>
        </r>
      </text>
    </comment>
    <comment ref="AQ18" authorId="0" shapeId="0" xr:uid="{00000000-0006-0000-0000-00005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18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(USD):
  Qty  -  Unit$  -  Ext$
================
   100   $0.04      $3.69
  1000   $0.01     $13.30
  5000   $0.01     $26.95
 15000   $0.00     $68.10</t>
        </r>
      </text>
    </comment>
    <comment ref="O19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100   $0.01      $1.26
  1000   $0.01      $5.67
  2500   $0.00     $12.30
  5000   $0.00     $20.35
 10000   $0.00     $35.30
 25000   $0.00     $77.50
 50000   $0.00    $142.50</t>
        </r>
      </text>
    </comment>
    <comment ref="T19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£0.29
   100   £0.01      £1.02
   150   £0.01      £1.53
   500   £0.01      £4.00
  1000   £0.01      £5.80
  2500   £0.00     £12.50
  5000   £0.00     £20.00
 25000   £0.00     £85.00</t>
        </r>
      </text>
    </comment>
    <comment ref="AD19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$1.30
  1000   $0.00      $5.00
 10000   $0.00     $50.00</t>
        </r>
      </text>
    </comment>
    <comment ref="AI19" authorId="0" shapeId="0" xr:uid="{00000000-0006-0000-0000-00006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$0.10      $1.00
    25   $0.03      $0.78
    50   $0.02      $1.10
   100   $0.01      $1.30</t>
        </r>
      </text>
    </comment>
    <comment ref="AN19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£0.03      £1.60
  1250   £0.03     £37.50</t>
        </r>
      </text>
    </comment>
    <comment ref="O20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100   $0.01      $1.26
  1000   $0.01      $5.67
  2500   $0.00     $12.30
  5000   $0.00     $20.35
 10000   $0.00     $35.30
 25000   $0.00     $77.50
 50000   $0.00    $142.50</t>
        </r>
      </text>
    </comment>
    <comment ref="AD20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$1.00
  1000   $0.00      $4.00
 10000   $0.00     $30.00</t>
        </r>
      </text>
    </comment>
    <comment ref="O21" authorId="0" shapeId="0" xr:uid="{00000000-0006-0000-0000-00006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$1.40      $1.40
    10   $1.25     $12.51
    25   $1.19     $29.68
   100   $0.91     $91.16
   250   $0.81    $201.40
   500   $0.76    $381.60
  1000   $0.59    $593.60
  3000   $0.56  $1,691.76
  6000   $0.54  $3,256.32
 12000   $0.54  $6,480.00</t>
        </r>
      </text>
    </comment>
    <comment ref="AD21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$1.32      $1.32
    10   $1.12     $11.20
    50   $1.12     $56.00
   100   $0.86     $86.10
  1000   $0.56    $560.00
 10000   $0.50  $4,950.00</t>
        </r>
      </text>
    </comment>
    <comment ref="F23" authorId="0" shapeId="0" xr:uid="{00000000-0006-0000-0000-000068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 shapeId="0" xr:uid="{00000000-0006-0000-0000-000069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3" authorId="0" shapeId="0" xr:uid="{00000000-0006-0000-0000-00006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3" authorId="0" shapeId="0" xr:uid="{00000000-0006-0000-0000-00006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3" authorId="0" shapeId="0" xr:uid="{00000000-0006-0000-0000-00006C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3" authorId="0" shapeId="0" xr:uid="{00000000-0006-0000-0000-00006D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3" authorId="0" shapeId="0" xr:uid="{00000000-0006-0000-0000-00006E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 shapeId="0" xr:uid="{00000000-0006-0000-0000-00006F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23" authorId="0" shapeId="0" xr:uid="{00000000-0006-0000-0000-000070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 shapeId="0" xr:uid="{00000000-0006-0000-0000-000071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24" authorId="0" shapeId="0" xr:uid="{00000000-0006-0000-0000-000072000000}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<sst xmlns="http://schemas.openxmlformats.org/spreadsheetml/2006/main" count="162" uniqueCount="117">
  <si>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</si>
  <si>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</si>
  <si>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</si>
  <si>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</si>
  <si>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</si>
  <si>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</si>
  <si>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</si>
  <si>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</si>
  <si>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</si>
  <si>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10u</t>
  </si>
  <si>
    <t>C3216X5R1H106K160AB</t>
  </si>
  <si>
    <t>C2</t>
  </si>
  <si>
    <t>100n</t>
  </si>
  <si>
    <t>GRM188R72A104KA35D</t>
  </si>
  <si>
    <t>C3</t>
  </si>
  <si>
    <t>EMK107B7104KA-T</t>
  </si>
  <si>
    <t>C4,C5</t>
  </si>
  <si>
    <t>22u</t>
  </si>
  <si>
    <t>GRM21BD70J226ME44L</t>
  </si>
  <si>
    <t>D1</t>
  </si>
  <si>
    <t>LED</t>
  </si>
  <si>
    <t>LTST-C190EKT</t>
  </si>
  <si>
    <t>J1</t>
  </si>
  <si>
    <t>Vin_jmp</t>
  </si>
  <si>
    <t>J2</t>
  </si>
  <si>
    <t>Vin</t>
  </si>
  <si>
    <t>J3</t>
  </si>
  <si>
    <t>Vout_jmp</t>
  </si>
  <si>
    <t>J4</t>
  </si>
  <si>
    <t>Vout</t>
  </si>
  <si>
    <t>JP1</t>
  </si>
  <si>
    <t>EN</t>
  </si>
  <si>
    <t>L1</t>
  </si>
  <si>
    <t>12u</t>
  </si>
  <si>
    <t>SRN6045-150M</t>
  </si>
  <si>
    <t>R1</t>
  </si>
  <si>
    <t>51k</t>
  </si>
  <si>
    <t>RC0603FR-0751KL</t>
  </si>
  <si>
    <t>R2</t>
  </si>
  <si>
    <t>22.1k</t>
  </si>
  <si>
    <t>CRCW060322K1FKEA</t>
  </si>
  <si>
    <t>R3</t>
  </si>
  <si>
    <t>150</t>
  </si>
  <si>
    <t>CRCW0603150RFKEAC</t>
  </si>
  <si>
    <t>U1</t>
  </si>
  <si>
    <t>LMR50410XDBVR</t>
  </si>
  <si>
    <t>SOT-23-6_Handsoldering</t>
  </si>
  <si>
    <t>Total Purchase:</t>
  </si>
  <si>
    <t>Purchase description:</t>
  </si>
  <si>
    <t>Used currency rates:</t>
  </si>
  <si>
    <t>USD($)/GBP(£):</t>
  </si>
  <si>
    <t>Prj:</t>
  </si>
  <si>
    <t>SMPS LMR50410</t>
  </si>
  <si>
    <t>Co.:</t>
  </si>
  <si>
    <t>Jens SaalmÃ¼ller</t>
  </si>
  <si>
    <t>Prj date:</t>
  </si>
  <si>
    <t>04.02.2021 23:25:00</t>
  </si>
  <si>
    <t>Board Qty:</t>
  </si>
  <si>
    <t>Total Cost:</t>
  </si>
  <si>
    <t>Unit Cost:</t>
  </si>
  <si>
    <t>$ date:</t>
  </si>
  <si>
    <t>2021-02-04 23:26:19</t>
  </si>
  <si>
    <t>Arrow</t>
  </si>
  <si>
    <t>Avail</t>
  </si>
  <si>
    <t>Purch</t>
  </si>
  <si>
    <t>Cat#</t>
  </si>
  <si>
    <t>Digi-Key</t>
  </si>
  <si>
    <t>445-5998-1-ND</t>
  </si>
  <si>
    <t>490-3285-1-ND</t>
  </si>
  <si>
    <t>587-1240-1-ND</t>
  </si>
  <si>
    <t>490-14659-1-ND</t>
  </si>
  <si>
    <t>160-1182-1-ND</t>
  </si>
  <si>
    <t>SRN6045-150MCT-ND</t>
  </si>
  <si>
    <t>311-51.0KHRCT-ND</t>
  </si>
  <si>
    <t>541-22.1KHCT-ND</t>
  </si>
  <si>
    <t>541-4023-1-ND</t>
  </si>
  <si>
    <t>296-LMR50410XDBVRCT-ND</t>
  </si>
  <si>
    <t>Farnell</t>
  </si>
  <si>
    <t>2346951</t>
  </si>
  <si>
    <t>1828921</t>
  </si>
  <si>
    <t>2371381</t>
  </si>
  <si>
    <t>3582880</t>
  </si>
  <si>
    <t>NonStk</t>
  </si>
  <si>
    <t>2142796</t>
  </si>
  <si>
    <t>3495872</t>
  </si>
  <si>
    <t>1469780</t>
  </si>
  <si>
    <t>LCSC</t>
  </si>
  <si>
    <t>C703098</t>
  </si>
  <si>
    <t>Mouser</t>
  </si>
  <si>
    <t>810C3216X5R1H106K</t>
  </si>
  <si>
    <t>81GRM188R72A104KA35</t>
  </si>
  <si>
    <t>963EMK107B7104KAT</t>
  </si>
  <si>
    <t>81GRM21BD70J226ME4L</t>
  </si>
  <si>
    <t>859LTSTC190EKT</t>
  </si>
  <si>
    <t>652SRN6045150M</t>
  </si>
  <si>
    <t>603RC0603FR0751KL</t>
  </si>
  <si>
    <t>71CRCW060322.1KE3</t>
  </si>
  <si>
    <t>71CRCW0603150RFKEAC</t>
  </si>
  <si>
    <t>595LMR50410XDBVR</t>
  </si>
  <si>
    <t>Newark</t>
  </si>
  <si>
    <t>04X3298</t>
  </si>
  <si>
    <t>14T3325</t>
  </si>
  <si>
    <t>77M8430</t>
  </si>
  <si>
    <t>03AJ1654</t>
  </si>
  <si>
    <t>64T2382</t>
  </si>
  <si>
    <t>68R0103</t>
  </si>
  <si>
    <t>61M5363</t>
  </si>
  <si>
    <t>98AC0977</t>
  </si>
  <si>
    <t>RS Components</t>
  </si>
  <si>
    <t>7883076</t>
  </si>
  <si>
    <t>6920972</t>
  </si>
  <si>
    <t>7435125</t>
  </si>
  <si>
    <t>1995601</t>
  </si>
  <si>
    <t>6790009</t>
  </si>
  <si>
    <t>TME</t>
  </si>
  <si>
    <t>RC0603FR0751KL</t>
  </si>
  <si>
    <t>KiCost® v.1.1.4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</si>
</sst>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280"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sheet.octopart.com/EMK107B7104KA-T-Taiyo-Yuden-datasheet-8857305.pdf" TargetMode="External"/><Relationship Id="rId18" Type="http://schemas.openxmlformats.org/officeDocument/2006/relationships/hyperlink" Target="http://datasheet.octopart.com/GRM21BD70J226ME44L-Murata-datasheet-149523467.pdf" TargetMode="External"/><Relationship Id="rId26" Type="http://schemas.openxmlformats.org/officeDocument/2006/relationships/hyperlink" Target="https://octopart.com/click/track?c=1&amp;ai=8078&amp;sig=0885cd9&amp;sid=2401&amp;ppid=549820&amp;vpid=37629206&amp;ct=offers" TargetMode="External"/><Relationship Id="rId39" Type="http://schemas.openxmlformats.org/officeDocument/2006/relationships/hyperlink" Target="https://octopart.com/click/track?c=1&amp;ai=8078&amp;sig=0a33e10&amp;sid=10022&amp;ppid=55402885&amp;vpid=694057513&amp;ct=offers" TargetMode="External"/><Relationship Id="rId21" Type="http://schemas.openxmlformats.org/officeDocument/2006/relationships/hyperlink" Target="https://octopart.com/click/track?ai=8078&amp;sig=0b844be&amp;sid=27971&amp;ppid=46693533&amp;vpid=671881570&amp;ct=offers" TargetMode="External"/><Relationship Id="rId34" Type="http://schemas.openxmlformats.org/officeDocument/2006/relationships/hyperlink" Target="http://datasheet.octopart.com/RC0603FR-0751KL-Yageo-datasheet-141265859.pdf" TargetMode="External"/><Relationship Id="rId42" Type="http://schemas.openxmlformats.org/officeDocument/2006/relationships/hyperlink" Target="https://octopart.com/click/track?ai=8078&amp;sig=05a2d0c&amp;sid=459&amp;ppid=39454991&amp;vpid=114978355&amp;ct=offers" TargetMode="External"/><Relationship Id="rId47" Type="http://schemas.openxmlformats.org/officeDocument/2006/relationships/hyperlink" Target="https://octopart.com/click/track?ai=8078&amp;sig=0bec2fc&amp;sid=459&amp;ppid=45106288&amp;vpid=454353335&amp;ct=offers" TargetMode="External"/><Relationship Id="rId50" Type="http://schemas.openxmlformats.org/officeDocument/2006/relationships/hyperlink" Target="https://octopart.com/click/track?ai=8078&amp;sig=0f5e9be&amp;sid=459&amp;ppid=113687577&amp;vpid=672568760&amp;ct=offers" TargetMode="External"/><Relationship Id="rId7" Type="http://schemas.openxmlformats.org/officeDocument/2006/relationships/hyperlink" Target="http://datasheet.octopart.com/GRM188R72A104KA35D-Murata-datasheet-141275792.pdf" TargetMode="External"/><Relationship Id="rId2" Type="http://schemas.openxmlformats.org/officeDocument/2006/relationships/hyperlink" Target="https://octopart.com/click/track?ai=8078&amp;sig=03241c4&amp;sid=459&amp;ppid=25947786&amp;vpid=63974697&amp;ct=offers" TargetMode="External"/><Relationship Id="rId16" Type="http://schemas.openxmlformats.org/officeDocument/2006/relationships/hyperlink" Target="https://octopart.com/click/track?ai=8078&amp;sig=0535e84&amp;sid=2401&amp;ppid=7073162&amp;vpid=55244359&amp;ct=offers" TargetMode="External"/><Relationship Id="rId29" Type="http://schemas.openxmlformats.org/officeDocument/2006/relationships/hyperlink" Target="https://octopart.com/click/track?ai=8078&amp;sig=08ad8c7&amp;sid=459&amp;ppid=20579206&amp;vpid=41067311&amp;ct=offers" TargetMode="External"/><Relationship Id="rId11" Type="http://schemas.openxmlformats.org/officeDocument/2006/relationships/hyperlink" Target="https://octopart.com/click/track?c=1&amp;ai=8078&amp;sig=080716a&amp;sid=2402&amp;ppid=196904&amp;vpid=36143023&amp;ct=offers" TargetMode="External"/><Relationship Id="rId24" Type="http://schemas.openxmlformats.org/officeDocument/2006/relationships/hyperlink" Target="http://datasheet.octopart.com/LTST-C190EKT-Lite-On-datasheet-158334.pdf" TargetMode="External"/><Relationship Id="rId32" Type="http://schemas.openxmlformats.org/officeDocument/2006/relationships/hyperlink" Target="https://octopart.com/click/track?ai=8078&amp;sig=0299009&amp;sid=2402&amp;ppid=20579206&amp;vpid=42757162&amp;ct=offers" TargetMode="External"/><Relationship Id="rId37" Type="http://schemas.openxmlformats.org/officeDocument/2006/relationships/hyperlink" Target="https://octopart.com/click/track?ai=8078&amp;sig=0c853c3&amp;sid=2401&amp;ppid=55402885&amp;vpid=193244213&amp;ct=offers" TargetMode="External"/><Relationship Id="rId40" Type="http://schemas.openxmlformats.org/officeDocument/2006/relationships/hyperlink" Target="https://octopart.com/click/track?ai=8078&amp;sig=045c7a2&amp;sid=1532&amp;ppid=55402885&amp;vpid=603467610&amp;ct=offers" TargetMode="External"/><Relationship Id="rId45" Type="http://schemas.openxmlformats.org/officeDocument/2006/relationships/hyperlink" Target="https://octopart.com/click/track?ai=8078&amp;sig=0186414&amp;sid=2402&amp;ppid=39454991&amp;vpid=462488386&amp;ct=offers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octopart.com/click/track?ai=8078&amp;sig=05c868e&amp;sid=2402&amp;ppid=25947786&amp;vpid=88873699&amp;ct=offers" TargetMode="External"/><Relationship Id="rId10" Type="http://schemas.openxmlformats.org/officeDocument/2006/relationships/hyperlink" Target="https://octopart.com/click/track?ai=8078&amp;sig=017296d&amp;sid=2401&amp;ppid=196904&amp;vpid=37944309&amp;ct=offers" TargetMode="External"/><Relationship Id="rId19" Type="http://schemas.openxmlformats.org/officeDocument/2006/relationships/hyperlink" Target="https://octopart.com/click/track?ai=8078&amp;sig=01c54f6&amp;sid=459&amp;ppid=46693533&amp;vpid=410305489&amp;ct=offers" TargetMode="External"/><Relationship Id="rId31" Type="http://schemas.openxmlformats.org/officeDocument/2006/relationships/hyperlink" Target="https://octopart.com/click/track?c=1&amp;ai=8078&amp;sig=0127b0e&amp;sid=2401&amp;ppid=20579206&amp;vpid=44233779&amp;ct=offers" TargetMode="External"/><Relationship Id="rId44" Type="http://schemas.openxmlformats.org/officeDocument/2006/relationships/hyperlink" Target="https://octopart.com/click/track?ai=8078&amp;sig=08f0bb5&amp;sid=2401&amp;ppid=39454991&amp;vpid=115160504&amp;ct=offers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octopart.com/click/track?ai=8078&amp;sig=076b430&amp;sid=2401&amp;ppid=25947786&amp;vpid=87603418&amp;ct=offers" TargetMode="External"/><Relationship Id="rId9" Type="http://schemas.openxmlformats.org/officeDocument/2006/relationships/hyperlink" Target="https://octopart.com/click/track?ai=8078&amp;sig=05a3b35&amp;sid=819&amp;ppid=196904&amp;vpid=139137935&amp;ct=offers" TargetMode="External"/><Relationship Id="rId14" Type="http://schemas.openxmlformats.org/officeDocument/2006/relationships/hyperlink" Target="https://octopart.com/click/track?ai=8078&amp;sig=0167fc6&amp;sid=459&amp;ppid=7073162&amp;vpid=34089119&amp;ct=offers" TargetMode="External"/><Relationship Id="rId22" Type="http://schemas.openxmlformats.org/officeDocument/2006/relationships/hyperlink" Target="https://octopart.com/click/track?ai=8078&amp;sig=00c0a23&amp;sid=2401&amp;ppid=46693533&amp;vpid=238566790&amp;ct=offers" TargetMode="External"/><Relationship Id="rId27" Type="http://schemas.openxmlformats.org/officeDocument/2006/relationships/hyperlink" Target="https://octopart.com/click/track?ai=8078&amp;sig=091120b&amp;sid=10022&amp;ppid=549820&amp;vpid=199050215&amp;ct=offers" TargetMode="External"/><Relationship Id="rId30" Type="http://schemas.openxmlformats.org/officeDocument/2006/relationships/hyperlink" Target="https://octopart.com/click/track?ai=8078&amp;sig=03585e3&amp;sid=11744&amp;ppid=20579206&amp;vpid=237116973&amp;ct=offers" TargetMode="External"/><Relationship Id="rId35" Type="http://schemas.openxmlformats.org/officeDocument/2006/relationships/hyperlink" Target="https://octopart.com/click/track?ai=8078&amp;sig=07b28b7&amp;sid=459&amp;ppid=55402885&amp;vpid=188128931&amp;ct=offers" TargetMode="External"/><Relationship Id="rId43" Type="http://schemas.openxmlformats.org/officeDocument/2006/relationships/hyperlink" Target="https://octopart.com/click/track?ai=8078&amp;sig=0ccf821&amp;sid=819&amp;ppid=39454991&amp;vpid=249361440&amp;ct=offers" TargetMode="External"/><Relationship Id="rId48" Type="http://schemas.openxmlformats.org/officeDocument/2006/relationships/hyperlink" Target="https://octopart.com/click/track?ai=8078&amp;sig=0e7c6b7&amp;sid=2401&amp;ppid=45106288&amp;vpid=458952967&amp;ct=offers" TargetMode="External"/><Relationship Id="rId8" Type="http://schemas.openxmlformats.org/officeDocument/2006/relationships/hyperlink" Target="https://octopart.com/click/track?ai=8078&amp;sig=0552a4b&amp;sid=459&amp;ppid=196904&amp;vpid=1759958&amp;ct=offers" TargetMode="External"/><Relationship Id="rId51" Type="http://schemas.openxmlformats.org/officeDocument/2006/relationships/hyperlink" Target="https://octopart.com/click/track?ai=8078&amp;sig=0d6bab7&amp;sid=2401&amp;ppid=113687577&amp;vpid=673337070&amp;ct=offers" TargetMode="External"/><Relationship Id="rId3" Type="http://schemas.openxmlformats.org/officeDocument/2006/relationships/hyperlink" Target="https://octopart.com/click/track?ai=8078&amp;sig=04684bb&amp;sid=819&amp;ppid=25947786&amp;vpid=139697639&amp;ct=offers" TargetMode="External"/><Relationship Id="rId12" Type="http://schemas.openxmlformats.org/officeDocument/2006/relationships/hyperlink" Target="https://octopart.com/click/track?ai=8078&amp;sig=0129116&amp;sid=1532&amp;ppid=196904&amp;vpid=88673344&amp;ct=offers" TargetMode="External"/><Relationship Id="rId17" Type="http://schemas.openxmlformats.org/officeDocument/2006/relationships/hyperlink" Target="https://octopart.com/click/track?ai=8078&amp;sig=0968342&amp;sid=2402&amp;ppid=7073162&amp;vpid=11390399&amp;ct=offers" TargetMode="External"/><Relationship Id="rId25" Type="http://schemas.openxmlformats.org/officeDocument/2006/relationships/hyperlink" Target="https://octopart.com/click/track?ai=8078&amp;sig=09fe03b&amp;sid=459&amp;ppid=549820&amp;vpid=1960517&amp;ct=offers" TargetMode="External"/><Relationship Id="rId33" Type="http://schemas.openxmlformats.org/officeDocument/2006/relationships/hyperlink" Target="https://octopart.com/click/track?ai=8078&amp;sig=0ae32cb&amp;sid=10022&amp;ppid=20579206&amp;vpid=198998849&amp;ct=offers" TargetMode="External"/><Relationship Id="rId38" Type="http://schemas.openxmlformats.org/officeDocument/2006/relationships/hyperlink" Target="https://octopart.com/click/track?ai=8078&amp;sig=0c5d9ac&amp;sid=2402&amp;ppid=55402885&amp;vpid=191426353&amp;ct=offers" TargetMode="External"/><Relationship Id="rId46" Type="http://schemas.openxmlformats.org/officeDocument/2006/relationships/hyperlink" Target="https://octopart.com/click/track?ai=8078&amp;sig=010927c&amp;sid=10022&amp;ppid=39454991&amp;vpid=254528236&amp;ct=offers" TargetMode="External"/><Relationship Id="rId20" Type="http://schemas.openxmlformats.org/officeDocument/2006/relationships/hyperlink" Target="https://octopart.com/click/track?c=1&amp;ai=8078&amp;sig=03d89df&amp;sid=819&amp;ppid=46693533&amp;vpid=670692066&amp;ct=offers" TargetMode="External"/><Relationship Id="rId41" Type="http://schemas.openxmlformats.org/officeDocument/2006/relationships/hyperlink" Target="http://datasheet.octopart.com/CRCW060322K1FKEA-Vishay-datasheet-14722531.pdf" TargetMode="External"/><Relationship Id="rId1" Type="http://schemas.openxmlformats.org/officeDocument/2006/relationships/hyperlink" Target="http://datasheet.octopart.com/C3216X5R1H106K160AB-TDK-datasheet-41194876.pdf" TargetMode="External"/><Relationship Id="rId6" Type="http://schemas.openxmlformats.org/officeDocument/2006/relationships/hyperlink" Target="https://octopart.com/click/track?ai=8078&amp;sig=0a9befa&amp;sid=10022&amp;ppid=25947786&amp;vpid=199138006&amp;ct=offers" TargetMode="External"/><Relationship Id="rId15" Type="http://schemas.openxmlformats.org/officeDocument/2006/relationships/hyperlink" Target="https://octopart.com/click/track?ai=8078&amp;sig=037c17a&amp;sid=819&amp;ppid=7073162&amp;vpid=139695412&amp;ct=offers" TargetMode="External"/><Relationship Id="rId23" Type="http://schemas.openxmlformats.org/officeDocument/2006/relationships/hyperlink" Target="https://octopart.com/click/track?c=1&amp;ai=8078&amp;sig=0d769b7&amp;sid=2402&amp;ppid=46693533&amp;vpid=671481281&amp;ct=offers" TargetMode="External"/><Relationship Id="rId28" Type="http://schemas.openxmlformats.org/officeDocument/2006/relationships/hyperlink" Target="http://datasheet.octopart.com/SRN6045-150M-Bourns-datasheet-34433210.pdf" TargetMode="External"/><Relationship Id="rId36" Type="http://schemas.openxmlformats.org/officeDocument/2006/relationships/hyperlink" Target="https://octopart.com/click/track?ai=8078&amp;sig=0d835d3&amp;sid=819&amp;ppid=55402885&amp;vpid=653863471&amp;ct=offers" TargetMode="External"/><Relationship Id="rId49" Type="http://schemas.openxmlformats.org/officeDocument/2006/relationships/hyperlink" Target="https://octopart.com/click/track?ai=8078&amp;sig=090a38a&amp;sid=2402&amp;ppid=45106288&amp;vpid=634340184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pane xSplit="7" ySplit="6" topLeftCell="L7" activePane="bottomRight" state="frozen"/>
      <selection pane="topRight" activeCell="H1" sqref="H1"/>
      <selection pane="bottomLeft" activeCell="A7" sqref="A7"/>
      <selection pane="bottomRight" activeCell="AD7" sqref="AD7"/>
    </sheetView>
  </sheetViews>
  <sheetFormatPr baseColWidth="10" defaultColWidth="8.7265625" defaultRowHeight="14.5" outlineLevelCol="2" x14ac:dyDescent="0.35"/>
  <cols>
    <col min="1" max="2" width="9.1796875"/>
    <col min="3" max="3" width="9.1796875" outlineLevel="2"/>
    <col min="4" max="5" width="9.1796875" outlineLevel="1"/>
    <col min="6" max="6" width="9.1796875"/>
    <col min="7" max="7" width="15.7265625" customWidth="1"/>
    <col min="8" max="8" width="9.1796875" outlineLevel="1"/>
    <col min="9" max="10" width="9.1796875" outlineLevel="2"/>
    <col min="11" max="11" width="15.7265625" customWidth="1"/>
    <col min="12" max="12" width="15.7265625" customWidth="1" outlineLevel="2"/>
    <col min="13" max="13" width="9.1796875" outlineLevel="1"/>
    <col min="14" max="15" width="9.1796875" outlineLevel="2"/>
    <col min="16" max="16" width="15.7265625" customWidth="1"/>
    <col min="17" max="17" width="15.7265625" customWidth="1" outlineLevel="2"/>
    <col min="18" max="18" width="9.1796875" outlineLevel="1"/>
    <col min="19" max="20" width="9.1796875" outlineLevel="2"/>
    <col min="21" max="21" width="15.7265625" customWidth="1"/>
    <col min="22" max="22" width="15.7265625" customWidth="1" outlineLevel="2"/>
    <col min="23" max="23" width="9.1796875" outlineLevel="1"/>
    <col min="24" max="25" width="9.1796875" outlineLevel="2"/>
    <col min="26" max="26" width="15.7265625" customWidth="1"/>
    <col min="27" max="27" width="15.7265625" customWidth="1" outlineLevel="2"/>
    <col min="28" max="28" width="9.1796875" outlineLevel="1"/>
    <col min="29" max="30" width="9.1796875" outlineLevel="2"/>
    <col min="31" max="31" width="15.7265625" customWidth="1"/>
    <col min="32" max="32" width="15.7265625" customWidth="1" outlineLevel="2"/>
    <col min="33" max="33" width="9.1796875" outlineLevel="1"/>
    <col min="34" max="35" width="9.1796875" outlineLevel="2"/>
    <col min="36" max="36" width="15.7265625" customWidth="1"/>
    <col min="37" max="37" width="15.7265625" customWidth="1" outlineLevel="2"/>
    <col min="38" max="38" width="9.1796875" outlineLevel="1"/>
    <col min="39" max="40" width="9.1796875" outlineLevel="2"/>
    <col min="41" max="41" width="15.7265625" customWidth="1"/>
    <col min="42" max="42" width="15.7265625" customWidth="1" outlineLevel="2"/>
    <col min="43" max="43" width="9.1796875" outlineLevel="1"/>
    <col min="44" max="45" width="9.1796875" outlineLevel="2"/>
    <col min="46" max="46" width="15.7265625" customWidth="1"/>
    <col min="47" max="47" width="15.7265625" customWidth="1" outlineLevel="2"/>
  </cols>
  <sheetData>
    <row r="1" spans="1:47" ht="17" x14ac:dyDescent="0.4">
      <c r="A1" s="1" t="s">
        <v>51</v>
      </c>
      <c r="B1" s="2" t="s">
        <v>52</v>
      </c>
      <c r="F1" s="3" t="s">
        <v>57</v>
      </c>
      <c r="G1" s="3">
        <v>100</v>
      </c>
    </row>
    <row r="2" spans="1:47" ht="17" x14ac:dyDescent="0.35">
      <c r="A2" s="1" t="s">
        <v>53</v>
      </c>
      <c r="B2" s="2" t="s">
        <v>54</v>
      </c>
      <c r="F2" s="1" t="s">
        <v>59</v>
      </c>
      <c r="G2" s="4">
        <f ca="1">TotalCost/BoardQty</f>
        <v>2.5989893889154159</v>
      </c>
    </row>
    <row r="3" spans="1:47" ht="17" x14ac:dyDescent="0.35">
      <c r="A3" s="1" t="s">
        <v>55</v>
      </c>
      <c r="B3" s="2" t="s">
        <v>56</v>
      </c>
      <c r="F3" s="1" t="s">
        <v>58</v>
      </c>
      <c r="G3" s="5">
        <f ca="1">SUM(G7:G21)</f>
        <v>259.8989388915416</v>
      </c>
      <c r="K3" s="5">
        <f>SUM(K7:K21)</f>
        <v>0</v>
      </c>
      <c r="L3" s="6">
        <v>0</v>
      </c>
      <c r="P3" s="5">
        <f>SUM(P7:P21)</f>
        <v>4.82</v>
      </c>
      <c r="Q3" s="6">
        <v>0</v>
      </c>
      <c r="U3" s="5">
        <f>SUM(U7:U21)</f>
        <v>184.36848078353844</v>
      </c>
      <c r="V3" s="6">
        <v>0</v>
      </c>
      <c r="Z3" s="5">
        <f>SUM(Z7:Z21)</f>
        <v>23.84</v>
      </c>
      <c r="AA3" s="6">
        <v>0</v>
      </c>
      <c r="AE3" s="5">
        <f>SUM(AE7:AE21)</f>
        <v>9.0699999999999985</v>
      </c>
      <c r="AF3" s="6">
        <v>0</v>
      </c>
      <c r="AJ3" s="5">
        <f>SUM(AJ7:AJ21)</f>
        <v>141.20000000000002</v>
      </c>
      <c r="AK3" s="6">
        <v>0</v>
      </c>
      <c r="AO3" s="5">
        <f>SUM(AO7:AO21)</f>
        <v>104.15932839550037</v>
      </c>
      <c r="AP3" s="6">
        <v>0</v>
      </c>
      <c r="AT3" s="5">
        <f>SUM(AT7:AT21)</f>
        <v>12.298999999999999</v>
      </c>
      <c r="AU3" s="6">
        <v>0</v>
      </c>
    </row>
    <row r="4" spans="1:47" ht="17" x14ac:dyDescent="0.35">
      <c r="A4" s="1" t="s">
        <v>60</v>
      </c>
      <c r="B4" s="2" t="s">
        <v>61</v>
      </c>
    </row>
    <row r="5" spans="1:47" ht="18.5" x14ac:dyDescent="0.35">
      <c r="A5" s="13" t="s">
        <v>0</v>
      </c>
      <c r="B5" s="13"/>
      <c r="C5" s="13"/>
      <c r="D5" s="13"/>
      <c r="E5" s="13"/>
      <c r="F5" s="13"/>
      <c r="G5" s="13"/>
      <c r="H5" s="14" t="s">
        <v>62</v>
      </c>
      <c r="I5" s="14"/>
      <c r="J5" s="14"/>
      <c r="K5" s="14"/>
      <c r="L5" s="14"/>
      <c r="M5" s="15" t="s">
        <v>66</v>
      </c>
      <c r="N5" s="15"/>
      <c r="O5" s="15"/>
      <c r="P5" s="15"/>
      <c r="Q5" s="15"/>
      <c r="R5" s="16" t="s">
        <v>77</v>
      </c>
      <c r="S5" s="16"/>
      <c r="T5" s="16"/>
      <c r="U5" s="16"/>
      <c r="V5" s="16"/>
      <c r="W5" s="17" t="s">
        <v>86</v>
      </c>
      <c r="X5" s="17"/>
      <c r="Y5" s="17"/>
      <c r="Z5" s="17"/>
      <c r="AA5" s="17"/>
      <c r="AB5" s="18" t="s">
        <v>88</v>
      </c>
      <c r="AC5" s="18"/>
      <c r="AD5" s="18"/>
      <c r="AE5" s="18"/>
      <c r="AF5" s="18"/>
      <c r="AG5" s="19" t="s">
        <v>99</v>
      </c>
      <c r="AH5" s="19"/>
      <c r="AI5" s="19"/>
      <c r="AJ5" s="19"/>
      <c r="AK5" s="19"/>
      <c r="AL5" s="20" t="s">
        <v>108</v>
      </c>
      <c r="AM5" s="20"/>
      <c r="AN5" s="20"/>
      <c r="AO5" s="20"/>
      <c r="AP5" s="20"/>
      <c r="AQ5" s="21" t="s">
        <v>114</v>
      </c>
      <c r="AR5" s="21"/>
      <c r="AS5" s="21"/>
      <c r="AT5" s="21"/>
      <c r="AU5" s="21"/>
    </row>
    <row r="6" spans="1:47" ht="31" x14ac:dyDescent="0.3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63</v>
      </c>
      <c r="I6" s="7" t="s">
        <v>64</v>
      </c>
      <c r="J6" s="7" t="s">
        <v>6</v>
      </c>
      <c r="K6" s="7" t="s">
        <v>7</v>
      </c>
      <c r="L6" s="7" t="s">
        <v>65</v>
      </c>
      <c r="M6" s="7" t="s">
        <v>63</v>
      </c>
      <c r="N6" s="7" t="s">
        <v>64</v>
      </c>
      <c r="O6" s="7" t="s">
        <v>6</v>
      </c>
      <c r="P6" s="7" t="s">
        <v>7</v>
      </c>
      <c r="Q6" s="7" t="s">
        <v>65</v>
      </c>
      <c r="R6" s="7" t="s">
        <v>63</v>
      </c>
      <c r="S6" s="7" t="s">
        <v>64</v>
      </c>
      <c r="T6" s="7" t="s">
        <v>6</v>
      </c>
      <c r="U6" s="7" t="s">
        <v>7</v>
      </c>
      <c r="V6" s="7" t="s">
        <v>65</v>
      </c>
      <c r="W6" s="7" t="s">
        <v>63</v>
      </c>
      <c r="X6" s="7" t="s">
        <v>64</v>
      </c>
      <c r="Y6" s="7" t="s">
        <v>6</v>
      </c>
      <c r="Z6" s="7" t="s">
        <v>7</v>
      </c>
      <c r="AA6" s="7" t="s">
        <v>65</v>
      </c>
      <c r="AB6" s="7" t="s">
        <v>63</v>
      </c>
      <c r="AC6" s="7" t="s">
        <v>64</v>
      </c>
      <c r="AD6" s="7" t="s">
        <v>6</v>
      </c>
      <c r="AE6" s="7" t="s">
        <v>7</v>
      </c>
      <c r="AF6" s="7" t="s">
        <v>65</v>
      </c>
      <c r="AG6" s="7" t="s">
        <v>63</v>
      </c>
      <c r="AH6" s="7" t="s">
        <v>64</v>
      </c>
      <c r="AI6" s="7" t="s">
        <v>6</v>
      </c>
      <c r="AJ6" s="7" t="s">
        <v>7</v>
      </c>
      <c r="AK6" s="7" t="s">
        <v>65</v>
      </c>
      <c r="AL6" s="7" t="s">
        <v>63</v>
      </c>
      <c r="AM6" s="7" t="s">
        <v>64</v>
      </c>
      <c r="AN6" s="7" t="s">
        <v>6</v>
      </c>
      <c r="AO6" s="7" t="s">
        <v>7</v>
      </c>
      <c r="AP6" s="7" t="s">
        <v>65</v>
      </c>
      <c r="AQ6" s="7" t="s">
        <v>63</v>
      </c>
      <c r="AR6" s="7" t="s">
        <v>64</v>
      </c>
      <c r="AS6" s="7" t="s">
        <v>6</v>
      </c>
      <c r="AT6" s="7" t="s">
        <v>7</v>
      </c>
      <c r="AU6" s="7" t="s">
        <v>65</v>
      </c>
    </row>
    <row r="7" spans="1:47" x14ac:dyDescent="0.35">
      <c r="A7" s="8" t="s">
        <v>8</v>
      </c>
      <c r="B7" s="8" t="s">
        <v>9</v>
      </c>
      <c r="D7" s="8" t="s">
        <v>10</v>
      </c>
      <c r="E7" s="8">
        <f>BoardQty*1</f>
        <v>100</v>
      </c>
      <c r="F7" s="9">
        <f t="shared" ref="F7:F21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0.3778201725650448</v>
      </c>
      <c r="G7" s="9">
        <f t="shared" ref="G7:G21" ca="1" si="1">IFERROR(E7*F7,"")</f>
        <v>37.782017256504481</v>
      </c>
      <c r="M7" s="8">
        <v>223057</v>
      </c>
      <c r="N7">
        <v>1</v>
      </c>
      <c r="O7" s="9">
        <f>IFERROR(LOOKUP(IF(N7="",E7,N7),{0,1,10,50,100,500,1000,2000,4000},{0,0.85,0.644,0.5346,0.4604,0.3564,0.3069,0.2871,0.27225}),"")</f>
        <v>0.85</v>
      </c>
      <c r="P7" s="9">
        <f>IFERROR(IF(N7="",E7,N7)*O7,"")</f>
        <v>0.85</v>
      </c>
      <c r="Q7" s="10" t="s">
        <v>67</v>
      </c>
      <c r="R7" s="8">
        <v>9847</v>
      </c>
      <c r="T7" s="9">
        <f>IFERROR(USD_GBP*LOOKUP(IF(S7="",E7,S7),{0,1,5,10,50,250,500,2000,10000},{0,1.05,1.05,1.05,0.566,0.37,0.347,0.241,0.2}),"")</f>
        <v>0.73235006051991558</v>
      </c>
      <c r="U7" s="9">
        <f>IFERROR(IF(S7="",E7,S7)*T7,"")</f>
        <v>73.235006051991562</v>
      </c>
      <c r="V7" s="10" t="s">
        <v>78</v>
      </c>
      <c r="AB7" s="8">
        <v>143602</v>
      </c>
      <c r="AC7">
        <v>10</v>
      </c>
      <c r="AD7" s="9">
        <f>IFERROR(LOOKUP(IF(AC7="",E7,AC7),{0,1,10,50,100,1000,10000},{0,0.85,0.535,0.535,0.445,0.307,0.307}),"")</f>
        <v>0.53500000000000003</v>
      </c>
      <c r="AE7" s="9">
        <f>IFERROR(IF(AC7="",E7,AC7)*AD7,"")</f>
        <v>5.3500000000000005</v>
      </c>
      <c r="AF7" s="10" t="s">
        <v>89</v>
      </c>
      <c r="AG7" s="8">
        <v>5056</v>
      </c>
      <c r="AI7" s="9">
        <f>IFERROR(LOOKUP(IF(AH7="",E7,AH7),{0,1,10,25,50,100,2000,4000,8000,12000},{0,0.83,0.509,0.492,0.476,0.459,0.263,0.257,0.255,0.253}),"")</f>
        <v>0.45900000000000002</v>
      </c>
      <c r="AJ7" s="9">
        <f>IFERROR(IF(AH7="",E7,AH7)*AI7,"")</f>
        <v>45.9</v>
      </c>
      <c r="AK7" s="10" t="s">
        <v>100</v>
      </c>
      <c r="AL7" s="8">
        <v>22095</v>
      </c>
      <c r="AN7" s="9">
        <f>IFERROR(USD_GBP*LOOKUP(IF(AM7="",E7,AM7),{0,1,5,20,100,500,1000,2000,6000},{0,0.668,0.668,0.46,0.292,0.268,0.246,0.203,0.193}),"")</f>
        <v>0.3778201725650448</v>
      </c>
      <c r="AO7" s="9">
        <f>IFERROR(IF(AM7="",E7,AM7)*AN7,"")</f>
        <v>37.782017256504481</v>
      </c>
      <c r="AP7" s="10" t="s">
        <v>109</v>
      </c>
    </row>
    <row r="8" spans="1:47" x14ac:dyDescent="0.35">
      <c r="A8" s="8" t="s">
        <v>11</v>
      </c>
      <c r="B8" s="8" t="s">
        <v>12</v>
      </c>
      <c r="D8" s="8" t="s">
        <v>13</v>
      </c>
      <c r="E8" s="8">
        <f>BoardQty*1</f>
        <v>100</v>
      </c>
      <c r="F8" s="9">
        <f t="shared" ca="1" si="0"/>
        <v>8.6080000000000004E-2</v>
      </c>
      <c r="G8" s="9">
        <f t="shared" ca="1" si="1"/>
        <v>8.6080000000000005</v>
      </c>
      <c r="M8" s="8">
        <v>1811707</v>
      </c>
      <c r="N8">
        <v>1</v>
      </c>
      <c r="O8" s="9">
        <f>IFERROR(LOOKUP(IF(N8="",E8,N8),{0,1,10,50,100,500,1000,4000,8000},{0,0.28,0.192,0.1154,0.0974,0.06664,0.05895,0.05126,0.0487}),"")</f>
        <v>0.28000000000000003</v>
      </c>
      <c r="P8" s="9">
        <f>IFERROR(IF(N8="",E8,N8)*O8,"")</f>
        <v>0.28000000000000003</v>
      </c>
      <c r="Q8" s="10" t="s">
        <v>68</v>
      </c>
      <c r="R8" s="8">
        <v>9865</v>
      </c>
      <c r="T8" s="9">
        <f>IFERROR(USD_GBP*LOOKUP(IF(S8="",E8,S8),{0,1,10,100,150,500,1000,2000,4000,20000,100000},{0,0.116,0.116,0.0959,0.0959,0.0564,0.0493,0.0429,0.0364,0.034,0.027}),"")</f>
        <v>0.12408546078420479</v>
      </c>
      <c r="U8" s="9">
        <f>IFERROR(IF(S8="",E8,S8)*T8,"")</f>
        <v>12.408546078420478</v>
      </c>
      <c r="V8" s="10" t="s">
        <v>79</v>
      </c>
      <c r="AB8" s="8">
        <v>273109</v>
      </c>
      <c r="AC8">
        <v>1</v>
      </c>
      <c r="AD8" s="9">
        <f>IFERROR(LOOKUP(IF(AC8="",E8,AC8),{0,1,10,50,100,1000,10000},{0,0.28,0.116,0.116,0.098,0.059,0.048}),"")</f>
        <v>0.28000000000000003</v>
      </c>
      <c r="AE8" s="9">
        <f>IFERROR(IF(AC8="",E8,AC8)*AD8,"")</f>
        <v>0.28000000000000003</v>
      </c>
      <c r="AF8" s="10" t="s">
        <v>90</v>
      </c>
      <c r="AG8" s="11" t="s">
        <v>82</v>
      </c>
      <c r="AI8" s="9">
        <f>IFERROR(LOOKUP(IF(AH8="",E8,AH8),{0,1,10,25,50,100,250,500,1000,20000,40000},{0,0.247,0.247,0.212,0.177,0.142,0.123,0.103,0.09,0.046,0.043}),"")</f>
        <v>0.14199999999999999</v>
      </c>
      <c r="AJ8" s="9">
        <f>IFERROR(IF(AH8="",E8,AH8)*AI8,"")</f>
        <v>14.2</v>
      </c>
      <c r="AK8" s="10" t="s">
        <v>101</v>
      </c>
      <c r="AQ8" s="8">
        <v>1</v>
      </c>
      <c r="AS8" s="9">
        <f>IFERROR(LOOKUP(IF(AR8="",E8,AR8),{0,1,100,300,1000,4000,12000},{0,0.08608,0.08608,0.07009,0.05422,0.04521,0.044}),"")</f>
        <v>8.6080000000000004E-2</v>
      </c>
      <c r="AT8" s="9">
        <f>IFERROR(IF(AR8="",E8,AR8)*AS8,"")</f>
        <v>8.6080000000000005</v>
      </c>
      <c r="AU8" s="10" t="s">
        <v>13</v>
      </c>
    </row>
    <row r="9" spans="1:47" x14ac:dyDescent="0.35">
      <c r="A9" s="8" t="s">
        <v>14</v>
      </c>
      <c r="B9" s="8" t="s">
        <v>12</v>
      </c>
      <c r="D9" s="8" t="s">
        <v>15</v>
      </c>
      <c r="E9" s="8">
        <f>BoardQty*1</f>
        <v>100</v>
      </c>
      <c r="F9" s="9">
        <f t="shared" ca="1" si="0"/>
        <v>5.0000000000000001E-3</v>
      </c>
      <c r="G9" s="9">
        <f t="shared" ca="1" si="1"/>
        <v>0.5</v>
      </c>
      <c r="M9" s="8">
        <v>231211</v>
      </c>
      <c r="N9">
        <v>1</v>
      </c>
      <c r="O9" s="9">
        <f>IFERROR(LOOKUP(IF(N9="",E9,N9),{0,1,10,50,100,500,1000,4000,8000},{0,0.1,0.03,0.0164,0.0135,0.00962,0.00756,0.00633,0.00578}),"")</f>
        <v>0.1</v>
      </c>
      <c r="P9" s="9">
        <f>IFERROR(IF(N9="",E9,N9)*O9,"")</f>
        <v>0.1</v>
      </c>
      <c r="Q9" s="10" t="s">
        <v>69</v>
      </c>
      <c r="R9" s="8">
        <v>1412000</v>
      </c>
      <c r="T9" s="9">
        <f>IFERROR(USD_GBP*LOOKUP(IF(S9="",E9,S9),{0,1,4000},{0,0.0063,0.0063}),"")</f>
        <v>8.151599613560899E-3</v>
      </c>
      <c r="U9" s="9">
        <f>IFERROR(IF(S9="",E9,S9)*T9,"")</f>
        <v>0.81515996135608992</v>
      </c>
      <c r="V9" s="10" t="s">
        <v>80</v>
      </c>
      <c r="AB9" s="8">
        <v>432918</v>
      </c>
      <c r="AC9">
        <v>1</v>
      </c>
      <c r="AD9" s="9">
        <f>IFERROR(LOOKUP(IF(AC9="",E9,AC9),{0,1,10,50,100,1000,10000},{0,0.1,0.035,0.035,0.015,0.008,0.005}),"")</f>
        <v>0.1</v>
      </c>
      <c r="AE9" s="9">
        <f>IFERROR(IF(AC9="",E9,AC9)*AD9,"")</f>
        <v>0.1</v>
      </c>
      <c r="AF9" s="10" t="s">
        <v>91</v>
      </c>
      <c r="AG9" s="8">
        <v>1412000</v>
      </c>
      <c r="AI9" s="9">
        <f>IFERROR(LOOKUP(IF(AH9="",E9,AH9),{0,1,25,50,100,250,500,1000},{0,0.005,0.005,0.005,0.005,0.005,0.005,0.005}),"")</f>
        <v>5.0000000000000001E-3</v>
      </c>
      <c r="AJ9" s="9">
        <f>IFERROR(IF(AH9="",E9,AH9)*AI9,"")</f>
        <v>0.5</v>
      </c>
      <c r="AK9" s="10" t="s">
        <v>102</v>
      </c>
    </row>
    <row r="10" spans="1:47" x14ac:dyDescent="0.35">
      <c r="A10" s="8" t="s">
        <v>16</v>
      </c>
      <c r="B10" s="8" t="s">
        <v>17</v>
      </c>
      <c r="D10" s="8" t="s">
        <v>18</v>
      </c>
      <c r="E10" s="8">
        <f>BoardQty*2</f>
        <v>200</v>
      </c>
      <c r="F10" s="9">
        <f t="shared" ca="1" si="0"/>
        <v>0.1192</v>
      </c>
      <c r="G10" s="9">
        <f t="shared" ca="1" si="1"/>
        <v>23.84</v>
      </c>
      <c r="M10" s="8">
        <v>2878</v>
      </c>
      <c r="N10">
        <v>2</v>
      </c>
      <c r="O10" s="9">
        <f>IFERROR(LOOKUP(IF(N10="",E10,N10),{0,1,10,50,100,500,1000,3000,6000},{0,0.54,0.377,0.2642,0.2264,0.16978,0.14337,0.13583,0.12828}),"")</f>
        <v>0.54</v>
      </c>
      <c r="P10" s="9">
        <f>IFERROR(IF(N10="",E10,N10)*O10,"")</f>
        <v>1.08</v>
      </c>
      <c r="Q10" s="10" t="s">
        <v>70</v>
      </c>
      <c r="R10" s="11" t="s">
        <v>82</v>
      </c>
      <c r="T10" s="9">
        <f>IFERROR(USD_GBP*LOOKUP(IF(S10="",E10,S10),{0,1,5,50,150,250,500,1500,3000,15000},{0,0.46,0.46,0.25,0.25,0.156,0.148,0.098,0.0789,0.0676}),"")</f>
        <v>0.3234761751413055</v>
      </c>
      <c r="U10" s="9">
        <f>IFERROR(IF(S10="",E10,S10)*T10,"")</f>
        <v>64.695235028261095</v>
      </c>
      <c r="V10" s="10" t="s">
        <v>81</v>
      </c>
      <c r="W10" s="8">
        <v>2973</v>
      </c>
      <c r="Y10" s="9">
        <f>IFERROR(LOOKUP(IF(X10="",E10,X10),{0,1,10,30,100,500,1000},{0,0.1792,0.1353,0.1273,0.1192,0.1156,0.1138}),"")</f>
        <v>0.1192</v>
      </c>
      <c r="Z10" s="9">
        <f>IFERROR(IF(X10="",E10,X10)*Y10,"")</f>
        <v>23.84</v>
      </c>
      <c r="AA10" s="10" t="s">
        <v>87</v>
      </c>
      <c r="AB10" s="8">
        <v>28497</v>
      </c>
      <c r="AC10">
        <v>2</v>
      </c>
      <c r="AD10" s="9">
        <f>IFERROR(LOOKUP(IF(AC10="",E10,AC10),{0,1,10,50,100,1000,10000},{0,0.5,0.356,0.356,0.234,0.147,0.116}),"")</f>
        <v>0.5</v>
      </c>
      <c r="AE10" s="9">
        <f>IFERROR(IF(AC10="",E10,AC10)*AD10,"")</f>
        <v>1</v>
      </c>
      <c r="AF10" s="10" t="s">
        <v>92</v>
      </c>
      <c r="AG10" s="11" t="s">
        <v>82</v>
      </c>
      <c r="AI10" s="9">
        <f>IFERROR(LOOKUP(IF(AH10="",E10,AH10),{0,1,5,10,25,50,100,3000,6000},{0,0.5,0.5,0.356,0.315,0.275,0.234,0.12,0.116}),"")</f>
        <v>0.23400000000000001</v>
      </c>
      <c r="AJ10" s="9">
        <f>IFERROR(IF(AH10="",E10,AH10)*AI10,"")</f>
        <v>46.800000000000004</v>
      </c>
      <c r="AK10" s="10" t="s">
        <v>103</v>
      </c>
    </row>
    <row r="11" spans="1:47" x14ac:dyDescent="0.35">
      <c r="A11" s="8" t="s">
        <v>19</v>
      </c>
      <c r="B11" s="8" t="s">
        <v>20</v>
      </c>
      <c r="D11" s="8" t="s">
        <v>21</v>
      </c>
      <c r="E11" s="8">
        <f t="shared" ref="E11:E21" si="2">BoardQty*1</f>
        <v>100</v>
      </c>
      <c r="F11" s="9">
        <f t="shared" ca="1" si="0"/>
        <v>0.13974170766104396</v>
      </c>
      <c r="G11" s="9">
        <f t="shared" ca="1" si="1"/>
        <v>13.974170766104397</v>
      </c>
      <c r="M11" s="8">
        <v>80724</v>
      </c>
      <c r="N11">
        <v>1</v>
      </c>
      <c r="O11" s="9">
        <f>IFERROR(LOOKUP(IF(N11="",E11,N11),{0,1,10,100,500,1000,2000,4000,8000,12000,28000,100000},{0,0.26,0.141,0.0656,0.0606,0.04747,0.04646,0.04646,0.0404,0.03636,0.03232,0.02727}),"")</f>
        <v>0.26</v>
      </c>
      <c r="P11" s="9">
        <f>IFERROR(IF(N11="",E11,N11)*O11,"")</f>
        <v>0.26</v>
      </c>
      <c r="Q11" s="10" t="s">
        <v>71</v>
      </c>
      <c r="AB11" s="11" t="s">
        <v>82</v>
      </c>
      <c r="AC11">
        <v>1</v>
      </c>
      <c r="AD11" s="9">
        <f>IFERROR(LOOKUP(IF(AC11="",E11,AC11),{0,1,10,50,100,1000,10000},{0,0.26,0.14,0.14,0.066,0.048,0.037}),"")</f>
        <v>0.26</v>
      </c>
      <c r="AE11" s="9">
        <f>IFERROR(IF(AC11="",E11,AC11)*AD11,"")</f>
        <v>0.26</v>
      </c>
      <c r="AF11" s="10" t="s">
        <v>93</v>
      </c>
      <c r="AL11" s="8">
        <v>1050</v>
      </c>
      <c r="AN11" s="9">
        <f>IFERROR(USD_GBP*LOOKUP(IF(AM11="",E11,AM11),{0,1,50,250,500,1250,2500},{0,0.108,0.108,0.049,0.047,0.039,0.037}),"")</f>
        <v>0.13974170766104396</v>
      </c>
      <c r="AO11" s="9">
        <f>IFERROR(IF(AM11="",E11,AM11)*AN11,"")</f>
        <v>13.974170766104397</v>
      </c>
      <c r="AP11" s="10" t="s">
        <v>110</v>
      </c>
    </row>
    <row r="12" spans="1:47" x14ac:dyDescent="0.35">
      <c r="A12" s="8" t="s">
        <v>22</v>
      </c>
      <c r="B12" s="8" t="s">
        <v>23</v>
      </c>
      <c r="E12" s="8">
        <f t="shared" si="2"/>
        <v>100</v>
      </c>
      <c r="F12" s="9">
        <f t="shared" ca="1" si="0"/>
        <v>0</v>
      </c>
      <c r="G12" s="9">
        <f t="shared" ca="1" si="1"/>
        <v>0</v>
      </c>
    </row>
    <row r="13" spans="1:47" x14ac:dyDescent="0.35">
      <c r="A13" s="8" t="s">
        <v>24</v>
      </c>
      <c r="B13" s="8" t="s">
        <v>25</v>
      </c>
      <c r="E13" s="8">
        <f t="shared" si="2"/>
        <v>100</v>
      </c>
      <c r="F13" s="9">
        <f t="shared" ca="1" si="0"/>
        <v>0</v>
      </c>
      <c r="G13" s="9">
        <f t="shared" ca="1" si="1"/>
        <v>0</v>
      </c>
    </row>
    <row r="14" spans="1:47" x14ac:dyDescent="0.35">
      <c r="A14" s="8" t="s">
        <v>26</v>
      </c>
      <c r="B14" s="8" t="s">
        <v>27</v>
      </c>
      <c r="E14" s="8">
        <f t="shared" si="2"/>
        <v>100</v>
      </c>
      <c r="F14" s="9">
        <f t="shared" ca="1" si="0"/>
        <v>0</v>
      </c>
      <c r="G14" s="9">
        <f t="shared" ca="1" si="1"/>
        <v>0</v>
      </c>
    </row>
    <row r="15" spans="1:47" x14ac:dyDescent="0.35">
      <c r="A15" s="8" t="s">
        <v>28</v>
      </c>
      <c r="B15" s="8" t="s">
        <v>29</v>
      </c>
      <c r="E15" s="8">
        <f t="shared" si="2"/>
        <v>100</v>
      </c>
      <c r="F15" s="9">
        <f t="shared" ca="1" si="0"/>
        <v>0</v>
      </c>
      <c r="G15" s="9">
        <f t="shared" ca="1" si="1"/>
        <v>0</v>
      </c>
    </row>
    <row r="16" spans="1:47" x14ac:dyDescent="0.35">
      <c r="A16" s="8" t="s">
        <v>30</v>
      </c>
      <c r="B16" s="8" t="s">
        <v>31</v>
      </c>
      <c r="E16" s="8">
        <f t="shared" si="2"/>
        <v>100</v>
      </c>
      <c r="F16" s="9">
        <f t="shared" ca="1" si="0"/>
        <v>0</v>
      </c>
      <c r="G16" s="9">
        <f t="shared" ca="1" si="1"/>
        <v>0</v>
      </c>
    </row>
    <row r="17" spans="1:47" x14ac:dyDescent="0.35">
      <c r="A17" s="8" t="s">
        <v>32</v>
      </c>
      <c r="B17" s="8" t="s">
        <v>33</v>
      </c>
      <c r="D17" s="8" t="s">
        <v>34</v>
      </c>
      <c r="E17" s="8">
        <f t="shared" si="2"/>
        <v>100</v>
      </c>
      <c r="F17" s="9">
        <f t="shared" ca="1" si="0"/>
        <v>0.31053712813565326</v>
      </c>
      <c r="G17" s="9">
        <f t="shared" ca="1" si="1"/>
        <v>31.053712813565326</v>
      </c>
      <c r="M17" s="8">
        <v>19980</v>
      </c>
      <c r="N17">
        <v>1</v>
      </c>
      <c r="O17" s="9">
        <f>IFERROR(LOOKUP(IF(N17="",E17,N17),{0,1,10,25,50,100,250,500,1000,3000,5000,10000,25000},{0,0.55,0.478,0.4436,0.3754,0.3412,0.32076,0.28664,0.23205,0.2184,0.21158,0.20475,0.19792}),"")</f>
        <v>0.55000000000000004</v>
      </c>
      <c r="P17" s="9">
        <f>IFERROR(IF(N17="",E17,N17)*O17,"")</f>
        <v>0.55000000000000004</v>
      </c>
      <c r="Q17" s="10" t="s">
        <v>72</v>
      </c>
      <c r="R17" s="8">
        <v>849</v>
      </c>
      <c r="T17" s="9">
        <f>IFERROR(USD_GBP*LOOKUP(IF(S17="",E17,S17),{0,1,10,25,50,100,250,500,1000,5000},{0,0.419,0.336,0.296,0.265,0.24,0.219,0.195,0.158,0.156}),"")</f>
        <v>0.31053712813565326</v>
      </c>
      <c r="U17" s="9">
        <f>IFERROR(IF(S17="",E17,S17)*T17,"")</f>
        <v>31.053712813565326</v>
      </c>
      <c r="V17" s="10" t="s">
        <v>83</v>
      </c>
      <c r="AB17" s="11" t="s">
        <v>82</v>
      </c>
      <c r="AC17">
        <v>1</v>
      </c>
      <c r="AD17" s="9">
        <f>IFERROR(LOOKUP(IF(AC17="",E17,AC17),{0,1,10,50,100,1000,10000},{0,0.46,0.363,0.363,0.34,0.232,0.203}),"")</f>
        <v>0.46</v>
      </c>
      <c r="AE17" s="9">
        <f>IFERROR(IF(AC17="",E17,AC17)*AD17,"")</f>
        <v>0.46</v>
      </c>
      <c r="AF17" s="10" t="s">
        <v>94</v>
      </c>
      <c r="AG17" s="8">
        <v>1000</v>
      </c>
      <c r="AI17" s="9">
        <f>IFERROR(LOOKUP(IF(AH17="",E17,AH17),{0,1,10,25,50,100,250,1000,2000,4000,6000},{0,0.5,0.358,0.347,0.336,0.325,0.306,0.27,0.26,0.257,0.252}),"")</f>
        <v>0.32500000000000001</v>
      </c>
      <c r="AJ17" s="9">
        <f>IFERROR(IF(AH17="",E17,AH17)*AI17,"")</f>
        <v>32.5</v>
      </c>
      <c r="AK17" s="10" t="s">
        <v>104</v>
      </c>
      <c r="AL17" s="8">
        <v>970</v>
      </c>
      <c r="AN17" s="9">
        <f>IFERROR(USD_GBP*LOOKUP(IF(AM17="",E17,AM17),{0,1,10,500,1000,2000,5000,10000,20000,25000,50000},{0,0.343,0.343,0.206,0.167,0.159,0.151,0.146,0.142,0.138,0.135}),"")</f>
        <v>0.44380931229387116</v>
      </c>
      <c r="AO17" s="9">
        <f>IFERROR(IF(AM17="",E17,AM17)*AN17,"")</f>
        <v>44.380931229387116</v>
      </c>
      <c r="AP17" s="10" t="s">
        <v>111</v>
      </c>
    </row>
    <row r="18" spans="1:47" x14ac:dyDescent="0.35">
      <c r="A18" s="8" t="s">
        <v>35</v>
      </c>
      <c r="B18" s="8" t="s">
        <v>36</v>
      </c>
      <c r="D18" s="8" t="s">
        <v>37</v>
      </c>
      <c r="E18" s="8">
        <f t="shared" si="2"/>
        <v>100</v>
      </c>
      <c r="F18" s="9">
        <f t="shared" ca="1" si="0"/>
        <v>8.4103805536739421E-3</v>
      </c>
      <c r="G18" s="9">
        <f t="shared" ca="1" si="1"/>
        <v>0.84103805536739418</v>
      </c>
      <c r="M18" s="8">
        <v>2910376</v>
      </c>
      <c r="N18">
        <v>1</v>
      </c>
      <c r="O18" s="9">
        <f>IFERROR(LOOKUP(IF(N18="",E18,N18),{0,1,10,100,1000,2500,5000,10000,25000,50000},{0,0.1,0.021,0.0084,0.00379,0.00329,0.00272,0.00236,0.00207,0.0019}),"")</f>
        <v>0.1</v>
      </c>
      <c r="P18" s="9">
        <f>IFERROR(IF(N18="",E18,N18)*O18,"")</f>
        <v>0.1</v>
      </c>
      <c r="Q18" s="10" t="s">
        <v>73</v>
      </c>
      <c r="R18" s="8">
        <v>224530</v>
      </c>
      <c r="T18" s="9">
        <f>IFERROR(USD_GBP*LOOKUP(IF(S18="",E18,S18),{0,1,10,100,150,500,1000,2500,5000,25000},{0,0.0182,0.0182,0.0065,0.0065,0.0055,0.0045,0.004,0.0036,0.0025}),"")</f>
        <v>8.4103805536739421E-3</v>
      </c>
      <c r="U18" s="9">
        <f>IFERROR(IF(S18="",E18,S18)*T18,"")</f>
        <v>0.84103805536739418</v>
      </c>
      <c r="V18" s="10" t="s">
        <v>84</v>
      </c>
      <c r="AB18" s="8">
        <v>522445</v>
      </c>
      <c r="AC18">
        <v>1</v>
      </c>
      <c r="AD18" s="9">
        <f>IFERROR(LOOKUP(IF(AC18="",E18,AC18),{0,1,10,50,100,1000,10000},{0,0.1,0.018,0.018,0.006,0.005,0.003}),"")</f>
        <v>0.1</v>
      </c>
      <c r="AE18" s="9">
        <f>IFERROR(IF(AC18="",E18,AC18)*AD18,"")</f>
        <v>0.1</v>
      </c>
      <c r="AF18" s="10" t="s">
        <v>95</v>
      </c>
      <c r="AG18" s="8">
        <v>10000</v>
      </c>
      <c r="AK18" s="10" t="s">
        <v>105</v>
      </c>
      <c r="AL18" s="8">
        <v>4600</v>
      </c>
      <c r="AN18" s="9">
        <f>IFERROR(USD_GBP*LOOKUP(IF(AM18="",E18,AM18),{0,1,100,500,1000,2000,5000},{0,0.03,0.03,0.028,0.025,0.02,0.003}),"")</f>
        <v>3.8817141016956658E-2</v>
      </c>
      <c r="AO18" s="9">
        <f>IFERROR(IF(AM18="",E18,AM18)*AN18,"")</f>
        <v>3.8817141016956658</v>
      </c>
      <c r="AP18" s="10" t="s">
        <v>112</v>
      </c>
      <c r="AQ18" s="11" t="s">
        <v>82</v>
      </c>
      <c r="AS18" s="9">
        <f>IFERROR(LOOKUP(IF(AR18="",E18,AR18),{0,1,100,1000,5000,15000},{0,0.03691,0.03691,0.0133,0.00539,0.00454}),"")</f>
        <v>3.6909999999999998E-2</v>
      </c>
      <c r="AT18" s="9">
        <f>IFERROR(IF(AR18="",E18,AR18)*AS18,"")</f>
        <v>3.6909999999999998</v>
      </c>
      <c r="AU18" s="10" t="s">
        <v>115</v>
      </c>
    </row>
    <row r="19" spans="1:47" x14ac:dyDescent="0.35">
      <c r="A19" s="8" t="s">
        <v>38</v>
      </c>
      <c r="B19" s="8" t="s">
        <v>39</v>
      </c>
      <c r="D19" s="8" t="s">
        <v>40</v>
      </c>
      <c r="E19" s="8">
        <f t="shared" si="2"/>
        <v>100</v>
      </c>
      <c r="F19" s="9">
        <f t="shared" ca="1" si="0"/>
        <v>1.2999999999999999E-2</v>
      </c>
      <c r="G19" s="9">
        <f t="shared" ca="1" si="1"/>
        <v>1.3</v>
      </c>
      <c r="M19" s="8">
        <v>23064</v>
      </c>
      <c r="N19">
        <v>1</v>
      </c>
      <c r="O19" s="9">
        <f>IFERROR(LOOKUP(IF(N19="",E19,N19),{0,1,10,100,1000,2500,5000,10000,25000,50000},{0,0.1,0.031,0.0126,0.00567,0.00492,0.00407,0.00353,0.0031,0.00285}),"")</f>
        <v>0.1</v>
      </c>
      <c r="P19" s="9">
        <f>IFERROR(IF(N19="",E19,N19)*O19,"")</f>
        <v>0.1</v>
      </c>
      <c r="Q19" s="10" t="s">
        <v>74</v>
      </c>
      <c r="R19" s="8">
        <v>305000</v>
      </c>
      <c r="T19" s="9">
        <f>IFERROR(USD_GBP*LOOKUP(IF(S19="",E19,S19),{0,1,10,100,150,500,1000,2500,5000,25000},{0,0.0294,0.0294,0.0102,0.0102,0.008,0.0058,0.005,0.004,0.0034}),"")</f>
        <v>1.3197827945765265E-2</v>
      </c>
      <c r="U19" s="9">
        <f>IFERROR(IF(S19="",E19,S19)*T19,"")</f>
        <v>1.3197827945765266</v>
      </c>
      <c r="V19" s="10" t="s">
        <v>85</v>
      </c>
      <c r="AB19" s="8">
        <v>44255</v>
      </c>
      <c r="AC19">
        <v>1</v>
      </c>
      <c r="AD19" s="9">
        <f>IFERROR(LOOKUP(IF(AC19="",E19,AC19),{0,1,10,50,100,1000,10000},{0,0.1,0.031,0.031,0.013,0.005,0.005}),"")</f>
        <v>0.1</v>
      </c>
      <c r="AE19" s="9">
        <f>IFERROR(IF(AC19="",E19,AC19)*AD19,"")</f>
        <v>0.1</v>
      </c>
      <c r="AF19" s="10" t="s">
        <v>96</v>
      </c>
      <c r="AG19" s="8">
        <v>665000</v>
      </c>
      <c r="AI19" s="9">
        <f>IFERROR(LOOKUP(IF(AH19="",E19,AH19),{0,1,10,25,50,100},{0,0.005,0.1,0.031,0.022,0.013}),"")</f>
        <v>1.2999999999999999E-2</v>
      </c>
      <c r="AJ19" s="9">
        <f>IFERROR(IF(AH19="",E19,AH19)*AI19,"")</f>
        <v>1.3</v>
      </c>
      <c r="AK19" s="10" t="s">
        <v>106</v>
      </c>
      <c r="AL19" s="8">
        <v>30650</v>
      </c>
      <c r="AN19" s="9">
        <f>IFERROR(USD_GBP*LOOKUP(IF(AM19="",E19,AM19),{0,1,50,1250},{0,0.032,0.032,0.03}),"")</f>
        <v>4.1404950418087103E-2</v>
      </c>
      <c r="AO19" s="9">
        <f>IFERROR(IF(AM19="",E19,AM19)*AN19,"")</f>
        <v>4.1404950418087099</v>
      </c>
      <c r="AP19" s="10" t="s">
        <v>113</v>
      </c>
    </row>
    <row r="20" spans="1:47" x14ac:dyDescent="0.35">
      <c r="A20" s="8" t="s">
        <v>41</v>
      </c>
      <c r="B20" s="8" t="s">
        <v>42</v>
      </c>
      <c r="D20" s="8" t="s">
        <v>43</v>
      </c>
      <c r="E20" s="8">
        <f t="shared" si="2"/>
        <v>100</v>
      </c>
      <c r="F20" s="9">
        <f t="shared" ca="1" si="0"/>
        <v>0.1</v>
      </c>
      <c r="G20" s="9">
        <f t="shared" ca="1" si="1"/>
        <v>10</v>
      </c>
      <c r="M20" s="8">
        <v>64679</v>
      </c>
      <c r="N20">
        <v>1</v>
      </c>
      <c r="O20" s="9">
        <f>IFERROR(LOOKUP(IF(N20="",E20,N20),{0,1,10,100,1000,2500,5000,10000,25000,50000},{0,0.1,0.031,0.0126,0.00567,0.00492,0.00407,0.00353,0.0031,0.00285}),"")</f>
        <v>0.1</v>
      </c>
      <c r="P20" s="9">
        <f>IFERROR(IF(N20="",E20,N20)*O20,"")</f>
        <v>0.1</v>
      </c>
      <c r="Q20" s="10" t="s">
        <v>75</v>
      </c>
      <c r="AB20" s="8">
        <v>31779</v>
      </c>
      <c r="AC20">
        <v>1</v>
      </c>
      <c r="AD20" s="9">
        <f>IFERROR(LOOKUP(IF(AC20="",E20,AC20),{0,1,10,50,100,1000,10000},{0,0.1,0.026,0.026,0.01,0.004,0.003}),"")</f>
        <v>0.1</v>
      </c>
      <c r="AE20" s="9">
        <f>IFERROR(IF(AC20="",E20,AC20)*AD20,"")</f>
        <v>0.1</v>
      </c>
      <c r="AF20" s="10" t="s">
        <v>97</v>
      </c>
      <c r="AG20" s="8">
        <v>15000</v>
      </c>
      <c r="AK20" s="10" t="s">
        <v>107</v>
      </c>
    </row>
    <row r="21" spans="1:47" x14ac:dyDescent="0.35">
      <c r="A21" s="8" t="s">
        <v>44</v>
      </c>
      <c r="B21" s="8" t="s">
        <v>45</v>
      </c>
      <c r="C21" s="8" t="s">
        <v>46</v>
      </c>
      <c r="D21" s="8" t="s">
        <v>45</v>
      </c>
      <c r="E21" s="8">
        <f t="shared" si="2"/>
        <v>100</v>
      </c>
      <c r="F21" s="9">
        <f t="shared" ca="1" si="0"/>
        <v>1.32</v>
      </c>
      <c r="G21" s="9">
        <f t="shared" ca="1" si="1"/>
        <v>132</v>
      </c>
      <c r="M21" s="8">
        <v>1905</v>
      </c>
      <c r="N21">
        <v>1</v>
      </c>
      <c r="O21" s="9">
        <f>IFERROR(LOOKUP(IF(N21="",E21,N21),{0,1,10,25,100,250,500,1000,3000,6000,12000},{0,1.4,1.251,1.1872,0.9116,0.8056,0.7632,0.5936,0.56392,0.54272,0.54}),"")</f>
        <v>1.4</v>
      </c>
      <c r="P21" s="9">
        <f>IFERROR(IF(N21="",E21,N21)*O21,"")</f>
        <v>1.4</v>
      </c>
      <c r="Q21" s="10" t="s">
        <v>76</v>
      </c>
      <c r="AB21" s="8">
        <v>2708</v>
      </c>
      <c r="AC21">
        <v>1</v>
      </c>
      <c r="AD21" s="9">
        <f>IFERROR(LOOKUP(IF(AC21="",E21,AC21),{0,1,10,50,100,1000,10000},{0,1.32,1.12,1.12,0.861,0.56,0.495}),"")</f>
        <v>1.32</v>
      </c>
      <c r="AE21" s="9">
        <f>IFERROR(IF(AC21="",E21,AC21)*AD21,"")</f>
        <v>1.32</v>
      </c>
      <c r="AF21" s="10" t="s">
        <v>98</v>
      </c>
    </row>
    <row r="23" spans="1:47" ht="17" x14ac:dyDescent="0.35">
      <c r="B23" s="12" t="s">
        <v>49</v>
      </c>
      <c r="F23" s="1" t="s">
        <v>47</v>
      </c>
      <c r="G23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13.889999999999999</v>
      </c>
      <c r="I23" s="6" t="str">
        <f>IFERROR(IF(OR(I7:I21),COUNTIFS(I7:I21,"&gt;0",K7:K21,"&lt;&gt;")&amp;" of "&amp;(ROWS(K7:K21)-COUNTBLANK(K7:K21))&amp;" parts purchased",""),"")</f>
        <v/>
      </c>
      <c r="K23" s="5">
        <f>SUMIF(I7:I21,"&gt;0",K7:K21)</f>
        <v>0</v>
      </c>
      <c r="N23" s="6" t="str">
        <f>IFERROR(IF(OR(N7:N21),COUNTIFS(N7:N21,"&gt;0",P7:P21,"&lt;&gt;")&amp;" of "&amp;(ROWS(P7:P21)-COUNTBLANK(P7:P21))&amp;" parts purchased",""),"")</f>
        <v>10 of 10 parts purchased</v>
      </c>
      <c r="P23" s="5">
        <f>SUMIF(N7:N21,"&gt;0",P7:P21)</f>
        <v>4.82</v>
      </c>
      <c r="S23" s="6" t="str">
        <f>IFERROR(IF(OR(S7:S21),COUNTIFS(S7:S21,"&gt;0",U7:U21,"&lt;&gt;")&amp;" of "&amp;(ROWS(U7:U21)-COUNTBLANK(U7:U21))&amp;" parts purchased",""),"")</f>
        <v/>
      </c>
      <c r="U23" s="5">
        <f>SUMIF(S7:S21,"&gt;0",U7:U21)</f>
        <v>0</v>
      </c>
      <c r="X23" s="6" t="str">
        <f>IFERROR(IF(OR(X7:X21),COUNTIFS(X7:X21,"&gt;0",Z7:Z21,"&lt;&gt;")&amp;" of "&amp;(ROWS(Z7:Z21)-COUNTBLANK(Z7:Z21))&amp;" parts purchased",""),"")</f>
        <v/>
      </c>
      <c r="Z23" s="5">
        <f>SUMIF(X7:X21,"&gt;0",Z7:Z21)</f>
        <v>0</v>
      </c>
      <c r="AC23" s="6" t="str">
        <f>IFERROR(IF(OR(AC7:AC21),COUNTIFS(AC7:AC21,"&gt;0",AE7:AE21,"&lt;&gt;")&amp;" of "&amp;(ROWS(AE7:AE21)-COUNTBLANK(AE7:AE21))&amp;" parts purchased",""),"")</f>
        <v>10 of 10 parts purchased</v>
      </c>
      <c r="AE23" s="5">
        <f>SUMIF(AC7:AC21,"&gt;0",AE7:AE21)</f>
        <v>9.0699999999999985</v>
      </c>
      <c r="AH23" s="6" t="str">
        <f>IFERROR(IF(OR(AH7:AH21),COUNTIFS(AH7:AH21,"&gt;0",AJ7:AJ21,"&lt;&gt;")&amp;" of "&amp;(ROWS(AJ7:AJ21)-COUNTBLANK(AJ7:AJ21))&amp;" parts purchased",""),"")</f>
        <v/>
      </c>
      <c r="AJ23" s="5">
        <f>SUMIF(AH7:AH21,"&gt;0",AJ7:AJ21)</f>
        <v>0</v>
      </c>
      <c r="AM23" s="6" t="str">
        <f>IFERROR(IF(OR(AM7:AM21),COUNTIFS(AM7:AM21,"&gt;0",AO7:AO21,"&lt;&gt;")&amp;" of "&amp;(ROWS(AO7:AO21)-COUNTBLANK(AO7:AO21))&amp;" parts purchased",""),"")</f>
        <v/>
      </c>
      <c r="AO23" s="5">
        <f>SUMIF(AM7:AM21,"&gt;0",AO7:AO21)</f>
        <v>0</v>
      </c>
      <c r="AR23" s="6" t="str">
        <f>IFERROR(IF(OR(AR7:AR21),COUNTIFS(AR7:AR21,"&gt;0",AT7:AT21,"&lt;&gt;")&amp;" of "&amp;(ROWS(AT7:AT21)-COUNTBLANK(AT7:AT21))&amp;" parts purchased",""),"")</f>
        <v/>
      </c>
      <c r="AT23" s="5">
        <f>SUMIF(AR7:AR21,"&gt;0",AT7:AT21)</f>
        <v>0</v>
      </c>
    </row>
    <row r="24" spans="1:47" x14ac:dyDescent="0.35">
      <c r="B24" s="12" t="s">
        <v>50</v>
      </c>
      <c r="C24">
        <v>1.293904700565222</v>
      </c>
      <c r="F24" s="12" t="s">
        <v>48</v>
      </c>
      <c r="I24" t="str">
        <f t="array" ref="I2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24" t="str">
        <f t="array" ref="N24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1,445-5998-1-ND,C1</v>
      </c>
      <c r="S24" t="str">
        <f t="array" ref="S24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24" s="6" t="str">
        <f>IFERROR(IF(COUNTIFS(X7:X21,"&gt;0",Z7:Z21,"&lt;&gt;")&gt;0,"Quantity,Comment,Designator,Footprint,LCSC Part #(optional)",""),"")</f>
        <v/>
      </c>
      <c r="AC24" t="str">
        <f t="array" ref="AC24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810C3216X5R1H106K|10|C1</v>
      </c>
      <c r="AH24" t="str">
        <f t="array" ref="AH24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24" t="str">
        <f t="array" ref="AM24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24" t="str">
        <f t="array" ref="AR24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25" spans="1:47" x14ac:dyDescent="0.35">
      <c r="I25" t="str">
        <f t="array" ref="I2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25" t="str">
        <f t="array" ref="N25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1,490-3285-1-ND,C2</v>
      </c>
      <c r="S25" t="str">
        <f t="array" ref="S25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25" t="str">
        <f t="array" ref="X25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25" t="str">
        <f t="array" ref="AC25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81GRM188R72A104KA35|1|C2</v>
      </c>
      <c r="AH25" t="str">
        <f t="array" ref="AH25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25" t="str">
        <f t="array" ref="AM25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25" t="str">
        <f t="array" ref="AR25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26" spans="1:47" ht="15.5" x14ac:dyDescent="0.35">
      <c r="A26" s="2" t="s">
        <v>116</v>
      </c>
      <c r="I26" t="str">
        <f t="array" ref="I2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26" t="str">
        <f t="array" ref="N26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1,587-1240-1-ND,C3</v>
      </c>
      <c r="S26" t="str">
        <f t="array" ref="S26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26" t="str">
        <f t="array" ref="X26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26" t="str">
        <f t="array" ref="AC26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963EMK107B7104KAT|1|C3</v>
      </c>
      <c r="AH26" t="str">
        <f t="array" ref="AH26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26" t="str">
        <f t="array" ref="AM26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26" t="str">
        <f t="array" ref="AR26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27" spans="1:47" x14ac:dyDescent="0.35">
      <c r="I27" t="str">
        <f t="array" ref="I2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27" t="str">
        <f t="array" ref="N27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2,490-14659-1-ND,C4;C5</v>
      </c>
      <c r="S27" t="str">
        <f t="array" ref="S27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27" t="str">
        <f t="array" ref="X27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27" t="str">
        <f t="array" ref="AC27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81GRM21BD70J226ME4L|2|C4,C5</v>
      </c>
      <c r="AH27" t="str">
        <f t="array" ref="AH27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27" t="str">
        <f t="array" ref="AM27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27" t="str">
        <f t="array" ref="AR27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28" spans="1:47" x14ac:dyDescent="0.35">
      <c r="I28" t="str">
        <f t="array" ref="I2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28" t="str">
        <f t="array" ref="N28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1,160-1182-1-ND,D1</v>
      </c>
      <c r="S28" t="str">
        <f t="array" ref="S28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28" t="str">
        <f t="array" ref="X28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28" t="str">
        <f t="array" ref="AC28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859LTSTC190EKT|1|D1</v>
      </c>
      <c r="AH28" t="str">
        <f t="array" ref="AH28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28" t="str">
        <f t="array" ref="AM28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28" t="str">
        <f t="array" ref="AR28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29" spans="1:47" x14ac:dyDescent="0.35">
      <c r="I29" t="str">
        <f t="array" ref="I29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29" t="str">
        <f t="array" ref="N29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1,SRN6045-150MCT-ND,L1</v>
      </c>
      <c r="S29" t="str">
        <f t="array" ref="S29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29" t="str">
        <f t="array" ref="X29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29" t="str">
        <f t="array" ref="AC29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652SRN6045150M|1|L1</v>
      </c>
      <c r="AH29" t="str">
        <f t="array" ref="AH29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29" t="str">
        <f t="array" ref="AM29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29" t="str">
        <f t="array" ref="AR29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0" spans="1:47" x14ac:dyDescent="0.35">
      <c r="I30" t="str">
        <f t="array" ref="I30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0" t="str">
        <f t="array" ref="N30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1,311-51.0KHRCT-ND,R1</v>
      </c>
      <c r="S30" t="str">
        <f t="array" ref="S30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0" t="str">
        <f t="array" ref="X30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0" t="str">
        <f t="array" ref="AC30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603RC0603FR0751KL|1|R1</v>
      </c>
      <c r="AH30" t="str">
        <f t="array" ref="AH30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0" t="str">
        <f t="array" ref="AM30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0" t="str">
        <f t="array" ref="AR30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1" spans="1:47" x14ac:dyDescent="0.35">
      <c r="I31" t="str">
        <f t="array" ref="I31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1" t="str">
        <f t="array" ref="N31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1,541-22.1KHCT-ND,R2</v>
      </c>
      <c r="S31" t="str">
        <f t="array" ref="S31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1" t="str">
        <f t="array" ref="X31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1" t="str">
        <f t="array" ref="AC31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71CRCW060322.1KE3|1|R2</v>
      </c>
      <c r="AH31" t="str">
        <f t="array" ref="AH31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1" t="str">
        <f t="array" ref="AM31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1" t="str">
        <f t="array" ref="AR31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2" spans="1:47" x14ac:dyDescent="0.35">
      <c r="I32" t="str">
        <f t="array" ref="I32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2" t="str">
        <f t="array" ref="N32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1,541-4023-1-ND,R3</v>
      </c>
      <c r="S32" t="str">
        <f t="array" ref="S32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2" t="str">
        <f t="array" ref="X32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2" t="str">
        <f t="array" ref="AC32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71CRCW0603150RFKEAC|1|R3</v>
      </c>
      <c r="AH32" t="str">
        <f t="array" ref="AH32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2" t="str">
        <f t="array" ref="AM32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2" t="str">
        <f t="array" ref="AR32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3" spans="9:44" x14ac:dyDescent="0.35">
      <c r="I33" t="str">
        <f t="array" ref="I33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3" t="str">
        <f t="array" ref="N33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>1,296-LMR50410XDBVRCT-ND,U1</v>
      </c>
      <c r="S33" t="str">
        <f t="array" ref="S33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3" t="str">
        <f t="array" ref="X33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3" t="str">
        <f t="array" ref="AC33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>595LMR50410XDBVR|1|U1</v>
      </c>
      <c r="AH33" t="str">
        <f t="array" ref="AH33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3" t="str">
        <f t="array" ref="AM33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3" t="str">
        <f t="array" ref="AR33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4" spans="9:44" x14ac:dyDescent="0.35">
      <c r="I34" t="str">
        <f t="array" ref="I3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4" t="str">
        <f t="array" ref="N34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/>
      </c>
      <c r="S34" t="str">
        <f t="array" ref="S34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4" t="str">
        <f t="array" ref="X34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4" t="str">
        <f t="array" ref="AC34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/>
      </c>
      <c r="AH34" t="str">
        <f t="array" ref="AH34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4" t="str">
        <f t="array" ref="AM34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4" t="str">
        <f t="array" ref="AR34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5" spans="9:44" x14ac:dyDescent="0.35">
      <c r="I35" t="str">
        <f t="array" ref="I3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5" t="str">
        <f t="array" ref="N35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/>
      </c>
      <c r="S35" t="str">
        <f t="array" ref="S35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5" t="str">
        <f t="array" ref="X35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5" t="str">
        <f t="array" ref="AC35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/>
      </c>
      <c r="AH35" t="str">
        <f t="array" ref="AH35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5" t="str">
        <f t="array" ref="AM35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5" t="str">
        <f t="array" ref="AR35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6" spans="9:44" x14ac:dyDescent="0.35">
      <c r="I36" t="str">
        <f t="array" ref="I3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6" t="str">
        <f t="array" ref="N36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/>
      </c>
      <c r="S36" t="str">
        <f t="array" ref="S36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6" t="str">
        <f t="array" ref="X36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6" t="str">
        <f t="array" ref="AC36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/>
      </c>
      <c r="AH36" t="str">
        <f t="array" ref="AH36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6" t="str">
        <f t="array" ref="AM36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6" t="str">
        <f t="array" ref="AR36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7" spans="9:44" x14ac:dyDescent="0.35">
      <c r="I37" t="str">
        <f t="array" ref="I3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7" t="str">
        <f t="array" ref="N37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/>
      </c>
      <c r="S37" t="str">
        <f t="array" ref="S37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7" t="str">
        <f t="array" ref="X37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7" t="str">
        <f t="array" ref="AC37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/>
      </c>
      <c r="AH37" t="str">
        <f t="array" ref="AH37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7" t="str">
        <f t="array" ref="AM37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7" t="str">
        <f t="array" ref="AR37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8" spans="9:44" x14ac:dyDescent="0.35">
      <c r="I38" t="str">
        <f t="array" ref="I3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/>
      </c>
      <c r="N38" t="str">
        <f t="array" ref="N38">IFERROR(CONCATENATE(TEXT(INDEX(N7:N21,SMALL(IF(ISNUMBER(N7:N21),IF(N7:N21&gt;0,IF(Q7:Q21&lt;&gt;"",ROW(N7:N21)-MIN(ROW(N7:N21))+1))),ROW()-ROW(A$24)+1)),"##0"),",",INDEX(Q7:Q21,SMALL(IF(ISNUMBER(N7:N21),IF(N7:N21&gt;0,IF(Q7:Q21&lt;&gt;"",ROW(N7:N21)-MIN(ROW(N7:N21))+1))),ROW()-ROW(A$24)+1)),",",SUBSTITUTE(INDEX(IF(PURCHASE_DESCRIPTION&lt;&gt;"",PURCHASE_DESCRIPTION&amp;":","")&amp;A7:A21,SMALL(IF(ISNUMBER(N7:N21),IF(N7:N21&gt;0,IF(Q7:Q21&lt;&gt;"",ROW(N7:N21)-MIN(ROW(N7:N21))+1))),ROW()-ROW(A$24)+1)),",",";")),"")</f>
        <v/>
      </c>
      <c r="S38" t="str">
        <f t="array" ref="S38">IFERROR(CONCATENATE(INDEX(V7:V21,SMALL(IF(ISNUMBER(S7:S21),IF(S7:S21&gt;0,IF(V7:V21&lt;&gt;"",ROW(S7:S21)-MIN(ROW(S7:S21))+1))),ROW()-ROW(A$24)+1))," ",TEXT(INDEX(S7:S21,SMALL(IF(ISNUMBER(S7:S21),IF(S7:S21&gt;0,IF(V7:V21&lt;&gt;"",ROW(S7:S21)-MIN(ROW(S7:S21))+1))),ROW()-ROW(A$24)+1)),"##0")," ",SUBSTITUTE(INDEX(IF(PURCHASE_DESCRIPTION&lt;&gt;"",PURCHASE_DESCRIPTION&amp;":","")&amp;A7:A21,SMALL(IF(ISNUMBER(S7:S21),IF(S7:S21&gt;0,IF(V7:V21&lt;&gt;"",ROW(S7:S21)-MIN(ROW(S7:S21))+1))),ROW()-ROW(A$24)+1))," ",";")),"")</f>
        <v/>
      </c>
      <c r="X38" t="str">
        <f t="array" ref="X38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  <c r="AC38" t="str">
        <f t="array" ref="AC38">IFERROR(CONCATENATE(INDEX(AF7:AF21,SMALL(IF(ISNUMBER(AC7:AC21),IF(AC7:AC21&gt;0,IF(AF7:AF21&lt;&gt;"",ROW(AC7:AC21)-MIN(ROW(AC7:AC21))+1))),ROW()-ROW(A$24)+1)),"|",TEXT(INDEX(AC7:AC21,SMALL(IF(ISNUMBER(AC7:AC21),IF(AC7:AC21&gt;0,IF(AF7:AF21&lt;&gt;"",ROW(AC7:AC21)-MIN(ROW(AC7:AC21))+1))),ROW()-ROW(A$24)+1)),"##0"),"|",SUBSTITUTE(SUBSTITUTE(INDEX(IF(PURCHASE_DESCRIPTION&lt;&gt;"",PURCHASE_DESCRIPTION&amp;":","")&amp;A7:A21,SMALL(IF(ISNUMBER(AC7:AC21),IF(AC7:AC21&gt;0,IF(AF7:AF21&lt;&gt;"",ROW(AC7:AC21)-MIN(ROW(AC7:AC21))+1))),ROW()-ROW(A$24)+1)),"|",";")," ","_")),"")</f>
        <v/>
      </c>
      <c r="AH38" t="str">
        <f t="array" ref="AH38">IFERROR(CONCATENATE(INDEX(AK7:AK21,SMALL(IF(ISNUMBER(AH7:AH21),IF(AH7:AH21&gt;0,IF(AK7:AK21&lt;&gt;"",ROW(AH7:AH21)-MIN(ROW(AH7:AH21))+1))),ROW()-ROW(A$24)+1)),",",TEXT(INDEX(AH7:AH21,SMALL(IF(ISNUMBER(AH7:AH21),IF(AH7:AH21&gt;0,IF(AK7:AK21&lt;&gt;"",ROW(AH7:AH21)-MIN(ROW(AH7:AH21))+1))),ROW()-ROW(A$24)+1)),"##0"),",",SUBSTITUTE(INDEX(IF(PURCHASE_DESCRIPTION&lt;&gt;"",PURCHASE_DESCRIPTION&amp;":","")&amp;A7:A21,SMALL(IF(ISNUMBER(AH7:AH21),IF(AH7:AH21&gt;0,IF(AK7:AK21&lt;&gt;"",ROW(AH7:AH21)-MIN(ROW(AH7:AH21))+1))),ROW()-ROW(A$24)+1)),",",";")),"")</f>
        <v/>
      </c>
      <c r="AM38" t="str">
        <f t="array" ref="AM38">IFERROR(CONCATENATE(INDEX(AP7:AP21,SMALL(IF(ISNUMBER(AM7:AM21),IF(AM7:AM21&gt;0,IF(AP7:AP21&lt;&gt;"",ROW(AM7:AM21)-MIN(ROW(AM7:AM21))+1))),ROW()-ROW(A$24)+1))," ",TEXT(INDEX(AM7:AM21,SMALL(IF(ISNUMBER(AM7:AM21),IF(AM7:AM21&gt;0,IF(AP7:AP21&lt;&gt;"",ROW(AM7:AM21)-MIN(ROW(AM7:AM21))+1))),ROW()-ROW(A$24)+1)),"##0")," ",SUBSTITUTE(INDEX(IF(PURCHASE_DESCRIPTION&lt;&gt;"",PURCHASE_DESCRIPTION&amp;":","")&amp;A7:A21,SMALL(IF(ISNUMBER(AM7:AM21),IF(AM7:AM21&gt;0,IF(AP7:AP21&lt;&gt;"",ROW(AM7:AM21)-MIN(ROW(AM7:AM21))+1))),ROW()-ROW(A$24)+1))," ",";")),"")</f>
        <v/>
      </c>
      <c r="AR38" t="str">
        <f t="array" ref="AR38">IFERROR(CONCATENATE(INDEX(AU7:AU21,SMALL(IF(ISNUMBER(AR7:AR21),IF(AR7:AR21&gt;0,IF(AU7:AU21&lt;&gt;"",ROW(AR7:AR21)-MIN(ROW(AR7:AR21))+1))),ROW()-ROW(A$24)+1))," ",TEXT(INDEX(AR7:AR21,SMALL(IF(ISNUMBER(AR7:AR21),IF(AR7:AR21&gt;0,IF(AU7:AU21&lt;&gt;"",ROW(AR7:AR21)-MIN(ROW(AR7:AR21))+1))),ROW()-ROW(A$24)+1)),"##0")," ",SUBSTITUTE(INDEX(IF(PURCHASE_DESCRIPTION&lt;&gt;"",PURCHASE_DESCRIPTION&amp;":","")&amp;A7:A21,SMALL(IF(ISNUMBER(AR7:AR21),IF(AR7:AR21&gt;0,IF(AU7:AU21&lt;&gt;"",ROW(AR7:AR21)-MIN(ROW(AR7:AR21))+1))),ROW()-ROW(A$24)+1))," ",";")),"")</f>
        <v/>
      </c>
    </row>
    <row r="39" spans="9:44" x14ac:dyDescent="0.35">
      <c r="X39" t="str">
        <f t="array" ref="X39">IFERROR(CONCATENATE(TEXT(INDEX(X7:X21,SMALL(IF(ISNUMBER(X7:X21),IF(X7:X21&gt;0,IF(AA7:AA21&lt;&gt;"",ROW(X7:X21)-MIN(ROW(X7:X21))+1))),ROW()-ROW(A$25)+1)),"##0"),",",SUBSTITUTE(INDEX(IF(PURCHASE_DESCRIPTION&lt;&gt;"",PURCHASE_DESCRIPTION&amp;":","")&amp;A7:A21,SMALL(IF(ISNUMBER(X7:X21),IF(X7:X21&gt;0,IF(AA7:AA21&lt;&gt;"",ROW(X7:X21)-MIN(ROW(X7:X21))+1))),ROW()-ROW(A$25)+1)),",",";"),",",SUBSTITUTE(INDEX(IF(PURCHASE_DESCRIPTION&lt;&gt;"",PURCHASE_DESCRIPTION&amp;":","")&amp;C7:C21,SMALL(IF(ISNUMBER(X7:X21),IF(X7:X21&gt;0,IF(AA7:AA21&lt;&gt;"",ROW(X7:X21)-MIN(ROW(X7:X21))+1))),ROW()-ROW(A$25)+1)),",",";"),",",INDEX(AA7:AA21,SMALL(IF(ISNUMBER(X7:X21),IF(X7:X21&gt;0,IF(AA7:AA21&lt;&gt;"",ROW(X7:X21)-MIN(ROW(X7:X21))+1))),ROW()-ROW(A$25)+1))),"")</f>
        <v/>
      </c>
    </row>
  </sheetData>
  <mergeCells count="9">
    <mergeCell ref="AB5:AF5"/>
    <mergeCell ref="AG5:AK5"/>
    <mergeCell ref="AL5:AP5"/>
    <mergeCell ref="AQ5:AU5"/>
    <mergeCell ref="A5:G5"/>
    <mergeCell ref="H5:L5"/>
    <mergeCell ref="M5:Q5"/>
    <mergeCell ref="R5:V5"/>
    <mergeCell ref="W5:AA5"/>
  </mergeCells>
  <conditionalFormatting sqref="AB10">
    <cfRule type="cellIs" dxfId="279" priority="172" operator="equal">
      <formula>0</formula>
    </cfRule>
    <cfRule type="cellIs" dxfId="278" priority="173" operator="lessThan">
      <formula>E10</formula>
    </cfRule>
  </conditionalFormatting>
  <conditionalFormatting sqref="AB11">
    <cfRule type="cellIs" dxfId="277" priority="177" operator="equal">
      <formula>0</formula>
    </cfRule>
    <cfRule type="cellIs" dxfId="276" priority="178" operator="lessThan">
      <formula>E11</formula>
    </cfRule>
  </conditionalFormatting>
  <conditionalFormatting sqref="AB17">
    <cfRule type="cellIs" dxfId="275" priority="182" operator="equal">
      <formula>0</formula>
    </cfRule>
    <cfRule type="cellIs" dxfId="274" priority="183" operator="lessThan">
      <formula>E17</formula>
    </cfRule>
  </conditionalFormatting>
  <conditionalFormatting sqref="AB18">
    <cfRule type="cellIs" dxfId="273" priority="187" operator="equal">
      <formula>0</formula>
    </cfRule>
    <cfRule type="cellIs" dxfId="272" priority="188" operator="lessThan">
      <formula>E18</formula>
    </cfRule>
  </conditionalFormatting>
  <conditionalFormatting sqref="AB19">
    <cfRule type="cellIs" dxfId="271" priority="192" operator="equal">
      <formula>0</formula>
    </cfRule>
    <cfRule type="cellIs" dxfId="270" priority="193" operator="lessThan">
      <formula>E19</formula>
    </cfRule>
  </conditionalFormatting>
  <conditionalFormatting sqref="AB20">
    <cfRule type="cellIs" dxfId="269" priority="197" operator="equal">
      <formula>0</formula>
    </cfRule>
    <cfRule type="cellIs" dxfId="268" priority="198" operator="lessThan">
      <formula>E20</formula>
    </cfRule>
  </conditionalFormatting>
  <conditionalFormatting sqref="AB21">
    <cfRule type="cellIs" dxfId="267" priority="202" operator="equal">
      <formula>0</formula>
    </cfRule>
    <cfRule type="cellIs" dxfId="266" priority="203" operator="lessThan">
      <formula>E21</formula>
    </cfRule>
  </conditionalFormatting>
  <conditionalFormatting sqref="AB7">
    <cfRule type="cellIs" dxfId="265" priority="157" operator="equal">
      <formula>0</formula>
    </cfRule>
    <cfRule type="cellIs" dxfId="264" priority="158" operator="lessThan">
      <formula>E7</formula>
    </cfRule>
  </conditionalFormatting>
  <conditionalFormatting sqref="AB8">
    <cfRule type="cellIs" dxfId="263" priority="162" operator="equal">
      <formula>0</formula>
    </cfRule>
    <cfRule type="cellIs" dxfId="262" priority="163" operator="lessThan">
      <formula>E8</formula>
    </cfRule>
  </conditionalFormatting>
  <conditionalFormatting sqref="AB9">
    <cfRule type="cellIs" dxfId="261" priority="167" operator="equal">
      <formula>0</formula>
    </cfRule>
    <cfRule type="cellIs" dxfId="260" priority="168" operator="lessThan">
      <formula>E9</formula>
    </cfRule>
  </conditionalFormatting>
  <conditionalFormatting sqref="AC10">
    <cfRule type="cellIs" dxfId="259" priority="174" operator="greaterThan">
      <formula>AB10</formula>
    </cfRule>
  </conditionalFormatting>
  <conditionalFormatting sqref="AC11">
    <cfRule type="cellIs" dxfId="258" priority="179" operator="greaterThan">
      <formula>AB11</formula>
    </cfRule>
  </conditionalFormatting>
  <conditionalFormatting sqref="AC17">
    <cfRule type="cellIs" dxfId="257" priority="184" operator="greaterThan">
      <formula>AB17</formula>
    </cfRule>
  </conditionalFormatting>
  <conditionalFormatting sqref="AC18">
    <cfRule type="cellIs" dxfId="256" priority="189" operator="greaterThan">
      <formula>AB18</formula>
    </cfRule>
  </conditionalFormatting>
  <conditionalFormatting sqref="AC19">
    <cfRule type="cellIs" dxfId="255" priority="194" operator="greaterThan">
      <formula>AB19</formula>
    </cfRule>
  </conditionalFormatting>
  <conditionalFormatting sqref="AC20">
    <cfRule type="cellIs" dxfId="254" priority="199" operator="greaterThan">
      <formula>AB20</formula>
    </cfRule>
  </conditionalFormatting>
  <conditionalFormatting sqref="AC21">
    <cfRule type="cellIs" dxfId="253" priority="204" operator="greaterThan">
      <formula>AB21</formula>
    </cfRule>
  </conditionalFormatting>
  <conditionalFormatting sqref="AC7">
    <cfRule type="cellIs" dxfId="252" priority="159" operator="greaterThan">
      <formula>AB7</formula>
    </cfRule>
  </conditionalFormatting>
  <conditionalFormatting sqref="AC8">
    <cfRule type="cellIs" dxfId="251" priority="164" operator="greaterThan">
      <formula>AB8</formula>
    </cfRule>
  </conditionalFormatting>
  <conditionalFormatting sqref="AC9">
    <cfRule type="cellIs" dxfId="250" priority="169" operator="greaterThan">
      <formula>AB9</formula>
    </cfRule>
  </conditionalFormatting>
  <conditionalFormatting sqref="AD10">
    <cfRule type="cellIs" dxfId="249" priority="176" operator="lessThanOrEqual">
      <formula>F10</formula>
    </cfRule>
  </conditionalFormatting>
  <conditionalFormatting sqref="AD11">
    <cfRule type="cellIs" dxfId="248" priority="181" operator="lessThanOrEqual">
      <formula>F11</formula>
    </cfRule>
  </conditionalFormatting>
  <conditionalFormatting sqref="AD17">
    <cfRule type="cellIs" dxfId="247" priority="186" operator="lessThanOrEqual">
      <formula>F17</formula>
    </cfRule>
  </conditionalFormatting>
  <conditionalFormatting sqref="AD18">
    <cfRule type="cellIs" dxfId="246" priority="191" operator="lessThanOrEqual">
      <formula>F18</formula>
    </cfRule>
  </conditionalFormatting>
  <conditionalFormatting sqref="AD19">
    <cfRule type="cellIs" dxfId="245" priority="196" operator="lessThanOrEqual">
      <formula>F19</formula>
    </cfRule>
  </conditionalFormatting>
  <conditionalFormatting sqref="AD20">
    <cfRule type="cellIs" dxfId="244" priority="201" operator="lessThanOrEqual">
      <formula>F20</formula>
    </cfRule>
  </conditionalFormatting>
  <conditionalFormatting sqref="AD21">
    <cfRule type="cellIs" dxfId="243" priority="206" operator="lessThanOrEqual">
      <formula>F21</formula>
    </cfRule>
  </conditionalFormatting>
  <conditionalFormatting sqref="AD7">
    <cfRule type="cellIs" dxfId="242" priority="161" operator="lessThanOrEqual">
      <formula>F7</formula>
    </cfRule>
  </conditionalFormatting>
  <conditionalFormatting sqref="AD8">
    <cfRule type="cellIs" dxfId="241" priority="166" operator="lessThanOrEqual">
      <formula>F8</formula>
    </cfRule>
  </conditionalFormatting>
  <conditionalFormatting sqref="AD9">
    <cfRule type="cellIs" dxfId="240" priority="171" operator="lessThanOrEqual">
      <formula>F9</formula>
    </cfRule>
  </conditionalFormatting>
  <conditionalFormatting sqref="AE10">
    <cfRule type="cellIs" dxfId="239" priority="175" operator="lessThanOrEqual">
      <formula>G10</formula>
    </cfRule>
  </conditionalFormatting>
  <conditionalFormatting sqref="AE11">
    <cfRule type="cellIs" dxfId="238" priority="180" operator="lessThanOrEqual">
      <formula>G11</formula>
    </cfRule>
  </conditionalFormatting>
  <conditionalFormatting sqref="AE17">
    <cfRule type="cellIs" dxfId="237" priority="185" operator="lessThanOrEqual">
      <formula>G17</formula>
    </cfRule>
  </conditionalFormatting>
  <conditionalFormatting sqref="AE18">
    <cfRule type="cellIs" dxfId="236" priority="190" operator="lessThanOrEqual">
      <formula>G18</formula>
    </cfRule>
  </conditionalFormatting>
  <conditionalFormatting sqref="AE19">
    <cfRule type="cellIs" dxfId="235" priority="195" operator="lessThanOrEqual">
      <formula>G19</formula>
    </cfRule>
  </conditionalFormatting>
  <conditionalFormatting sqref="AE20">
    <cfRule type="cellIs" dxfId="234" priority="200" operator="lessThanOrEqual">
      <formula>G20</formula>
    </cfRule>
  </conditionalFormatting>
  <conditionalFormatting sqref="AE21">
    <cfRule type="cellIs" dxfId="233" priority="205" operator="lessThanOrEqual">
      <formula>G21</formula>
    </cfRule>
  </conditionalFormatting>
  <conditionalFormatting sqref="AE7">
    <cfRule type="cellIs" dxfId="232" priority="160" operator="lessThanOrEqual">
      <formula>G7</formula>
    </cfRule>
  </conditionalFormatting>
  <conditionalFormatting sqref="AE8">
    <cfRule type="cellIs" dxfId="231" priority="165" operator="lessThanOrEqual">
      <formula>G8</formula>
    </cfRule>
  </conditionalFormatting>
  <conditionalFormatting sqref="AE9">
    <cfRule type="cellIs" dxfId="230" priority="170" operator="lessThanOrEqual">
      <formula>G9</formula>
    </cfRule>
  </conditionalFormatting>
  <conditionalFormatting sqref="AG10">
    <cfRule type="cellIs" dxfId="229" priority="223" operator="equal">
      <formula>0</formula>
    </cfRule>
    <cfRule type="cellIs" dxfId="228" priority="224" operator="lessThan">
      <formula>E10</formula>
    </cfRule>
  </conditionalFormatting>
  <conditionalFormatting sqref="AG17">
    <cfRule type="cellIs" dxfId="227" priority="229" operator="equal">
      <formula>0</formula>
    </cfRule>
    <cfRule type="cellIs" dxfId="226" priority="230" operator="lessThan">
      <formula>E17</formula>
    </cfRule>
  </conditionalFormatting>
  <conditionalFormatting sqref="AG19">
    <cfRule type="cellIs" dxfId="225" priority="234" operator="equal">
      <formula>0</formula>
    </cfRule>
    <cfRule type="cellIs" dxfId="224" priority="235" operator="lessThan">
      <formula>E19</formula>
    </cfRule>
  </conditionalFormatting>
  <conditionalFormatting sqref="AG7">
    <cfRule type="cellIs" dxfId="223" priority="207" operator="equal">
      <formula>0</formula>
    </cfRule>
    <cfRule type="cellIs" dxfId="222" priority="208" operator="lessThan">
      <formula>E7</formula>
    </cfRule>
  </conditionalFormatting>
  <conditionalFormatting sqref="AG8">
    <cfRule type="cellIs" dxfId="221" priority="212" operator="equal">
      <formula>0</formula>
    </cfRule>
    <cfRule type="cellIs" dxfId="220" priority="213" operator="lessThan">
      <formula>E8</formula>
    </cfRule>
  </conditionalFormatting>
  <conditionalFormatting sqref="AG9">
    <cfRule type="cellIs" dxfId="219" priority="218" operator="equal">
      <formula>0</formula>
    </cfRule>
    <cfRule type="cellIs" dxfId="218" priority="219" operator="lessThan">
      <formula>E9</formula>
    </cfRule>
  </conditionalFormatting>
  <conditionalFormatting sqref="AH10">
    <cfRule type="expression" dxfId="217" priority="225">
      <formula>AND(AH10&gt;0,AH10&lt;5)</formula>
    </cfRule>
    <cfRule type="cellIs" dxfId="216" priority="226" operator="greaterThan">
      <formula>AG10</formula>
    </cfRule>
  </conditionalFormatting>
  <conditionalFormatting sqref="AH17">
    <cfRule type="cellIs" dxfId="215" priority="231" operator="greaterThan">
      <formula>AG17</formula>
    </cfRule>
  </conditionalFormatting>
  <conditionalFormatting sqref="AH19">
    <cfRule type="cellIs" dxfId="214" priority="236" operator="greaterThan">
      <formula>AG19</formula>
    </cfRule>
  </conditionalFormatting>
  <conditionalFormatting sqref="AH7">
    <cfRule type="cellIs" dxfId="213" priority="209" operator="greaterThan">
      <formula>AG7</formula>
    </cfRule>
  </conditionalFormatting>
  <conditionalFormatting sqref="AH8">
    <cfRule type="expression" dxfId="212" priority="214">
      <formula>AND(AH8&gt;0,AH8&lt;10)</formula>
    </cfRule>
    <cfRule type="cellIs" dxfId="211" priority="215" operator="greaterThan">
      <formula>AG8</formula>
    </cfRule>
  </conditionalFormatting>
  <conditionalFormatting sqref="AH9">
    <cfRule type="cellIs" dxfId="210" priority="220" operator="greaterThan">
      <formula>AG9</formula>
    </cfRule>
  </conditionalFormatting>
  <conditionalFormatting sqref="AI10">
    <cfRule type="cellIs" dxfId="209" priority="228" operator="lessThanOrEqual">
      <formula>F10</formula>
    </cfRule>
  </conditionalFormatting>
  <conditionalFormatting sqref="AI17">
    <cfRule type="cellIs" dxfId="208" priority="233" operator="lessThanOrEqual">
      <formula>F17</formula>
    </cfRule>
  </conditionalFormatting>
  <conditionalFormatting sqref="AI19">
    <cfRule type="cellIs" dxfId="207" priority="238" operator="lessThanOrEqual">
      <formula>F19</formula>
    </cfRule>
  </conditionalFormatting>
  <conditionalFormatting sqref="AI7">
    <cfRule type="cellIs" dxfId="206" priority="211" operator="lessThanOrEqual">
      <formula>F7</formula>
    </cfRule>
  </conditionalFormatting>
  <conditionalFormatting sqref="AI8">
    <cfRule type="cellIs" dxfId="205" priority="217" operator="lessThanOrEqual">
      <formula>F8</formula>
    </cfRule>
  </conditionalFormatting>
  <conditionalFormatting sqref="AI9">
    <cfRule type="cellIs" dxfId="204" priority="222" operator="lessThanOrEqual">
      <formula>F9</formula>
    </cfRule>
  </conditionalFormatting>
  <conditionalFormatting sqref="AJ10">
    <cfRule type="cellIs" dxfId="203" priority="227" operator="lessThanOrEqual">
      <formula>G10</formula>
    </cfRule>
  </conditionalFormatting>
  <conditionalFormatting sqref="AJ17">
    <cfRule type="cellIs" dxfId="202" priority="232" operator="lessThanOrEqual">
      <formula>G17</formula>
    </cfRule>
  </conditionalFormatting>
  <conditionalFormatting sqref="AJ19">
    <cfRule type="cellIs" dxfId="201" priority="237" operator="lessThanOrEqual">
      <formula>G19</formula>
    </cfRule>
  </conditionalFormatting>
  <conditionalFormatting sqref="AJ7">
    <cfRule type="cellIs" dxfId="200" priority="210" operator="lessThanOrEqual">
      <formula>G7</formula>
    </cfRule>
  </conditionalFormatting>
  <conditionalFormatting sqref="AJ8">
    <cfRule type="cellIs" dxfId="199" priority="216" operator="lessThanOrEqual">
      <formula>G8</formula>
    </cfRule>
  </conditionalFormatting>
  <conditionalFormatting sqref="AJ9">
    <cfRule type="cellIs" dxfId="198" priority="221" operator="lessThanOrEqual">
      <formula>G9</formula>
    </cfRule>
  </conditionalFormatting>
  <conditionalFormatting sqref="AL11">
    <cfRule type="cellIs" dxfId="197" priority="245" operator="equal">
      <formula>0</formula>
    </cfRule>
    <cfRule type="cellIs" dxfId="196" priority="246" operator="lessThan">
      <formula>E11</formula>
    </cfRule>
  </conditionalFormatting>
  <conditionalFormatting sqref="AL17">
    <cfRule type="cellIs" dxfId="195" priority="251" operator="equal">
      <formula>0</formula>
    </cfRule>
    <cfRule type="cellIs" dxfId="194" priority="252" operator="lessThan">
      <formula>E17</formula>
    </cfRule>
  </conditionalFormatting>
  <conditionalFormatting sqref="AL18">
    <cfRule type="cellIs" dxfId="193" priority="257" operator="equal">
      <formula>0</formula>
    </cfRule>
    <cfRule type="cellIs" dxfId="192" priority="258" operator="lessThan">
      <formula>E18</formula>
    </cfRule>
  </conditionalFormatting>
  <conditionalFormatting sqref="AL19">
    <cfRule type="cellIs" dxfId="191" priority="263" operator="equal">
      <formula>0</formula>
    </cfRule>
    <cfRule type="cellIs" dxfId="190" priority="264" operator="lessThan">
      <formula>E19</formula>
    </cfRule>
  </conditionalFormatting>
  <conditionalFormatting sqref="AL7">
    <cfRule type="cellIs" dxfId="189" priority="239" operator="equal">
      <formula>0</formula>
    </cfRule>
    <cfRule type="cellIs" dxfId="188" priority="240" operator="lessThan">
      <formula>E7</formula>
    </cfRule>
  </conditionalFormatting>
  <conditionalFormatting sqref="AM11">
    <cfRule type="expression" dxfId="187" priority="247">
      <formula>AND(AM11&gt;0,AM11&lt;50)</formula>
    </cfRule>
    <cfRule type="cellIs" dxfId="186" priority="248" operator="greaterThan">
      <formula>AL11</formula>
    </cfRule>
  </conditionalFormatting>
  <conditionalFormatting sqref="AM17">
    <cfRule type="expression" dxfId="185" priority="253">
      <formula>AND(AM17&gt;0,AM17&lt;10)</formula>
    </cfRule>
    <cfRule type="cellIs" dxfId="184" priority="254" operator="greaterThan">
      <formula>AL17</formula>
    </cfRule>
  </conditionalFormatting>
  <conditionalFormatting sqref="AM18">
    <cfRule type="expression" dxfId="183" priority="259">
      <formula>AND(AM18&gt;0,AM18&lt;100)</formula>
    </cfRule>
    <cfRule type="cellIs" dxfId="182" priority="260" operator="greaterThan">
      <formula>AL18</formula>
    </cfRule>
  </conditionalFormatting>
  <conditionalFormatting sqref="AM19">
    <cfRule type="expression" dxfId="181" priority="265">
      <formula>AND(AM19&gt;0,AM19&lt;50)</formula>
    </cfRule>
    <cfRule type="cellIs" dxfId="180" priority="266" operator="greaterThan">
      <formula>AL19</formula>
    </cfRule>
  </conditionalFormatting>
  <conditionalFormatting sqref="AM7">
    <cfRule type="expression" dxfId="179" priority="241">
      <formula>AND(AM7&gt;0,AM7&lt;5)</formula>
    </cfRule>
    <cfRule type="cellIs" dxfId="178" priority="242" operator="greaterThan">
      <formula>AL7</formula>
    </cfRule>
  </conditionalFormatting>
  <conditionalFormatting sqref="AN11">
    <cfRule type="cellIs" dxfId="177" priority="250" operator="lessThanOrEqual">
      <formula>F11</formula>
    </cfRule>
  </conditionalFormatting>
  <conditionalFormatting sqref="AN17">
    <cfRule type="cellIs" dxfId="176" priority="256" operator="lessThanOrEqual">
      <formula>F17</formula>
    </cfRule>
  </conditionalFormatting>
  <conditionalFormatting sqref="AN18">
    <cfRule type="cellIs" dxfId="175" priority="262" operator="lessThanOrEqual">
      <formula>F18</formula>
    </cfRule>
  </conditionalFormatting>
  <conditionalFormatting sqref="AN19">
    <cfRule type="cellIs" dxfId="174" priority="268" operator="lessThanOrEqual">
      <formula>F19</formula>
    </cfRule>
  </conditionalFormatting>
  <conditionalFormatting sqref="AN7">
    <cfRule type="cellIs" dxfId="173" priority="244" operator="lessThanOrEqual">
      <formula>F7</formula>
    </cfRule>
  </conditionalFormatting>
  <conditionalFormatting sqref="AO11">
    <cfRule type="cellIs" dxfId="172" priority="249" operator="lessThanOrEqual">
      <formula>G11</formula>
    </cfRule>
  </conditionalFormatting>
  <conditionalFormatting sqref="AO17">
    <cfRule type="cellIs" dxfId="171" priority="255" operator="lessThanOrEqual">
      <formula>G17</formula>
    </cfRule>
  </conditionalFormatting>
  <conditionalFormatting sqref="AO18">
    <cfRule type="cellIs" dxfId="170" priority="261" operator="lessThanOrEqual">
      <formula>G18</formula>
    </cfRule>
  </conditionalFormatting>
  <conditionalFormatting sqref="AO19">
    <cfRule type="cellIs" dxfId="169" priority="267" operator="lessThanOrEqual">
      <formula>G19</formula>
    </cfRule>
  </conditionalFormatting>
  <conditionalFormatting sqref="AO7">
    <cfRule type="cellIs" dxfId="168" priority="243" operator="lessThanOrEqual">
      <formula>G7</formula>
    </cfRule>
  </conditionalFormatting>
  <conditionalFormatting sqref="AQ18">
    <cfRule type="cellIs" dxfId="167" priority="275" operator="equal">
      <formula>0</formula>
    </cfRule>
    <cfRule type="cellIs" dxfId="166" priority="276" operator="lessThan">
      <formula>E18</formula>
    </cfRule>
  </conditionalFormatting>
  <conditionalFormatting sqref="AQ8">
    <cfRule type="cellIs" dxfId="165" priority="269" operator="equal">
      <formula>0</formula>
    </cfRule>
    <cfRule type="cellIs" dxfId="164" priority="270" operator="lessThan">
      <formula>E8</formula>
    </cfRule>
  </conditionalFormatting>
  <conditionalFormatting sqref="AR18">
    <cfRule type="expression" dxfId="163" priority="277">
      <formula>AND(AR18&gt;0,AR18&lt;100)</formula>
    </cfRule>
    <cfRule type="cellIs" dxfId="162" priority="278" operator="greaterThan">
      <formula>AQ18</formula>
    </cfRule>
  </conditionalFormatting>
  <conditionalFormatting sqref="AR8">
    <cfRule type="expression" dxfId="161" priority="271">
      <formula>AND(AR8&gt;0,AR8&lt;100)</formula>
    </cfRule>
    <cfRule type="cellIs" dxfId="160" priority="272" operator="greaterThan">
      <formula>AQ8</formula>
    </cfRule>
  </conditionalFormatting>
  <conditionalFormatting sqref="AS18">
    <cfRule type="cellIs" dxfId="159" priority="280" operator="lessThanOrEqual">
      <formula>F18</formula>
    </cfRule>
  </conditionalFormatting>
  <conditionalFormatting sqref="AS8">
    <cfRule type="cellIs" dxfId="158" priority="274" operator="lessThanOrEqual">
      <formula>F8</formula>
    </cfRule>
  </conditionalFormatting>
  <conditionalFormatting sqref="AT18">
    <cfRule type="cellIs" dxfId="157" priority="279" operator="lessThanOrEqual">
      <formula>G18</formula>
    </cfRule>
  </conditionalFormatting>
  <conditionalFormatting sqref="AT8">
    <cfRule type="cellIs" dxfId="156" priority="273" operator="lessThanOrEqual">
      <formula>G8</formula>
    </cfRule>
  </conditionalFormatting>
  <conditionalFormatting sqref="E10">
    <cfRule type="expression" dxfId="155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54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53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52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151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50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49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48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147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46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45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44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143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42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41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40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139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38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37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36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135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34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33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32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131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30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29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28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127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26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25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24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123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22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21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20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119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18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17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16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115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14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13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12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111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10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9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8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107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6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5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4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103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02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01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00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99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98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97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96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95" priority="76" operator="equal">
      <formula>0</formula>
    </cfRule>
    <cfRule type="cellIs" dxfId="94" priority="77" operator="lessThan">
      <formula>E10</formula>
    </cfRule>
  </conditionalFormatting>
  <conditionalFormatting sqref="M11">
    <cfRule type="cellIs" dxfId="93" priority="81" operator="equal">
      <formula>0</formula>
    </cfRule>
    <cfRule type="cellIs" dxfId="92" priority="82" operator="lessThan">
      <formula>E11</formula>
    </cfRule>
  </conditionalFormatting>
  <conditionalFormatting sqref="M17">
    <cfRule type="cellIs" dxfId="91" priority="86" operator="equal">
      <formula>0</formula>
    </cfRule>
    <cfRule type="cellIs" dxfId="90" priority="87" operator="lessThan">
      <formula>E17</formula>
    </cfRule>
  </conditionalFormatting>
  <conditionalFormatting sqref="M18">
    <cfRule type="cellIs" dxfId="89" priority="91" operator="equal">
      <formula>0</formula>
    </cfRule>
    <cfRule type="cellIs" dxfId="88" priority="92" operator="lessThan">
      <formula>E18</formula>
    </cfRule>
  </conditionalFormatting>
  <conditionalFormatting sqref="M19">
    <cfRule type="cellIs" dxfId="87" priority="96" operator="equal">
      <formula>0</formula>
    </cfRule>
    <cfRule type="cellIs" dxfId="86" priority="97" operator="lessThan">
      <formula>E19</formula>
    </cfRule>
  </conditionalFormatting>
  <conditionalFormatting sqref="M20">
    <cfRule type="cellIs" dxfId="85" priority="101" operator="equal">
      <formula>0</formula>
    </cfRule>
    <cfRule type="cellIs" dxfId="84" priority="102" operator="lessThan">
      <formula>E20</formula>
    </cfRule>
  </conditionalFormatting>
  <conditionalFormatting sqref="M21">
    <cfRule type="cellIs" dxfId="83" priority="106" operator="equal">
      <formula>0</formula>
    </cfRule>
    <cfRule type="cellIs" dxfId="82" priority="107" operator="lessThan">
      <formula>E21</formula>
    </cfRule>
  </conditionalFormatting>
  <conditionalFormatting sqref="M7">
    <cfRule type="cellIs" dxfId="81" priority="61" operator="equal">
      <formula>0</formula>
    </cfRule>
    <cfRule type="cellIs" dxfId="80" priority="62" operator="lessThan">
      <formula>E7</formula>
    </cfRule>
  </conditionalFormatting>
  <conditionalFormatting sqref="M8">
    <cfRule type="cellIs" dxfId="79" priority="66" operator="equal">
      <formula>0</formula>
    </cfRule>
    <cfRule type="cellIs" dxfId="78" priority="67" operator="lessThan">
      <formula>E8</formula>
    </cfRule>
  </conditionalFormatting>
  <conditionalFormatting sqref="M9">
    <cfRule type="cellIs" dxfId="77" priority="71" operator="equal">
      <formula>0</formula>
    </cfRule>
    <cfRule type="cellIs" dxfId="76" priority="72" operator="lessThan">
      <formula>E9</formula>
    </cfRule>
  </conditionalFormatting>
  <conditionalFormatting sqref="N10">
    <cfRule type="cellIs" dxfId="75" priority="78" operator="greaterThan">
      <formula>M10</formula>
    </cfRule>
  </conditionalFormatting>
  <conditionalFormatting sqref="N11">
    <cfRule type="cellIs" dxfId="74" priority="83" operator="greaterThan">
      <formula>M11</formula>
    </cfRule>
  </conditionalFormatting>
  <conditionalFormatting sqref="N17">
    <cfRule type="cellIs" dxfId="73" priority="88" operator="greaterThan">
      <formula>M17</formula>
    </cfRule>
  </conditionalFormatting>
  <conditionalFormatting sqref="N18">
    <cfRule type="cellIs" dxfId="72" priority="93" operator="greaterThan">
      <formula>M18</formula>
    </cfRule>
  </conditionalFormatting>
  <conditionalFormatting sqref="N19">
    <cfRule type="cellIs" dxfId="71" priority="98" operator="greaterThan">
      <formula>M19</formula>
    </cfRule>
  </conditionalFormatting>
  <conditionalFormatting sqref="N20">
    <cfRule type="cellIs" dxfId="70" priority="103" operator="greaterThan">
      <formula>M20</formula>
    </cfRule>
  </conditionalFormatting>
  <conditionalFormatting sqref="N21">
    <cfRule type="cellIs" dxfId="69" priority="108" operator="greaterThan">
      <formula>M21</formula>
    </cfRule>
  </conditionalFormatting>
  <conditionalFormatting sqref="N7">
    <cfRule type="cellIs" dxfId="68" priority="63" operator="greaterThan">
      <formula>M7</formula>
    </cfRule>
  </conditionalFormatting>
  <conditionalFormatting sqref="N8">
    <cfRule type="cellIs" dxfId="67" priority="68" operator="greaterThan">
      <formula>M8</formula>
    </cfRule>
  </conditionalFormatting>
  <conditionalFormatting sqref="N9">
    <cfRule type="cellIs" dxfId="66" priority="73" operator="greaterThan">
      <formula>M9</formula>
    </cfRule>
  </conditionalFormatting>
  <conditionalFormatting sqref="O10">
    <cfRule type="cellIs" dxfId="65" priority="80" operator="lessThanOrEqual">
      <formula>F10</formula>
    </cfRule>
  </conditionalFormatting>
  <conditionalFormatting sqref="O11">
    <cfRule type="cellIs" dxfId="64" priority="85" operator="lessThanOrEqual">
      <formula>F11</formula>
    </cfRule>
  </conditionalFormatting>
  <conditionalFormatting sqref="O17">
    <cfRule type="cellIs" dxfId="63" priority="90" operator="lessThanOrEqual">
      <formula>F17</formula>
    </cfRule>
  </conditionalFormatting>
  <conditionalFormatting sqref="O18">
    <cfRule type="cellIs" dxfId="62" priority="95" operator="lessThanOrEqual">
      <formula>F18</formula>
    </cfRule>
  </conditionalFormatting>
  <conditionalFormatting sqref="O19">
    <cfRule type="cellIs" dxfId="61" priority="100" operator="lessThanOrEqual">
      <formula>F19</formula>
    </cfRule>
  </conditionalFormatting>
  <conditionalFormatting sqref="O20">
    <cfRule type="cellIs" dxfId="60" priority="105" operator="lessThanOrEqual">
      <formula>F20</formula>
    </cfRule>
  </conditionalFormatting>
  <conditionalFormatting sqref="O21">
    <cfRule type="cellIs" dxfId="59" priority="110" operator="lessThanOrEqual">
      <formula>F21</formula>
    </cfRule>
  </conditionalFormatting>
  <conditionalFormatting sqref="O7">
    <cfRule type="cellIs" dxfId="58" priority="65" operator="lessThanOrEqual">
      <formula>F7</formula>
    </cfRule>
  </conditionalFormatting>
  <conditionalFormatting sqref="O8">
    <cfRule type="cellIs" dxfId="57" priority="70" operator="lessThanOrEqual">
      <formula>F8</formula>
    </cfRule>
  </conditionalFormatting>
  <conditionalFormatting sqref="O9">
    <cfRule type="cellIs" dxfId="56" priority="75" operator="lessThanOrEqual">
      <formula>F9</formula>
    </cfRule>
  </conditionalFormatting>
  <conditionalFormatting sqref="P10">
    <cfRule type="cellIs" dxfId="55" priority="79" operator="lessThanOrEqual">
      <formula>G10</formula>
    </cfRule>
  </conditionalFormatting>
  <conditionalFormatting sqref="P11">
    <cfRule type="cellIs" dxfId="54" priority="84" operator="lessThanOrEqual">
      <formula>G11</formula>
    </cfRule>
  </conditionalFormatting>
  <conditionalFormatting sqref="P17">
    <cfRule type="cellIs" dxfId="53" priority="89" operator="lessThanOrEqual">
      <formula>G17</formula>
    </cfRule>
  </conditionalFormatting>
  <conditionalFormatting sqref="P18">
    <cfRule type="cellIs" dxfId="52" priority="94" operator="lessThanOrEqual">
      <formula>G18</formula>
    </cfRule>
  </conditionalFormatting>
  <conditionalFormatting sqref="P19">
    <cfRule type="cellIs" dxfId="51" priority="99" operator="lessThanOrEqual">
      <formula>G19</formula>
    </cfRule>
  </conditionalFormatting>
  <conditionalFormatting sqref="P20">
    <cfRule type="cellIs" dxfId="50" priority="104" operator="lessThanOrEqual">
      <formula>G20</formula>
    </cfRule>
  </conditionalFormatting>
  <conditionalFormatting sqref="P21">
    <cfRule type="cellIs" dxfId="49" priority="109" operator="lessThanOrEqual">
      <formula>G21</formula>
    </cfRule>
  </conditionalFormatting>
  <conditionalFormatting sqref="P7">
    <cfRule type="cellIs" dxfId="48" priority="64" operator="lessThanOrEqual">
      <formula>G7</formula>
    </cfRule>
  </conditionalFormatting>
  <conditionalFormatting sqref="P8">
    <cfRule type="cellIs" dxfId="47" priority="69" operator="lessThanOrEqual">
      <formula>G8</formula>
    </cfRule>
  </conditionalFormatting>
  <conditionalFormatting sqref="P9">
    <cfRule type="cellIs" dxfId="46" priority="74" operator="lessThanOrEqual">
      <formula>G9</formula>
    </cfRule>
  </conditionalFormatting>
  <conditionalFormatting sqref="R10">
    <cfRule type="cellIs" dxfId="45" priority="129" operator="equal">
      <formula>0</formula>
    </cfRule>
    <cfRule type="cellIs" dxfId="44" priority="130" operator="lessThan">
      <formula>E10</formula>
    </cfRule>
  </conditionalFormatting>
  <conditionalFormatting sqref="R17">
    <cfRule type="cellIs" dxfId="43" priority="135" operator="equal">
      <formula>0</formula>
    </cfRule>
    <cfRule type="cellIs" dxfId="42" priority="136" operator="lessThan">
      <formula>E17</formula>
    </cfRule>
  </conditionalFormatting>
  <conditionalFormatting sqref="R18">
    <cfRule type="cellIs" dxfId="41" priority="140" operator="equal">
      <formula>0</formula>
    </cfRule>
    <cfRule type="cellIs" dxfId="40" priority="141" operator="lessThan">
      <formula>E18</formula>
    </cfRule>
  </conditionalFormatting>
  <conditionalFormatting sqref="R19">
    <cfRule type="cellIs" dxfId="39" priority="146" operator="equal">
      <formula>0</formula>
    </cfRule>
    <cfRule type="cellIs" dxfId="38" priority="147" operator="lessThan">
      <formula>E19</formula>
    </cfRule>
  </conditionalFormatting>
  <conditionalFormatting sqref="R7">
    <cfRule type="cellIs" dxfId="37" priority="111" operator="equal">
      <formula>0</formula>
    </cfRule>
    <cfRule type="cellIs" dxfId="36" priority="112" operator="lessThan">
      <formula>E7</formula>
    </cfRule>
  </conditionalFormatting>
  <conditionalFormatting sqref="R8">
    <cfRule type="cellIs" dxfId="35" priority="117" operator="equal">
      <formula>0</formula>
    </cfRule>
    <cfRule type="cellIs" dxfId="34" priority="118" operator="lessThan">
      <formula>E8</formula>
    </cfRule>
  </conditionalFormatting>
  <conditionalFormatting sqref="R9">
    <cfRule type="cellIs" dxfId="33" priority="123" operator="equal">
      <formula>0</formula>
    </cfRule>
    <cfRule type="cellIs" dxfId="32" priority="124" operator="lessThan">
      <formula>E9</formula>
    </cfRule>
  </conditionalFormatting>
  <conditionalFormatting sqref="S10">
    <cfRule type="expression" dxfId="31" priority="131">
      <formula>AND(S10&gt;0,S10&lt;5)</formula>
    </cfRule>
    <cfRule type="cellIs" dxfId="30" priority="132" operator="greaterThan">
      <formula>R10</formula>
    </cfRule>
  </conditionalFormatting>
  <conditionalFormatting sqref="S17">
    <cfRule type="cellIs" dxfId="29" priority="137" operator="greaterThan">
      <formula>R17</formula>
    </cfRule>
  </conditionalFormatting>
  <conditionalFormatting sqref="S18">
    <cfRule type="expression" dxfId="28" priority="142">
      <formula>AND(S18&gt;0,S18&lt;10)</formula>
    </cfRule>
    <cfRule type="cellIs" dxfId="27" priority="143" operator="greaterThan">
      <formula>R18</formula>
    </cfRule>
  </conditionalFormatting>
  <conditionalFormatting sqref="S19">
    <cfRule type="expression" dxfId="26" priority="148">
      <formula>AND(S19&gt;0,S19&lt;10)</formula>
    </cfRule>
    <cfRule type="cellIs" dxfId="25" priority="149" operator="greaterThan">
      <formula>R19</formula>
    </cfRule>
  </conditionalFormatting>
  <conditionalFormatting sqref="S7">
    <cfRule type="expression" dxfId="24" priority="113">
      <formula>AND(S7&gt;0,S7&lt;5)</formula>
    </cfRule>
    <cfRule type="cellIs" dxfId="23" priority="114" operator="greaterThan">
      <formula>R7</formula>
    </cfRule>
  </conditionalFormatting>
  <conditionalFormatting sqref="S8">
    <cfRule type="expression" dxfId="22" priority="119">
      <formula>AND(S8&gt;0,S8&lt;10)</formula>
    </cfRule>
    <cfRule type="cellIs" dxfId="21" priority="120" operator="greaterThan">
      <formula>R8</formula>
    </cfRule>
  </conditionalFormatting>
  <conditionalFormatting sqref="S9">
    <cfRule type="expression" dxfId="20" priority="125">
      <formula>AND(S9&gt;0,S9&lt;4000)</formula>
    </cfRule>
    <cfRule type="cellIs" dxfId="19" priority="126" operator="greaterThan">
      <formula>R9</formula>
    </cfRule>
  </conditionalFormatting>
  <conditionalFormatting sqref="T10">
    <cfRule type="cellIs" dxfId="18" priority="134" operator="lessThanOrEqual">
      <formula>F10</formula>
    </cfRule>
  </conditionalFormatting>
  <conditionalFormatting sqref="T17">
    <cfRule type="cellIs" dxfId="17" priority="139" operator="lessThanOrEqual">
      <formula>F17</formula>
    </cfRule>
  </conditionalFormatting>
  <conditionalFormatting sqref="T18">
    <cfRule type="cellIs" dxfId="16" priority="145" operator="lessThanOrEqual">
      <formula>F18</formula>
    </cfRule>
  </conditionalFormatting>
  <conditionalFormatting sqref="T19">
    <cfRule type="cellIs" dxfId="15" priority="151" operator="lessThanOrEqual">
      <formula>F19</formula>
    </cfRule>
  </conditionalFormatting>
  <conditionalFormatting sqref="T7">
    <cfRule type="cellIs" dxfId="14" priority="116" operator="lessThanOrEqual">
      <formula>F7</formula>
    </cfRule>
  </conditionalFormatting>
  <conditionalFormatting sqref="T8">
    <cfRule type="cellIs" dxfId="13" priority="122" operator="lessThanOrEqual">
      <formula>F8</formula>
    </cfRule>
  </conditionalFormatting>
  <conditionalFormatting sqref="T9">
    <cfRule type="cellIs" dxfId="12" priority="128" operator="lessThanOrEqual">
      <formula>F9</formula>
    </cfRule>
  </conditionalFormatting>
  <conditionalFormatting sqref="U10">
    <cfRule type="cellIs" dxfId="11" priority="133" operator="lessThanOrEqual">
      <formula>G10</formula>
    </cfRule>
  </conditionalFormatting>
  <conditionalFormatting sqref="U17">
    <cfRule type="cellIs" dxfId="10" priority="138" operator="lessThanOrEqual">
      <formula>G17</formula>
    </cfRule>
  </conditionalFormatting>
  <conditionalFormatting sqref="U18">
    <cfRule type="cellIs" dxfId="9" priority="144" operator="lessThanOrEqual">
      <formula>G18</formula>
    </cfRule>
  </conditionalFormatting>
  <conditionalFormatting sqref="U19">
    <cfRule type="cellIs" dxfId="8" priority="150" operator="lessThanOrEqual">
      <formula>G19</formula>
    </cfRule>
  </conditionalFormatting>
  <conditionalFormatting sqref="U7">
    <cfRule type="cellIs" dxfId="7" priority="115" operator="lessThanOrEqual">
      <formula>G7</formula>
    </cfRule>
  </conditionalFormatting>
  <conditionalFormatting sqref="U8">
    <cfRule type="cellIs" dxfId="6" priority="121" operator="lessThanOrEqual">
      <formula>G8</formula>
    </cfRule>
  </conditionalFormatting>
  <conditionalFormatting sqref="U9">
    <cfRule type="cellIs" dxfId="5" priority="127" operator="lessThanOrEqual">
      <formula>G9</formula>
    </cfRule>
  </conditionalFormatting>
  <conditionalFormatting sqref="W10">
    <cfRule type="cellIs" dxfId="4" priority="152" operator="equal">
      <formula>0</formula>
    </cfRule>
    <cfRule type="cellIs" dxfId="3" priority="153" operator="lessThan">
      <formula>E10</formula>
    </cfRule>
  </conditionalFormatting>
  <conditionalFormatting sqref="X10">
    <cfRule type="cellIs" dxfId="2" priority="154" operator="greaterThan">
      <formula>W10</formula>
    </cfRule>
  </conditionalFormatting>
  <conditionalFormatting sqref="Y10">
    <cfRule type="cellIs" dxfId="1" priority="156" operator="lessThanOrEqual">
      <formula>F10</formula>
    </cfRule>
  </conditionalFormatting>
  <conditionalFormatting sqref="Z10">
    <cfRule type="cellIs" dxfId="0" priority="155" operator="lessThanOrEqual">
      <formula>G10</formula>
    </cfRule>
  </conditionalFormatting>
  <hyperlinks>
    <hyperlink ref="D7" r:id="rId1" xr:uid="{00000000-0004-0000-0000-000000000000}"/>
    <hyperlink ref="Q7" r:id="rId2" xr:uid="{00000000-0004-0000-0000-000001000000}"/>
    <hyperlink ref="V7" r:id="rId3" xr:uid="{00000000-0004-0000-0000-000002000000}"/>
    <hyperlink ref="AF7" r:id="rId4" xr:uid="{00000000-0004-0000-0000-000003000000}"/>
    <hyperlink ref="AK7" r:id="rId5" xr:uid="{00000000-0004-0000-0000-000004000000}"/>
    <hyperlink ref="AP7" r:id="rId6" xr:uid="{00000000-0004-0000-0000-000005000000}"/>
    <hyperlink ref="D8" r:id="rId7" xr:uid="{00000000-0004-0000-0000-000006000000}"/>
    <hyperlink ref="Q8" r:id="rId8" xr:uid="{00000000-0004-0000-0000-000007000000}"/>
    <hyperlink ref="V8" r:id="rId9" xr:uid="{00000000-0004-0000-0000-000008000000}"/>
    <hyperlink ref="AF8" r:id="rId10" xr:uid="{00000000-0004-0000-0000-000009000000}"/>
    <hyperlink ref="AK8" r:id="rId11" xr:uid="{00000000-0004-0000-0000-00000A000000}"/>
    <hyperlink ref="AU8" r:id="rId12" xr:uid="{00000000-0004-0000-0000-00000B000000}"/>
    <hyperlink ref="D9" r:id="rId13" xr:uid="{00000000-0004-0000-0000-00000C000000}"/>
    <hyperlink ref="Q9" r:id="rId14" xr:uid="{00000000-0004-0000-0000-00000D000000}"/>
    <hyperlink ref="V9" r:id="rId15" xr:uid="{00000000-0004-0000-0000-00000E000000}"/>
    <hyperlink ref="AF9" r:id="rId16" xr:uid="{00000000-0004-0000-0000-00000F000000}"/>
    <hyperlink ref="AK9" r:id="rId17" xr:uid="{00000000-0004-0000-0000-000010000000}"/>
    <hyperlink ref="D10" r:id="rId18" xr:uid="{00000000-0004-0000-0000-000011000000}"/>
    <hyperlink ref="Q10" r:id="rId19" xr:uid="{00000000-0004-0000-0000-000012000000}"/>
    <hyperlink ref="V10" r:id="rId20" xr:uid="{00000000-0004-0000-0000-000013000000}"/>
    <hyperlink ref="AA10" r:id="rId21" xr:uid="{00000000-0004-0000-0000-000014000000}"/>
    <hyperlink ref="AF10" r:id="rId22" xr:uid="{00000000-0004-0000-0000-000015000000}"/>
    <hyperlink ref="AK10" r:id="rId23" xr:uid="{00000000-0004-0000-0000-000016000000}"/>
    <hyperlink ref="D11" r:id="rId24" xr:uid="{00000000-0004-0000-0000-000017000000}"/>
    <hyperlink ref="Q11" r:id="rId25" xr:uid="{00000000-0004-0000-0000-000018000000}"/>
    <hyperlink ref="AF11" r:id="rId26" xr:uid="{00000000-0004-0000-0000-000019000000}"/>
    <hyperlink ref="AP11" r:id="rId27" xr:uid="{00000000-0004-0000-0000-00001A000000}"/>
    <hyperlink ref="D17" r:id="rId28" xr:uid="{00000000-0004-0000-0000-00001B000000}"/>
    <hyperlink ref="Q17" r:id="rId29" xr:uid="{00000000-0004-0000-0000-00001C000000}"/>
    <hyperlink ref="V17" r:id="rId30" xr:uid="{00000000-0004-0000-0000-00001D000000}"/>
    <hyperlink ref="AF17" r:id="rId31" xr:uid="{00000000-0004-0000-0000-00001E000000}"/>
    <hyperlink ref="AK17" r:id="rId32" xr:uid="{00000000-0004-0000-0000-00001F000000}"/>
    <hyperlink ref="AP17" r:id="rId33" xr:uid="{00000000-0004-0000-0000-000020000000}"/>
    <hyperlink ref="D18" r:id="rId34" xr:uid="{00000000-0004-0000-0000-000021000000}"/>
    <hyperlink ref="Q18" r:id="rId35" xr:uid="{00000000-0004-0000-0000-000022000000}"/>
    <hyperlink ref="V18" r:id="rId36" xr:uid="{00000000-0004-0000-0000-000023000000}"/>
    <hyperlink ref="AF18" r:id="rId37" xr:uid="{00000000-0004-0000-0000-000024000000}"/>
    <hyperlink ref="AK18" r:id="rId38" xr:uid="{00000000-0004-0000-0000-000025000000}"/>
    <hyperlink ref="AP18" r:id="rId39" xr:uid="{00000000-0004-0000-0000-000026000000}"/>
    <hyperlink ref="AU18" r:id="rId40" xr:uid="{00000000-0004-0000-0000-000027000000}"/>
    <hyperlink ref="D19" r:id="rId41" xr:uid="{00000000-0004-0000-0000-000028000000}"/>
    <hyperlink ref="Q19" r:id="rId42" xr:uid="{00000000-0004-0000-0000-000029000000}"/>
    <hyperlink ref="V19" r:id="rId43" xr:uid="{00000000-0004-0000-0000-00002A000000}"/>
    <hyperlink ref="AF19" r:id="rId44" xr:uid="{00000000-0004-0000-0000-00002B000000}"/>
    <hyperlink ref="AK19" r:id="rId45" xr:uid="{00000000-0004-0000-0000-00002C000000}"/>
    <hyperlink ref="AP19" r:id="rId46" xr:uid="{00000000-0004-0000-0000-00002D000000}"/>
    <hyperlink ref="Q20" r:id="rId47" xr:uid="{00000000-0004-0000-0000-00002E000000}"/>
    <hyperlink ref="AF20" r:id="rId48" xr:uid="{00000000-0004-0000-0000-00002F000000}"/>
    <hyperlink ref="AK20" r:id="rId49" xr:uid="{00000000-0004-0000-0000-000030000000}"/>
    <hyperlink ref="Q21" r:id="rId50" xr:uid="{00000000-0004-0000-0000-000031000000}"/>
    <hyperlink ref="AF21" r:id="rId51" xr:uid="{00000000-0004-0000-0000-000032000000}"/>
  </hyperlinks>
  <pageMargins left="0.7" right="0.7" top="0.75" bottom="0.75" header="0.3" footer="0.3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13</vt:i4>
      </vt:variant>
    </vt:vector>
  </HeadingPairs>
  <TitlesOfParts>
    <vt:vector size="14" baseType="lpstr">
      <vt:lpstr>smps_lmr50410.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Kaans</dc:creator>
  <cp:lastModifiedBy>Kaans</cp:lastModifiedBy>
  <dcterms:created xsi:type="dcterms:W3CDTF">2021-02-04T22:26:19Z</dcterms:created>
  <dcterms:modified xsi:type="dcterms:W3CDTF">2021-02-05T01:57:46Z</dcterms:modified>
</cp:coreProperties>
</file>